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240" yWindow="705" windowWidth="14805" windowHeight="7410" tabRatio="837" activeTab="4"/>
  </bookViews>
  <sheets>
    <sheet name="ковер" sheetId="3" r:id="rId1"/>
    <sheet name="Дело скважины" sheetId="5" r:id="rId2"/>
    <sheet name="Конструктор скважины" sheetId="23" r:id="rId3"/>
    <sheet name="Инфра" sheetId="15" r:id="rId4"/>
    <sheet name="Production" sheetId="6" r:id="rId5"/>
    <sheet name="OPEX" sheetId="19" r:id="rId6"/>
    <sheet name="Макропараметры" sheetId="21" r:id="rId7"/>
    <sheet name="Инф. о месторождениях" sheetId="22" r:id="rId8"/>
    <sheet name="Скважина пример" sheetId="2" r:id="rId9"/>
    <sheet name="Конструктор скважиныv2" sheetId="13" state="hidden" r:id="rId10"/>
    <sheet name="Распределение затрат во времени" sheetId="24" r:id="rId11"/>
  </sheets>
  <externalReferences>
    <externalReference r:id="rId12"/>
    <externalReference r:id="rId13"/>
    <externalReference r:id="rId14"/>
    <externalReference r:id="rId15"/>
  </externalReferences>
  <definedNames>
    <definedName name="пр13">[1]исходные!$H$9</definedName>
  </definedNames>
  <calcPr calcId="125725"/>
</workbook>
</file>

<file path=xl/calcChain.xml><?xml version="1.0" encoding="utf-8"?>
<calcChain xmlns="http://schemas.openxmlformats.org/spreadsheetml/2006/main">
  <c r="E45" i="6"/>
  <c r="H45"/>
  <c r="O344" i="23" l="1"/>
  <c r="I344"/>
  <c r="J344"/>
  <c r="K344"/>
  <c r="L344"/>
  <c r="M344"/>
  <c r="N344"/>
  <c r="H344"/>
  <c r="I341"/>
  <c r="J341"/>
  <c r="K341"/>
  <c r="L341"/>
  <c r="M341"/>
  <c r="N341"/>
  <c r="H341"/>
  <c r="I340"/>
  <c r="J340"/>
  <c r="K340"/>
  <c r="L340"/>
  <c r="M340"/>
  <c r="N340"/>
  <c r="H340"/>
  <c r="D340"/>
  <c r="H317"/>
  <c r="I317"/>
  <c r="J317"/>
  <c r="K317"/>
  <c r="L317"/>
  <c r="M317"/>
  <c r="N317"/>
  <c r="H318"/>
  <c r="I318"/>
  <c r="J318"/>
  <c r="K318"/>
  <c r="L318"/>
  <c r="M318"/>
  <c r="N318"/>
  <c r="I316"/>
  <c r="J316"/>
  <c r="K316"/>
  <c r="L316"/>
  <c r="M316"/>
  <c r="N316"/>
  <c r="H316"/>
  <c r="I315"/>
  <c r="J315"/>
  <c r="K315"/>
  <c r="L315"/>
  <c r="M315"/>
  <c r="N315"/>
  <c r="H315"/>
  <c r="D335"/>
  <c r="M335" s="1"/>
  <c r="I334"/>
  <c r="J334"/>
  <c r="K334"/>
  <c r="L334"/>
  <c r="M334"/>
  <c r="N334"/>
  <c r="H334"/>
  <c r="I333"/>
  <c r="J333"/>
  <c r="K333"/>
  <c r="L333"/>
  <c r="M333"/>
  <c r="N333"/>
  <c r="H333"/>
  <c r="H331"/>
  <c r="I331"/>
  <c r="J331"/>
  <c r="K331"/>
  <c r="L331"/>
  <c r="M331"/>
  <c r="N331"/>
  <c r="D331"/>
  <c r="D329"/>
  <c r="J329" s="1"/>
  <c r="D327"/>
  <c r="I327" s="1"/>
  <c r="D325"/>
  <c r="H325"/>
  <c r="I325"/>
  <c r="J325"/>
  <c r="K325"/>
  <c r="L325"/>
  <c r="M325"/>
  <c r="N325"/>
  <c r="H326"/>
  <c r="I326"/>
  <c r="J326"/>
  <c r="K326"/>
  <c r="L326"/>
  <c r="M326"/>
  <c r="N326"/>
  <c r="H327"/>
  <c r="J327"/>
  <c r="L327"/>
  <c r="M327"/>
  <c r="N327"/>
  <c r="H328"/>
  <c r="I328"/>
  <c r="K328"/>
  <c r="M328"/>
  <c r="N328"/>
  <c r="H329"/>
  <c r="I329"/>
  <c r="K329"/>
  <c r="L329"/>
  <c r="M329"/>
  <c r="N329"/>
  <c r="H330"/>
  <c r="I330"/>
  <c r="J330"/>
  <c r="L330"/>
  <c r="M330"/>
  <c r="N330"/>
  <c r="H332"/>
  <c r="J332"/>
  <c r="K332"/>
  <c r="L332"/>
  <c r="N332"/>
  <c r="I335"/>
  <c r="J335"/>
  <c r="K335"/>
  <c r="L335"/>
  <c r="N335"/>
  <c r="H336"/>
  <c r="J336"/>
  <c r="K336"/>
  <c r="L336"/>
  <c r="M336"/>
  <c r="I324"/>
  <c r="J324"/>
  <c r="K324"/>
  <c r="L324"/>
  <c r="M324"/>
  <c r="N324"/>
  <c r="H324"/>
  <c r="I323"/>
  <c r="J323"/>
  <c r="K323"/>
  <c r="L323"/>
  <c r="M323"/>
  <c r="N323"/>
  <c r="H323"/>
  <c r="D323"/>
  <c r="O320"/>
  <c r="I320"/>
  <c r="J320"/>
  <c r="K320"/>
  <c r="L320"/>
  <c r="M320"/>
  <c r="N320"/>
  <c r="H320"/>
  <c r="I319"/>
  <c r="J319"/>
  <c r="K319"/>
  <c r="L319"/>
  <c r="M319"/>
  <c r="N319"/>
  <c r="H319"/>
  <c r="H171"/>
  <c r="I171"/>
  <c r="J171"/>
  <c r="K171"/>
  <c r="L171"/>
  <c r="M171"/>
  <c r="E176"/>
  <c r="E180"/>
  <c r="E175"/>
  <c r="H170"/>
  <c r="I170" s="1"/>
  <c r="H167"/>
  <c r="I167"/>
  <c r="D317"/>
  <c r="D315"/>
  <c r="E171"/>
  <c r="N113"/>
  <c r="M113"/>
  <c r="L113"/>
  <c r="K113"/>
  <c r="J113"/>
  <c r="I113"/>
  <c r="O113"/>
  <c r="D309"/>
  <c r="D307"/>
  <c r="D305"/>
  <c r="N302"/>
  <c r="N300"/>
  <c r="N298"/>
  <c r="N296"/>
  <c r="N294"/>
  <c r="N292"/>
  <c r="N283"/>
  <c r="N284" s="1"/>
  <c r="D289"/>
  <c r="D286"/>
  <c r="D280"/>
  <c r="D277"/>
  <c r="D275"/>
  <c r="D273"/>
  <c r="D271"/>
  <c r="D269"/>
  <c r="N267"/>
  <c r="N266"/>
  <c r="N264"/>
  <c r="N265" s="1"/>
  <c r="D261"/>
  <c r="D259"/>
  <c r="D257"/>
  <c r="D255"/>
  <c r="D253"/>
  <c r="D246"/>
  <c r="D248"/>
  <c r="D250"/>
  <c r="D244"/>
  <c r="D231"/>
  <c r="D233"/>
  <c r="D235"/>
  <c r="D237"/>
  <c r="D239"/>
  <c r="D241"/>
  <c r="D229"/>
  <c r="D220"/>
  <c r="D222"/>
  <c r="D224"/>
  <c r="D226"/>
  <c r="D218"/>
  <c r="N215"/>
  <c r="N216" s="1"/>
  <c r="F340"/>
  <c r="F317"/>
  <c r="F319"/>
  <c r="F321"/>
  <c r="F323"/>
  <c r="F325"/>
  <c r="F327"/>
  <c r="F329"/>
  <c r="F331"/>
  <c r="F333"/>
  <c r="F335"/>
  <c r="F315"/>
  <c r="F307"/>
  <c r="F309"/>
  <c r="F305"/>
  <c r="F294"/>
  <c r="F296"/>
  <c r="F298"/>
  <c r="F300"/>
  <c r="F302"/>
  <c r="F292"/>
  <c r="F283"/>
  <c r="F280"/>
  <c r="F271"/>
  <c r="F273"/>
  <c r="F275"/>
  <c r="F277"/>
  <c r="F269"/>
  <c r="F266"/>
  <c r="F286"/>
  <c r="F264"/>
  <c r="F257"/>
  <c r="F259"/>
  <c r="F261"/>
  <c r="F255"/>
  <c r="F253"/>
  <c r="F246"/>
  <c r="F248"/>
  <c r="F250"/>
  <c r="F231"/>
  <c r="F233"/>
  <c r="F235"/>
  <c r="F237"/>
  <c r="F239"/>
  <c r="F241"/>
  <c r="F244"/>
  <c r="F229"/>
  <c r="C9"/>
  <c r="C11" s="1"/>
  <c r="C13" s="1"/>
  <c r="C15" s="1"/>
  <c r="F289"/>
  <c r="F220"/>
  <c r="F222"/>
  <c r="F224"/>
  <c r="F226"/>
  <c r="F218"/>
  <c r="F215"/>
  <c r="D210"/>
  <c r="D208"/>
  <c r="D206"/>
  <c r="K206" s="1"/>
  <c r="D204"/>
  <c r="K205" s="1"/>
  <c r="D202"/>
  <c r="K203" s="1"/>
  <c r="E169"/>
  <c r="F204"/>
  <c r="F206"/>
  <c r="E206" s="1"/>
  <c r="F208"/>
  <c r="E208" s="1"/>
  <c r="F210"/>
  <c r="E210" s="1"/>
  <c r="F202"/>
  <c r="C202" s="1"/>
  <c r="I336" l="1"/>
  <c r="H335"/>
  <c r="N336"/>
  <c r="M332"/>
  <c r="I332"/>
  <c r="O332" s="1"/>
  <c r="K330"/>
  <c r="L328"/>
  <c r="K327"/>
  <c r="J328"/>
  <c r="O330"/>
  <c r="O334"/>
  <c r="O336"/>
  <c r="O319"/>
  <c r="O329"/>
  <c r="O331"/>
  <c r="O335"/>
  <c r="O333"/>
  <c r="C204"/>
  <c r="L203"/>
  <c r="O323"/>
  <c r="M202"/>
  <c r="L202"/>
  <c r="J203"/>
  <c r="N204"/>
  <c r="L205"/>
  <c r="J205"/>
  <c r="H205"/>
  <c r="E202"/>
  <c r="K204"/>
  <c r="E204"/>
  <c r="C210"/>
  <c r="C20"/>
  <c r="C23" s="1"/>
  <c r="C25" s="1"/>
  <c r="C27" s="1"/>
  <c r="C29" s="1"/>
  <c r="C31" s="1"/>
  <c r="C34" s="1"/>
  <c r="C36" s="1"/>
  <c r="C38" s="1"/>
  <c r="C40" s="1"/>
  <c r="C42" s="1"/>
  <c r="C44" s="1"/>
  <c r="C46" s="1"/>
  <c r="C49" s="1"/>
  <c r="C51" s="1"/>
  <c r="C53" s="1"/>
  <c r="C55" s="1"/>
  <c r="C58" s="1"/>
  <c r="C60" s="1"/>
  <c r="C62" s="1"/>
  <c r="C64" s="1"/>
  <c r="C66" s="1"/>
  <c r="C69" s="1"/>
  <c r="C71" s="1"/>
  <c r="C74" s="1"/>
  <c r="C76" s="1"/>
  <c r="C78" s="1"/>
  <c r="C80" s="1"/>
  <c r="C82" s="1"/>
  <c r="C85" s="1"/>
  <c r="C88" s="1"/>
  <c r="C91" s="1"/>
  <c r="C94" s="1"/>
  <c r="C97" s="1"/>
  <c r="C99" s="1"/>
  <c r="C101" s="1"/>
  <c r="C103" s="1"/>
  <c r="C105" s="1"/>
  <c r="C107" s="1"/>
  <c r="C110" s="1"/>
  <c r="C112" s="1"/>
  <c r="C114" s="1"/>
  <c r="C120" s="1"/>
  <c r="C122" s="1"/>
  <c r="C124" s="1"/>
  <c r="C126" s="1"/>
  <c r="C128" s="1"/>
  <c r="C130" s="1"/>
  <c r="C132" s="1"/>
  <c r="C134" s="1"/>
  <c r="C136" s="1"/>
  <c r="C138" s="1"/>
  <c r="C140" s="1"/>
  <c r="C145" s="1"/>
  <c r="C206"/>
  <c r="L204"/>
  <c r="C208"/>
  <c r="J204"/>
  <c r="M204"/>
  <c r="H204"/>
  <c r="K202"/>
  <c r="K207"/>
  <c r="L207"/>
  <c r="J202"/>
  <c r="L206"/>
  <c r="N203"/>
  <c r="M203"/>
  <c r="N202"/>
  <c r="H207"/>
  <c r="H206"/>
  <c r="N207"/>
  <c r="N206"/>
  <c r="N205"/>
  <c r="M207"/>
  <c r="M206"/>
  <c r="M205"/>
  <c r="J207"/>
  <c r="J206"/>
  <c r="O324" l="1"/>
  <c r="O318"/>
  <c r="O317"/>
  <c r="N268"/>
  <c r="G187" l="1"/>
  <c r="G195" s="1"/>
  <c r="G186"/>
  <c r="G194" s="1"/>
  <c r="G185"/>
  <c r="G193" s="1"/>
  <c r="G184"/>
  <c r="G192" s="1"/>
  <c r="G183"/>
  <c r="G191" s="1"/>
  <c r="G182" l="1"/>
  <c r="G190" s="1"/>
  <c r="O188"/>
  <c r="M188"/>
  <c r="L188"/>
  <c r="K188"/>
  <c r="J188"/>
  <c r="I188"/>
  <c r="J180"/>
  <c r="K180"/>
  <c r="L180"/>
  <c r="M180"/>
  <c r="N180"/>
  <c r="O180"/>
  <c r="I180"/>
  <c r="K181" l="1"/>
  <c r="P180"/>
  <c r="P188"/>
  <c r="I189"/>
  <c r="J189" s="1"/>
  <c r="K189" s="1"/>
  <c r="L189" s="1"/>
  <c r="M189" s="1"/>
  <c r="N189" s="1"/>
  <c r="O189" s="1"/>
  <c r="P189" s="1"/>
  <c r="J181"/>
  <c r="I181"/>
  <c r="O181"/>
  <c r="N181"/>
  <c r="M181"/>
  <c r="L181"/>
  <c r="IV46" i="6" l="1"/>
  <c r="IU46"/>
  <c r="IT46"/>
  <c r="IS46"/>
  <c r="IR46"/>
  <c r="IQ46"/>
  <c r="IP46"/>
  <c r="IO46"/>
  <c r="IN46"/>
  <c r="IM46"/>
  <c r="IL46"/>
  <c r="IK46"/>
  <c r="IJ46"/>
  <c r="II46"/>
  <c r="IH46"/>
  <c r="IG46"/>
  <c r="IF46"/>
  <c r="IE46"/>
  <c r="ID46"/>
  <c r="IC46"/>
  <c r="IB46"/>
  <c r="IA46"/>
  <c r="HZ46"/>
  <c r="HY46"/>
  <c r="HX46"/>
  <c r="HW46"/>
  <c r="HV46"/>
  <c r="HU46"/>
  <c r="HT46"/>
  <c r="HS46"/>
  <c r="HR46"/>
  <c r="HQ46"/>
  <c r="HP46"/>
  <c r="HO46"/>
  <c r="HN46"/>
  <c r="HM46"/>
  <c r="HL46"/>
  <c r="HK46"/>
  <c r="HJ46"/>
  <c r="HI46"/>
  <c r="HH46"/>
  <c r="HG46"/>
  <c r="HF46"/>
  <c r="HE46"/>
  <c r="HD46"/>
  <c r="HC46"/>
  <c r="HB46"/>
  <c r="HA46"/>
  <c r="GZ46"/>
  <c r="GY46"/>
  <c r="GX46"/>
  <c r="GW46"/>
  <c r="GV46"/>
  <c r="GU46"/>
  <c r="GT46"/>
  <c r="GS46"/>
  <c r="GR46"/>
  <c r="GQ46"/>
  <c r="GP46"/>
  <c r="GO46"/>
  <c r="GN46"/>
  <c r="GM46"/>
  <c r="GL46"/>
  <c r="GK46"/>
  <c r="GJ46"/>
  <c r="GI46"/>
  <c r="GH46"/>
  <c r="GG46"/>
  <c r="GF46"/>
  <c r="GE46"/>
  <c r="GD46"/>
  <c r="GC46"/>
  <c r="GB46"/>
  <c r="GA46"/>
  <c r="FZ46"/>
  <c r="FY46"/>
  <c r="FX46"/>
  <c r="FW46"/>
  <c r="FV46"/>
  <c r="FU46"/>
  <c r="FT46"/>
  <c r="FS46"/>
  <c r="FR46"/>
  <c r="FQ46"/>
  <c r="FP46"/>
  <c r="FO46"/>
  <c r="FN46"/>
  <c r="FM46"/>
  <c r="FL46"/>
  <c r="FK46"/>
  <c r="FJ46"/>
  <c r="FI46"/>
  <c r="FH46"/>
  <c r="FG46"/>
  <c r="FF46"/>
  <c r="FE46"/>
  <c r="FD46"/>
  <c r="FC46"/>
  <c r="FB46"/>
  <c r="FA46"/>
  <c r="EZ46"/>
  <c r="EY46"/>
  <c r="EX46"/>
  <c r="EW46"/>
  <c r="EV46"/>
  <c r="EU46"/>
  <c r="ET46"/>
  <c r="ES46"/>
  <c r="ER46"/>
  <c r="EQ46"/>
  <c r="EP46"/>
  <c r="EO46"/>
  <c r="EN46"/>
  <c r="EM46"/>
  <c r="EL46"/>
  <c r="EK46"/>
  <c r="EK55" s="1"/>
  <c r="EJ46"/>
  <c r="EI46"/>
  <c r="EH46"/>
  <c r="EG46"/>
  <c r="EF46"/>
  <c r="EE46"/>
  <c r="ED46"/>
  <c r="EC46"/>
  <c r="EB46"/>
  <c r="EB55" s="1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F55" s="1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Y55" s="1"/>
  <c r="X46"/>
  <c r="W46"/>
  <c r="V46"/>
  <c r="U46"/>
  <c r="T46"/>
  <c r="T60" s="1"/>
  <c r="S46"/>
  <c r="R46"/>
  <c r="Q46"/>
  <c r="P46"/>
  <c r="O46"/>
  <c r="N46"/>
  <c r="M46"/>
  <c r="L46"/>
  <c r="K46"/>
  <c r="J46"/>
  <c r="I46"/>
  <c r="H46"/>
  <c r="G46"/>
  <c r="F46"/>
  <c r="GD60"/>
  <c r="GB55"/>
  <c r="EY55"/>
  <c r="DI55"/>
  <c r="CZ55"/>
  <c r="FL55"/>
  <c r="EH60"/>
  <c r="DY55"/>
  <c r="DP55"/>
  <c r="DH55"/>
  <c r="BD55"/>
  <c r="AV60"/>
  <c r="M55"/>
  <c r="IV45"/>
  <c r="IU45"/>
  <c r="IT45"/>
  <c r="IS45"/>
  <c r="IR45"/>
  <c r="IQ45"/>
  <c r="IP45"/>
  <c r="IO45"/>
  <c r="IN45"/>
  <c r="IM45"/>
  <c r="IL45"/>
  <c r="IK45"/>
  <c r="IJ45"/>
  <c r="II45"/>
  <c r="IH45"/>
  <c r="IG45"/>
  <c r="IF45"/>
  <c r="IE45"/>
  <c r="ID45"/>
  <c r="IC45"/>
  <c r="IB45"/>
  <c r="IA45"/>
  <c r="HZ45"/>
  <c r="HY45"/>
  <c r="HX45"/>
  <c r="HW45"/>
  <c r="HV45"/>
  <c r="HU45"/>
  <c r="HT45"/>
  <c r="HS45"/>
  <c r="HR45"/>
  <c r="HQ45"/>
  <c r="HP45"/>
  <c r="HO45"/>
  <c r="HN45"/>
  <c r="HM45"/>
  <c r="HL45"/>
  <c r="HK45"/>
  <c r="HJ45"/>
  <c r="HI45"/>
  <c r="HH45"/>
  <c r="HG45"/>
  <c r="HF45"/>
  <c r="HE45"/>
  <c r="HD45"/>
  <c r="HC45"/>
  <c r="HB45"/>
  <c r="HA45"/>
  <c r="GZ45"/>
  <c r="GY45"/>
  <c r="GX45"/>
  <c r="GW45"/>
  <c r="GV45"/>
  <c r="GU45"/>
  <c r="GT45"/>
  <c r="GS45"/>
  <c r="GR45"/>
  <c r="GQ45"/>
  <c r="GP45"/>
  <c r="GO45"/>
  <c r="GN45"/>
  <c r="GM45"/>
  <c r="GL45"/>
  <c r="GK45"/>
  <c r="GJ45"/>
  <c r="GI45"/>
  <c r="GH45"/>
  <c r="GG45"/>
  <c r="GF45"/>
  <c r="GE45"/>
  <c r="GD45"/>
  <c r="GC45"/>
  <c r="GB45"/>
  <c r="GA45"/>
  <c r="FZ45"/>
  <c r="FY45"/>
  <c r="FX45"/>
  <c r="FW45"/>
  <c r="FW59" s="1"/>
  <c r="FV45"/>
  <c r="FU45"/>
  <c r="FT45"/>
  <c r="FS45"/>
  <c r="FR45"/>
  <c r="FQ45"/>
  <c r="FP45"/>
  <c r="FO45"/>
  <c r="FN45"/>
  <c r="FM45"/>
  <c r="FL45"/>
  <c r="FK45"/>
  <c r="FJ45"/>
  <c r="FI45"/>
  <c r="FH45"/>
  <c r="FG45"/>
  <c r="FF45"/>
  <c r="FE45"/>
  <c r="FD45"/>
  <c r="FC45"/>
  <c r="FB45"/>
  <c r="FA45"/>
  <c r="EZ45"/>
  <c r="EY45"/>
  <c r="EX45"/>
  <c r="EW45"/>
  <c r="EV45"/>
  <c r="EU45"/>
  <c r="ET45"/>
  <c r="ES45"/>
  <c r="ER45"/>
  <c r="EQ45"/>
  <c r="EP45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C59" s="1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Q59" s="1"/>
  <c r="AP45"/>
  <c r="AO45"/>
  <c r="AN45"/>
  <c r="AM45"/>
  <c r="AL45"/>
  <c r="AL54" s="1"/>
  <c r="AK45"/>
  <c r="AJ45"/>
  <c r="AJ54" s="1"/>
  <c r="AI45"/>
  <c r="AI54" s="1"/>
  <c r="AH45"/>
  <c r="AG45"/>
  <c r="AF45"/>
  <c r="AE45"/>
  <c r="AD45"/>
  <c r="AD54" s="1"/>
  <c r="AC45"/>
  <c r="AB45"/>
  <c r="AB54" s="1"/>
  <c r="AA45"/>
  <c r="AA54" s="1"/>
  <c r="Z45"/>
  <c r="Y45"/>
  <c r="X45"/>
  <c r="W45"/>
  <c r="V45"/>
  <c r="V54" s="1"/>
  <c r="U45"/>
  <c r="T45"/>
  <c r="T54" s="1"/>
  <c r="S45"/>
  <c r="S54" s="1"/>
  <c r="R45"/>
  <c r="Q45"/>
  <c r="P45"/>
  <c r="O45"/>
  <c r="N45"/>
  <c r="N54" s="1"/>
  <c r="M45"/>
  <c r="L45"/>
  <c r="L54" s="1"/>
  <c r="K45"/>
  <c r="K54" s="1"/>
  <c r="J45"/>
  <c r="I45"/>
  <c r="G45"/>
  <c r="F45"/>
  <c r="IV54"/>
  <c r="IU54"/>
  <c r="IT54"/>
  <c r="IS54"/>
  <c r="IR54"/>
  <c r="IQ54"/>
  <c r="IP54"/>
  <c r="IO54"/>
  <c r="IN54"/>
  <c r="IM54"/>
  <c r="IL54"/>
  <c r="IK54"/>
  <c r="IJ54"/>
  <c r="II54"/>
  <c r="IH54"/>
  <c r="IG54"/>
  <c r="IF54"/>
  <c r="IE54"/>
  <c r="ID54"/>
  <c r="IC54"/>
  <c r="IB54"/>
  <c r="IA54"/>
  <c r="HZ54"/>
  <c r="HY54"/>
  <c r="HX54"/>
  <c r="HW54"/>
  <c r="HV54"/>
  <c r="HU54"/>
  <c r="HT54"/>
  <c r="HS54"/>
  <c r="HR54"/>
  <c r="HQ54"/>
  <c r="HP54"/>
  <c r="HO54"/>
  <c r="HN54"/>
  <c r="HM54"/>
  <c r="HL54"/>
  <c r="HK54"/>
  <c r="HJ54"/>
  <c r="HI54"/>
  <c r="HH54"/>
  <c r="HG54"/>
  <c r="HF54"/>
  <c r="HE54"/>
  <c r="HD54"/>
  <c r="HC54"/>
  <c r="HB54"/>
  <c r="HA54"/>
  <c r="GZ54"/>
  <c r="GY54"/>
  <c r="GX54"/>
  <c r="GW54"/>
  <c r="GV54"/>
  <c r="GU54"/>
  <c r="GT54"/>
  <c r="GS54"/>
  <c r="GR54"/>
  <c r="GQ54"/>
  <c r="GP54"/>
  <c r="GO54"/>
  <c r="GN54"/>
  <c r="GM54"/>
  <c r="GL54"/>
  <c r="GK54"/>
  <c r="GJ54"/>
  <c r="GI54"/>
  <c r="GH54"/>
  <c r="GG54"/>
  <c r="GF54"/>
  <c r="GE54"/>
  <c r="GD54"/>
  <c r="GC54"/>
  <c r="GB54"/>
  <c r="GA54"/>
  <c r="FZ54"/>
  <c r="FY54"/>
  <c r="FX54"/>
  <c r="FW54"/>
  <c r="FV54"/>
  <c r="FU54"/>
  <c r="FT54"/>
  <c r="FS54"/>
  <c r="FR54"/>
  <c r="FQ54"/>
  <c r="FP54"/>
  <c r="FO54"/>
  <c r="FN54"/>
  <c r="FM54"/>
  <c r="FL54"/>
  <c r="FK54"/>
  <c r="FJ54"/>
  <c r="FI54"/>
  <c r="FH54"/>
  <c r="FG54"/>
  <c r="FF54"/>
  <c r="FE54"/>
  <c r="FD54"/>
  <c r="FC54"/>
  <c r="FB54"/>
  <c r="FA54"/>
  <c r="EZ54"/>
  <c r="EY54"/>
  <c r="EX54"/>
  <c r="EW54"/>
  <c r="EV54"/>
  <c r="EU54"/>
  <c r="ET54"/>
  <c r="ES54"/>
  <c r="ER54"/>
  <c r="EQ54"/>
  <c r="EP54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K54"/>
  <c r="AH54"/>
  <c r="AG54"/>
  <c r="AF54"/>
  <c r="AE54"/>
  <c r="AC54"/>
  <c r="Z54"/>
  <c r="Y54"/>
  <c r="X54"/>
  <c r="W54"/>
  <c r="U54"/>
  <c r="R54"/>
  <c r="Q54"/>
  <c r="P54"/>
  <c r="O54"/>
  <c r="M54"/>
  <c r="J54"/>
  <c r="I54"/>
  <c r="H54"/>
  <c r="G54"/>
  <c r="F54"/>
  <c r="E54"/>
  <c r="F58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BP58" s="1"/>
  <c r="BQ58" s="1"/>
  <c r="BR58" s="1"/>
  <c r="BS58" s="1"/>
  <c r="BT58" s="1"/>
  <c r="BU58" s="1"/>
  <c r="BV58" s="1"/>
  <c r="BW58" s="1"/>
  <c r="BX58" s="1"/>
  <c r="BY58" s="1"/>
  <c r="BZ58" s="1"/>
  <c r="CA58" s="1"/>
  <c r="CB58" s="1"/>
  <c r="CC58" s="1"/>
  <c r="CD58" s="1"/>
  <c r="CE58" s="1"/>
  <c r="CF58" s="1"/>
  <c r="CG58" s="1"/>
  <c r="CH58" s="1"/>
  <c r="CI58" s="1"/>
  <c r="CJ58" s="1"/>
  <c r="CK58" s="1"/>
  <c r="CL58" s="1"/>
  <c r="CM58" s="1"/>
  <c r="CN58" s="1"/>
  <c r="CO58" s="1"/>
  <c r="CP58" s="1"/>
  <c r="CQ58" s="1"/>
  <c r="CR58" s="1"/>
  <c r="CS58" s="1"/>
  <c r="CT58" s="1"/>
  <c r="CU58" s="1"/>
  <c r="CV58" s="1"/>
  <c r="CW58" s="1"/>
  <c r="CX58" s="1"/>
  <c r="CY58" s="1"/>
  <c r="CZ58" s="1"/>
  <c r="DA58" s="1"/>
  <c r="DB58" s="1"/>
  <c r="DC58" s="1"/>
  <c r="DD58" s="1"/>
  <c r="DE58" s="1"/>
  <c r="DF58" s="1"/>
  <c r="DG58" s="1"/>
  <c r="DH58" s="1"/>
  <c r="DI58" s="1"/>
  <c r="DJ58" s="1"/>
  <c r="DK58" s="1"/>
  <c r="DL58" s="1"/>
  <c r="DM58" s="1"/>
  <c r="DN58" s="1"/>
  <c r="DO58" s="1"/>
  <c r="DP58" s="1"/>
  <c r="DQ58" s="1"/>
  <c r="DR58" s="1"/>
  <c r="DS58" s="1"/>
  <c r="DT58" s="1"/>
  <c r="DU58" s="1"/>
  <c r="DV58" s="1"/>
  <c r="DW58" s="1"/>
  <c r="DX58" s="1"/>
  <c r="DY58" s="1"/>
  <c r="DZ58" s="1"/>
  <c r="EA58" s="1"/>
  <c r="EB58" s="1"/>
  <c r="EC58" s="1"/>
  <c r="ED58" s="1"/>
  <c r="EE58" s="1"/>
  <c r="EF58" s="1"/>
  <c r="EG58" s="1"/>
  <c r="EH58" s="1"/>
  <c r="EI58" s="1"/>
  <c r="EJ58" s="1"/>
  <c r="EK58" s="1"/>
  <c r="EL58" s="1"/>
  <c r="EM58" s="1"/>
  <c r="EN58" s="1"/>
  <c r="EO58" s="1"/>
  <c r="EP58" s="1"/>
  <c r="EQ58" s="1"/>
  <c r="ER58" s="1"/>
  <c r="ES58" s="1"/>
  <c r="ET58" s="1"/>
  <c r="EU58" s="1"/>
  <c r="EV58" s="1"/>
  <c r="EW58" s="1"/>
  <c r="EX58" s="1"/>
  <c r="EY58" s="1"/>
  <c r="EZ58" s="1"/>
  <c r="FA58" s="1"/>
  <c r="FB58" s="1"/>
  <c r="FC58" s="1"/>
  <c r="FD58" s="1"/>
  <c r="FE58" s="1"/>
  <c r="FF58" s="1"/>
  <c r="FG58" s="1"/>
  <c r="FH58" s="1"/>
  <c r="FI58" s="1"/>
  <c r="FJ58" s="1"/>
  <c r="FK58" s="1"/>
  <c r="FL58" s="1"/>
  <c r="FM58" s="1"/>
  <c r="FN58" s="1"/>
  <c r="FO58" s="1"/>
  <c r="FP58" s="1"/>
  <c r="FQ58" s="1"/>
  <c r="FR58" s="1"/>
  <c r="FS58" s="1"/>
  <c r="FT58" s="1"/>
  <c r="FU58" s="1"/>
  <c r="FV58" s="1"/>
  <c r="FW58" s="1"/>
  <c r="FX58" s="1"/>
  <c r="FY58" s="1"/>
  <c r="FZ58" s="1"/>
  <c r="GA58" s="1"/>
  <c r="GB58" s="1"/>
  <c r="GC58" s="1"/>
  <c r="GD58" s="1"/>
  <c r="GE58" s="1"/>
  <c r="GF58" s="1"/>
  <c r="GG58" s="1"/>
  <c r="GH58" s="1"/>
  <c r="GI58" s="1"/>
  <c r="GJ58" s="1"/>
  <c r="GK58" s="1"/>
  <c r="GL58" s="1"/>
  <c r="GM58" s="1"/>
  <c r="GN58" s="1"/>
  <c r="GO58" s="1"/>
  <c r="GP58" s="1"/>
  <c r="GQ58" s="1"/>
  <c r="GR58" s="1"/>
  <c r="GS58" s="1"/>
  <c r="GT58" s="1"/>
  <c r="GU58" s="1"/>
  <c r="GV58" s="1"/>
  <c r="GW58" s="1"/>
  <c r="GX58" s="1"/>
  <c r="GY58" s="1"/>
  <c r="GZ58" s="1"/>
  <c r="HA58" s="1"/>
  <c r="HB58" s="1"/>
  <c r="HC58" s="1"/>
  <c r="HD58" s="1"/>
  <c r="HE58" s="1"/>
  <c r="HF58" s="1"/>
  <c r="HG58" s="1"/>
  <c r="HH58" s="1"/>
  <c r="HI58" s="1"/>
  <c r="HJ58" s="1"/>
  <c r="HK58" s="1"/>
  <c r="HL58" s="1"/>
  <c r="HM58" s="1"/>
  <c r="HN58" s="1"/>
  <c r="HO58" s="1"/>
  <c r="HP58" s="1"/>
  <c r="HQ58" s="1"/>
  <c r="HR58" s="1"/>
  <c r="HS58" s="1"/>
  <c r="HT58" s="1"/>
  <c r="HU58" s="1"/>
  <c r="HV58" s="1"/>
  <c r="HW58" s="1"/>
  <c r="HX58" s="1"/>
  <c r="HY58" s="1"/>
  <c r="HZ58" s="1"/>
  <c r="IA58" s="1"/>
  <c r="IB58" s="1"/>
  <c r="IC58" s="1"/>
  <c r="ID58" s="1"/>
  <c r="IE58" s="1"/>
  <c r="IF58" s="1"/>
  <c r="IG58" s="1"/>
  <c r="IH58" s="1"/>
  <c r="II58" s="1"/>
  <c r="IJ58" s="1"/>
  <c r="IK58" s="1"/>
  <c r="IL58" s="1"/>
  <c r="IM58" s="1"/>
  <c r="IN58" s="1"/>
  <c r="IO58" s="1"/>
  <c r="IP58" s="1"/>
  <c r="IQ58" s="1"/>
  <c r="IR58" s="1"/>
  <c r="IS58" s="1"/>
  <c r="IT58" s="1"/>
  <c r="IU58" s="1"/>
  <c r="IV58" s="1"/>
  <c r="E58"/>
  <c r="I57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BP57" s="1"/>
  <c r="BQ57" s="1"/>
  <c r="BR57" s="1"/>
  <c r="BS57" s="1"/>
  <c r="BT57" s="1"/>
  <c r="BU57" s="1"/>
  <c r="BV57" s="1"/>
  <c r="BW57" s="1"/>
  <c r="BX57" s="1"/>
  <c r="BY57" s="1"/>
  <c r="BZ57" s="1"/>
  <c r="CA57" s="1"/>
  <c r="CB57" s="1"/>
  <c r="CC57" s="1"/>
  <c r="CD57" s="1"/>
  <c r="CE57" s="1"/>
  <c r="CF57" s="1"/>
  <c r="CG57" s="1"/>
  <c r="CH57" s="1"/>
  <c r="CI57" s="1"/>
  <c r="CJ57" s="1"/>
  <c r="CK57" s="1"/>
  <c r="CL57" s="1"/>
  <c r="CM57" s="1"/>
  <c r="CN57" s="1"/>
  <c r="CO57" s="1"/>
  <c r="CP57" s="1"/>
  <c r="CQ57" s="1"/>
  <c r="CR57" s="1"/>
  <c r="CS57" s="1"/>
  <c r="CT57" s="1"/>
  <c r="CU57" s="1"/>
  <c r="CV57" s="1"/>
  <c r="CW57" s="1"/>
  <c r="CX57" s="1"/>
  <c r="CY57" s="1"/>
  <c r="CZ57" s="1"/>
  <c r="DA57" s="1"/>
  <c r="DB57" s="1"/>
  <c r="DC57" s="1"/>
  <c r="DD57" s="1"/>
  <c r="DE57" s="1"/>
  <c r="DF57" s="1"/>
  <c r="DG57" s="1"/>
  <c r="DH57" s="1"/>
  <c r="DI57" s="1"/>
  <c r="DJ57" s="1"/>
  <c r="DK57" s="1"/>
  <c r="DL57" s="1"/>
  <c r="DM57" s="1"/>
  <c r="DN57" s="1"/>
  <c r="DO57" s="1"/>
  <c r="DP57" s="1"/>
  <c r="DQ57" s="1"/>
  <c r="DR57" s="1"/>
  <c r="DS57" s="1"/>
  <c r="DT57" s="1"/>
  <c r="DU57" s="1"/>
  <c r="DV57" s="1"/>
  <c r="DW57" s="1"/>
  <c r="DX57" s="1"/>
  <c r="DY57" s="1"/>
  <c r="DZ57" s="1"/>
  <c r="EA57" s="1"/>
  <c r="EB57" s="1"/>
  <c r="EC57" s="1"/>
  <c r="ED57" s="1"/>
  <c r="EE57" s="1"/>
  <c r="EF57" s="1"/>
  <c r="EG57" s="1"/>
  <c r="EH57" s="1"/>
  <c r="EI57" s="1"/>
  <c r="EJ57" s="1"/>
  <c r="EK57" s="1"/>
  <c r="EL57" s="1"/>
  <c r="EM57" s="1"/>
  <c r="EN57" s="1"/>
  <c r="EO57" s="1"/>
  <c r="EP57" s="1"/>
  <c r="EQ57" s="1"/>
  <c r="ER57" s="1"/>
  <c r="ES57" s="1"/>
  <c r="ET57" s="1"/>
  <c r="EU57" s="1"/>
  <c r="EV57" s="1"/>
  <c r="EW57" s="1"/>
  <c r="EX57" s="1"/>
  <c r="EY57" s="1"/>
  <c r="EZ57" s="1"/>
  <c r="FA57" s="1"/>
  <c r="FB57" s="1"/>
  <c r="FC57" s="1"/>
  <c r="FD57" s="1"/>
  <c r="FE57" s="1"/>
  <c r="FF57" s="1"/>
  <c r="FG57" s="1"/>
  <c r="FH57" s="1"/>
  <c r="FI57" s="1"/>
  <c r="FJ57" s="1"/>
  <c r="FK57" s="1"/>
  <c r="FL57" s="1"/>
  <c r="FM57" s="1"/>
  <c r="FN57" s="1"/>
  <c r="FO57" s="1"/>
  <c r="FP57" s="1"/>
  <c r="FQ57" s="1"/>
  <c r="FR57" s="1"/>
  <c r="FS57" s="1"/>
  <c r="FT57" s="1"/>
  <c r="FU57" s="1"/>
  <c r="FV57" s="1"/>
  <c r="FW57" s="1"/>
  <c r="FX57" s="1"/>
  <c r="FY57" s="1"/>
  <c r="FZ57" s="1"/>
  <c r="GA57" s="1"/>
  <c r="GB57" s="1"/>
  <c r="GC57" s="1"/>
  <c r="GD57" s="1"/>
  <c r="GE57" s="1"/>
  <c r="GF57" s="1"/>
  <c r="GG57" s="1"/>
  <c r="GH57" s="1"/>
  <c r="GI57" s="1"/>
  <c r="GJ57" s="1"/>
  <c r="GK57" s="1"/>
  <c r="GL57" s="1"/>
  <c r="GM57" s="1"/>
  <c r="GN57" s="1"/>
  <c r="GO57" s="1"/>
  <c r="GP57" s="1"/>
  <c r="GQ57" s="1"/>
  <c r="GR57" s="1"/>
  <c r="GS57" s="1"/>
  <c r="GT57" s="1"/>
  <c r="GU57" s="1"/>
  <c r="GV57" s="1"/>
  <c r="GW57" s="1"/>
  <c r="GX57" s="1"/>
  <c r="GY57" s="1"/>
  <c r="GZ57" s="1"/>
  <c r="HA57" s="1"/>
  <c r="HB57" s="1"/>
  <c r="HC57" s="1"/>
  <c r="HD57" s="1"/>
  <c r="HE57" s="1"/>
  <c r="HF57" s="1"/>
  <c r="HG57" s="1"/>
  <c r="HH57" s="1"/>
  <c r="HI57" s="1"/>
  <c r="HJ57" s="1"/>
  <c r="HK57" s="1"/>
  <c r="HL57" s="1"/>
  <c r="HM57" s="1"/>
  <c r="HN57" s="1"/>
  <c r="HO57" s="1"/>
  <c r="HP57" s="1"/>
  <c r="HQ57" s="1"/>
  <c r="HR57" s="1"/>
  <c r="HS57" s="1"/>
  <c r="HT57" s="1"/>
  <c r="HU57" s="1"/>
  <c r="HV57" s="1"/>
  <c r="HW57" s="1"/>
  <c r="HX57" s="1"/>
  <c r="HY57" s="1"/>
  <c r="HZ57" s="1"/>
  <c r="IA57" s="1"/>
  <c r="IB57" s="1"/>
  <c r="IC57" s="1"/>
  <c r="ID57" s="1"/>
  <c r="IE57" s="1"/>
  <c r="IF57" s="1"/>
  <c r="IG57" s="1"/>
  <c r="IH57" s="1"/>
  <c r="II57" s="1"/>
  <c r="IJ57" s="1"/>
  <c r="IK57" s="1"/>
  <c r="IL57" s="1"/>
  <c r="IM57" s="1"/>
  <c r="IN57" s="1"/>
  <c r="IO57" s="1"/>
  <c r="IP57" s="1"/>
  <c r="IQ57" s="1"/>
  <c r="IR57" s="1"/>
  <c r="IS57" s="1"/>
  <c r="IT57" s="1"/>
  <c r="IU57" s="1"/>
  <c r="IV57" s="1"/>
  <c r="G57"/>
  <c r="H57" s="1"/>
  <c r="F57"/>
  <c r="E57"/>
  <c r="IV44"/>
  <c r="IU44"/>
  <c r="IT44"/>
  <c r="IT41" s="1"/>
  <c r="IS44"/>
  <c r="IR44"/>
  <c r="IQ44"/>
  <c r="IP44"/>
  <c r="IO44"/>
  <c r="IO41" s="1"/>
  <c r="IN44"/>
  <c r="IM44"/>
  <c r="IL44"/>
  <c r="IK44"/>
  <c r="IJ44"/>
  <c r="II44"/>
  <c r="IH44"/>
  <c r="IG44"/>
  <c r="IG41" s="1"/>
  <c r="IF44"/>
  <c r="IE44"/>
  <c r="ID44"/>
  <c r="IC44"/>
  <c r="IB44"/>
  <c r="IA44"/>
  <c r="HZ44"/>
  <c r="HY44"/>
  <c r="HY41" s="1"/>
  <c r="HX44"/>
  <c r="HW44"/>
  <c r="HV44"/>
  <c r="HU44"/>
  <c r="HT44"/>
  <c r="HS44"/>
  <c r="HR44"/>
  <c r="HQ44"/>
  <c r="HQ41" s="1"/>
  <c r="HP44"/>
  <c r="HO44"/>
  <c r="HN44"/>
  <c r="HM44"/>
  <c r="HL44"/>
  <c r="HK44"/>
  <c r="HJ44"/>
  <c r="HI44"/>
  <c r="HI41" s="1"/>
  <c r="HH44"/>
  <c r="HG44"/>
  <c r="HF44"/>
  <c r="HF41" s="1"/>
  <c r="HE44"/>
  <c r="HD44"/>
  <c r="HC44"/>
  <c r="HB44"/>
  <c r="HA44"/>
  <c r="HA41" s="1"/>
  <c r="GZ44"/>
  <c r="GY44"/>
  <c r="GX44"/>
  <c r="GX41" s="1"/>
  <c r="GW44"/>
  <c r="GV44"/>
  <c r="GU44"/>
  <c r="GT44"/>
  <c r="GS44"/>
  <c r="GS41" s="1"/>
  <c r="GR44"/>
  <c r="GQ44"/>
  <c r="GP44"/>
  <c r="GO44"/>
  <c r="GN44"/>
  <c r="GM44"/>
  <c r="GL44"/>
  <c r="GK44"/>
  <c r="GK41" s="1"/>
  <c r="GJ44"/>
  <c r="GI44"/>
  <c r="GH44"/>
  <c r="GG44"/>
  <c r="GF44"/>
  <c r="GE44"/>
  <c r="GD44"/>
  <c r="GC44"/>
  <c r="GC41" s="1"/>
  <c r="GB44"/>
  <c r="GA44"/>
  <c r="FZ44"/>
  <c r="FY44"/>
  <c r="FX44"/>
  <c r="FW44"/>
  <c r="FV44"/>
  <c r="FU44"/>
  <c r="FT44"/>
  <c r="FS44"/>
  <c r="FR44"/>
  <c r="FQ44"/>
  <c r="FP44"/>
  <c r="FO44"/>
  <c r="FN44"/>
  <c r="FM44"/>
  <c r="FL44"/>
  <c r="FK44"/>
  <c r="FJ44"/>
  <c r="FI44"/>
  <c r="FH44"/>
  <c r="FG44"/>
  <c r="FF44"/>
  <c r="FE44"/>
  <c r="FD44"/>
  <c r="FC44"/>
  <c r="FB44"/>
  <c r="FA44"/>
  <c r="EZ44"/>
  <c r="EY44"/>
  <c r="EX44"/>
  <c r="EW44"/>
  <c r="EV44"/>
  <c r="EU44"/>
  <c r="ET44"/>
  <c r="ES44"/>
  <c r="ER44"/>
  <c r="EQ44"/>
  <c r="EP44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IV43"/>
  <c r="IU43"/>
  <c r="IT43"/>
  <c r="IS43"/>
  <c r="IR43"/>
  <c r="IQ43"/>
  <c r="IP43"/>
  <c r="IO43"/>
  <c r="IN43"/>
  <c r="IM43"/>
  <c r="IL43"/>
  <c r="IK43"/>
  <c r="IJ43"/>
  <c r="II43"/>
  <c r="IH43"/>
  <c r="IG43"/>
  <c r="IF43"/>
  <c r="IE43"/>
  <c r="ID43"/>
  <c r="IC43"/>
  <c r="IB43"/>
  <c r="IA43"/>
  <c r="HZ43"/>
  <c r="HY43"/>
  <c r="HX43"/>
  <c r="HW43"/>
  <c r="HV43"/>
  <c r="HU43"/>
  <c r="HT43"/>
  <c r="HS43"/>
  <c r="HR43"/>
  <c r="HQ43"/>
  <c r="HP43"/>
  <c r="HO43"/>
  <c r="HN43"/>
  <c r="HM43"/>
  <c r="HL43"/>
  <c r="HK43"/>
  <c r="HJ43"/>
  <c r="HI43"/>
  <c r="HH43"/>
  <c r="HG43"/>
  <c r="HF43"/>
  <c r="HE43"/>
  <c r="HD43"/>
  <c r="HC43"/>
  <c r="HB43"/>
  <c r="HA43"/>
  <c r="GZ43"/>
  <c r="GY43"/>
  <c r="GX43"/>
  <c r="GW43"/>
  <c r="GV43"/>
  <c r="GU43"/>
  <c r="GT43"/>
  <c r="GS43"/>
  <c r="GR43"/>
  <c r="GQ43"/>
  <c r="GP43"/>
  <c r="GO43"/>
  <c r="GN43"/>
  <c r="GM43"/>
  <c r="GL43"/>
  <c r="GK43"/>
  <c r="GJ43"/>
  <c r="GI43"/>
  <c r="GH43"/>
  <c r="GG43"/>
  <c r="GF43"/>
  <c r="GE43"/>
  <c r="GD43"/>
  <c r="GC43"/>
  <c r="GB43"/>
  <c r="GA43"/>
  <c r="FZ43"/>
  <c r="FY43"/>
  <c r="FX43"/>
  <c r="FW43"/>
  <c r="FV43"/>
  <c r="FU43"/>
  <c r="FT43"/>
  <c r="FS43"/>
  <c r="FR43"/>
  <c r="FQ43"/>
  <c r="FP43"/>
  <c r="FO43"/>
  <c r="FN43"/>
  <c r="FM43"/>
  <c r="FL43"/>
  <c r="FK43"/>
  <c r="FJ43"/>
  <c r="FI43"/>
  <c r="FH43"/>
  <c r="FG43"/>
  <c r="FF43"/>
  <c r="FE43"/>
  <c r="FD43"/>
  <c r="FC43"/>
  <c r="FB43"/>
  <c r="FA43"/>
  <c r="EZ43"/>
  <c r="EY43"/>
  <c r="EX43"/>
  <c r="EW43"/>
  <c r="EV43"/>
  <c r="EU43"/>
  <c r="ET43"/>
  <c r="ES43"/>
  <c r="ER43"/>
  <c r="EQ43"/>
  <c r="EP43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IV42"/>
  <c r="IU42"/>
  <c r="IU41" s="1"/>
  <c r="IT42"/>
  <c r="IS42"/>
  <c r="IR42"/>
  <c r="IQ42"/>
  <c r="IQ41" s="1"/>
  <c r="IP42"/>
  <c r="IO42"/>
  <c r="IN42"/>
  <c r="IM42"/>
  <c r="IM41" s="1"/>
  <c r="IL42"/>
  <c r="IK42"/>
  <c r="IJ42"/>
  <c r="II42"/>
  <c r="II41" s="1"/>
  <c r="IH42"/>
  <c r="IG42"/>
  <c r="IF42"/>
  <c r="IE42"/>
  <c r="IE41" s="1"/>
  <c r="ID42"/>
  <c r="IC42"/>
  <c r="IB42"/>
  <c r="IA42"/>
  <c r="IA41" s="1"/>
  <c r="HZ42"/>
  <c r="HY42"/>
  <c r="HX42"/>
  <c r="HW42"/>
  <c r="HW41" s="1"/>
  <c r="HV42"/>
  <c r="HU42"/>
  <c r="HT42"/>
  <c r="HS42"/>
  <c r="HS41" s="1"/>
  <c r="HR42"/>
  <c r="HQ42"/>
  <c r="HP42"/>
  <c r="HO42"/>
  <c r="HO41" s="1"/>
  <c r="HN42"/>
  <c r="HM42"/>
  <c r="HL42"/>
  <c r="HK42"/>
  <c r="HK41" s="1"/>
  <c r="HJ42"/>
  <c r="HI42"/>
  <c r="HH42"/>
  <c r="HG42"/>
  <c r="HG41" s="1"/>
  <c r="HF42"/>
  <c r="HE42"/>
  <c r="HD42"/>
  <c r="HC42"/>
  <c r="HC41" s="1"/>
  <c r="HB42"/>
  <c r="HA42"/>
  <c r="GZ42"/>
  <c r="GY42"/>
  <c r="GY41" s="1"/>
  <c r="GX42"/>
  <c r="GW42"/>
  <c r="GV42"/>
  <c r="GU42"/>
  <c r="GU41" s="1"/>
  <c r="GT42"/>
  <c r="GS42"/>
  <c r="GR42"/>
  <c r="GQ42"/>
  <c r="GQ41" s="1"/>
  <c r="GP42"/>
  <c r="GO42"/>
  <c r="GN42"/>
  <c r="GM42"/>
  <c r="GM41" s="1"/>
  <c r="GL42"/>
  <c r="GK42"/>
  <c r="GJ42"/>
  <c r="GI42"/>
  <c r="GI41" s="1"/>
  <c r="GH42"/>
  <c r="GG42"/>
  <c r="GF42"/>
  <c r="GE42"/>
  <c r="GE41" s="1"/>
  <c r="GD42"/>
  <c r="GC42"/>
  <c r="GB42"/>
  <c r="GA42"/>
  <c r="FZ42"/>
  <c r="FY42"/>
  <c r="FX42"/>
  <c r="FW42"/>
  <c r="FW41" s="1"/>
  <c r="FV42"/>
  <c r="FU42"/>
  <c r="FT42"/>
  <c r="FS42"/>
  <c r="FR42"/>
  <c r="FQ42"/>
  <c r="FP42"/>
  <c r="FO42"/>
  <c r="FO41" s="1"/>
  <c r="FN42"/>
  <c r="FM42"/>
  <c r="FL42"/>
  <c r="FK42"/>
  <c r="FJ42"/>
  <c r="FI42"/>
  <c r="FH42"/>
  <c r="FG42"/>
  <c r="FG41" s="1"/>
  <c r="FF42"/>
  <c r="FE42"/>
  <c r="FD42"/>
  <c r="FC42"/>
  <c r="FB42"/>
  <c r="FA42"/>
  <c r="EZ42"/>
  <c r="EY42"/>
  <c r="EY41" s="1"/>
  <c r="EX42"/>
  <c r="EW42"/>
  <c r="EV42"/>
  <c r="EU42"/>
  <c r="ET42"/>
  <c r="ES42"/>
  <c r="ER42"/>
  <c r="EQ42"/>
  <c r="EQ41" s="1"/>
  <c r="EP42"/>
  <c r="EO42"/>
  <c r="EN42"/>
  <c r="EM42"/>
  <c r="EL42"/>
  <c r="EK42"/>
  <c r="EJ42"/>
  <c r="EI42"/>
  <c r="EI41" s="1"/>
  <c r="EH42"/>
  <c r="EG42"/>
  <c r="EF42"/>
  <c r="EE42"/>
  <c r="ED42"/>
  <c r="EC42"/>
  <c r="EB42"/>
  <c r="EA42"/>
  <c r="EA41" s="1"/>
  <c r="DZ42"/>
  <c r="DY42"/>
  <c r="DX42"/>
  <c r="DW42"/>
  <c r="DV42"/>
  <c r="DU42"/>
  <c r="DT42"/>
  <c r="DS42"/>
  <c r="DS41" s="1"/>
  <c r="DR42"/>
  <c r="DQ42"/>
  <c r="DP42"/>
  <c r="DO42"/>
  <c r="DN42"/>
  <c r="DM42"/>
  <c r="DL42"/>
  <c r="DK42"/>
  <c r="DK41" s="1"/>
  <c r="DJ42"/>
  <c r="DI42"/>
  <c r="DH42"/>
  <c r="DG42"/>
  <c r="DF42"/>
  <c r="DE42"/>
  <c r="DD42"/>
  <c r="DC42"/>
  <c r="DC41" s="1"/>
  <c r="DB42"/>
  <c r="DA42"/>
  <c r="CZ42"/>
  <c r="CY42"/>
  <c r="CX42"/>
  <c r="CW42"/>
  <c r="CV42"/>
  <c r="CU42"/>
  <c r="CU41" s="1"/>
  <c r="CT42"/>
  <c r="CS42"/>
  <c r="CR42"/>
  <c r="CQ42"/>
  <c r="CP42"/>
  <c r="CO42"/>
  <c r="CN42"/>
  <c r="CM42"/>
  <c r="CM41" s="1"/>
  <c r="CL42"/>
  <c r="CK42"/>
  <c r="CJ42"/>
  <c r="CI42"/>
  <c r="CH42"/>
  <c r="CG42"/>
  <c r="CF42"/>
  <c r="CE42"/>
  <c r="CE41" s="1"/>
  <c r="CD42"/>
  <c r="CC42"/>
  <c r="CB42"/>
  <c r="CA42"/>
  <c r="BZ42"/>
  <c r="BY42"/>
  <c r="BX42"/>
  <c r="BW42"/>
  <c r="BW41" s="1"/>
  <c r="BV42"/>
  <c r="BU42"/>
  <c r="BT42"/>
  <c r="BS42"/>
  <c r="BR42"/>
  <c r="BQ42"/>
  <c r="BP42"/>
  <c r="BO42"/>
  <c r="BO41" s="1"/>
  <c r="BN42"/>
  <c r="BM42"/>
  <c r="BL42"/>
  <c r="BK42"/>
  <c r="BJ42"/>
  <c r="BI42"/>
  <c r="BH42"/>
  <c r="BG42"/>
  <c r="BG41" s="1"/>
  <c r="BF42"/>
  <c r="BE42"/>
  <c r="BD42"/>
  <c r="BC42"/>
  <c r="BB42"/>
  <c r="BA42"/>
  <c r="AZ42"/>
  <c r="AY42"/>
  <c r="AY41" s="1"/>
  <c r="AX42"/>
  <c r="AW42"/>
  <c r="AV42"/>
  <c r="AU42"/>
  <c r="AT42"/>
  <c r="AS42"/>
  <c r="AR42"/>
  <c r="AQ42"/>
  <c r="AQ41" s="1"/>
  <c r="AP42"/>
  <c r="AO42"/>
  <c r="AN42"/>
  <c r="AM42"/>
  <c r="AL42"/>
  <c r="AK42"/>
  <c r="AJ42"/>
  <c r="AI42"/>
  <c r="AI41" s="1"/>
  <c r="AH42"/>
  <c r="AG42"/>
  <c r="AF42"/>
  <c r="AE42"/>
  <c r="AD42"/>
  <c r="AC42"/>
  <c r="AB42"/>
  <c r="AA42"/>
  <c r="AA41" s="1"/>
  <c r="Z42"/>
  <c r="Y42"/>
  <c r="X42"/>
  <c r="W42"/>
  <c r="V42"/>
  <c r="U42"/>
  <c r="T42"/>
  <c r="S42"/>
  <c r="S41" s="1"/>
  <c r="R42"/>
  <c r="Q42"/>
  <c r="P42"/>
  <c r="O42"/>
  <c r="N42"/>
  <c r="M42"/>
  <c r="L42"/>
  <c r="K42"/>
  <c r="K41" s="1"/>
  <c r="J42"/>
  <c r="I42"/>
  <c r="H42"/>
  <c r="G42"/>
  <c r="F42"/>
  <c r="ID41"/>
  <c r="HV41"/>
  <c r="CH41"/>
  <c r="AX41"/>
  <c r="E44"/>
  <c r="B44"/>
  <c r="E43"/>
  <c r="E42"/>
  <c r="B43"/>
  <c r="B42"/>
  <c r="IV52"/>
  <c r="IU52"/>
  <c r="IT52"/>
  <c r="IS52"/>
  <c r="IR52"/>
  <c r="IQ52"/>
  <c r="IP52"/>
  <c r="IO52"/>
  <c r="IN52"/>
  <c r="IM52"/>
  <c r="IL52"/>
  <c r="IK52"/>
  <c r="IJ52"/>
  <c r="II52"/>
  <c r="IH52"/>
  <c r="IG52"/>
  <c r="IF52"/>
  <c r="IE52"/>
  <c r="ID52"/>
  <c r="IC52"/>
  <c r="IB52"/>
  <c r="IA52"/>
  <c r="HZ52"/>
  <c r="HY52"/>
  <c r="HX52"/>
  <c r="HW52"/>
  <c r="HV52"/>
  <c r="HU52"/>
  <c r="HT52"/>
  <c r="HS52"/>
  <c r="HR52"/>
  <c r="HQ52"/>
  <c r="HP52"/>
  <c r="HO52"/>
  <c r="HN52"/>
  <c r="HM52"/>
  <c r="HL52"/>
  <c r="HK52"/>
  <c r="HJ52"/>
  <c r="HI52"/>
  <c r="HH52"/>
  <c r="HG52"/>
  <c r="HF52"/>
  <c r="HE52"/>
  <c r="HD52"/>
  <c r="HC52"/>
  <c r="HB52"/>
  <c r="HA52"/>
  <c r="GZ52"/>
  <c r="GY52"/>
  <c r="GX52"/>
  <c r="GW52"/>
  <c r="GV52"/>
  <c r="GU52"/>
  <c r="GT52"/>
  <c r="GS52"/>
  <c r="GR52"/>
  <c r="GQ52"/>
  <c r="GP52"/>
  <c r="GO52"/>
  <c r="GN52"/>
  <c r="GM52"/>
  <c r="GL52"/>
  <c r="GK52"/>
  <c r="GJ52"/>
  <c r="GI52"/>
  <c r="GH52"/>
  <c r="GG52"/>
  <c r="GF52"/>
  <c r="GE52"/>
  <c r="GD52"/>
  <c r="GC52"/>
  <c r="GB52"/>
  <c r="GA52"/>
  <c r="FZ52"/>
  <c r="FY52"/>
  <c r="FX52"/>
  <c r="FW52"/>
  <c r="FV52"/>
  <c r="FU52"/>
  <c r="FT52"/>
  <c r="FS52"/>
  <c r="FR52"/>
  <c r="FQ52"/>
  <c r="FP52"/>
  <c r="FO52"/>
  <c r="FN52"/>
  <c r="FM52"/>
  <c r="FL52"/>
  <c r="FK52"/>
  <c r="FJ52"/>
  <c r="FI52"/>
  <c r="FH52"/>
  <c r="FG52"/>
  <c r="FF52"/>
  <c r="FE52"/>
  <c r="FD52"/>
  <c r="FC52"/>
  <c r="FB52"/>
  <c r="FA52"/>
  <c r="EZ52"/>
  <c r="EY52"/>
  <c r="EX52"/>
  <c r="EW52"/>
  <c r="EV52"/>
  <c r="EU52"/>
  <c r="ET52"/>
  <c r="ES52"/>
  <c r="ER52"/>
  <c r="EQ52"/>
  <c r="EP52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IV51"/>
  <c r="IU51"/>
  <c r="IT51"/>
  <c r="IS51"/>
  <c r="IR51"/>
  <c r="IQ51"/>
  <c r="IP51"/>
  <c r="IO51"/>
  <c r="IN51"/>
  <c r="IM51"/>
  <c r="IL51"/>
  <c r="IK51"/>
  <c r="IJ51"/>
  <c r="II51"/>
  <c r="IH51"/>
  <c r="IG51"/>
  <c r="IF51"/>
  <c r="IE51"/>
  <c r="ID51"/>
  <c r="IC51"/>
  <c r="IB51"/>
  <c r="IA51"/>
  <c r="HZ51"/>
  <c r="HY51"/>
  <c r="HX51"/>
  <c r="HW51"/>
  <c r="HV51"/>
  <c r="HU51"/>
  <c r="HT51"/>
  <c r="HS51"/>
  <c r="HR51"/>
  <c r="HQ51"/>
  <c r="HP51"/>
  <c r="HO51"/>
  <c r="HN51"/>
  <c r="HM51"/>
  <c r="HL51"/>
  <c r="HK51"/>
  <c r="HJ51"/>
  <c r="HI51"/>
  <c r="HH51"/>
  <c r="HG51"/>
  <c r="HF51"/>
  <c r="HE51"/>
  <c r="HD51"/>
  <c r="HC51"/>
  <c r="HB51"/>
  <c r="HA51"/>
  <c r="GZ51"/>
  <c r="GY51"/>
  <c r="GX51"/>
  <c r="GW51"/>
  <c r="GV51"/>
  <c r="GU51"/>
  <c r="GT51"/>
  <c r="GS51"/>
  <c r="GR51"/>
  <c r="GQ51"/>
  <c r="GP51"/>
  <c r="GO51"/>
  <c r="GN51"/>
  <c r="GM51"/>
  <c r="GL51"/>
  <c r="GK51"/>
  <c r="GJ51"/>
  <c r="GI51"/>
  <c r="GH51"/>
  <c r="GG51"/>
  <c r="GF51"/>
  <c r="GE51"/>
  <c r="GD51"/>
  <c r="GC51"/>
  <c r="GB51"/>
  <c r="GA51"/>
  <c r="FZ51"/>
  <c r="FY51"/>
  <c r="FX51"/>
  <c r="FW51"/>
  <c r="FV51"/>
  <c r="FU51"/>
  <c r="FT51"/>
  <c r="FS51"/>
  <c r="FR51"/>
  <c r="FQ51"/>
  <c r="FP51"/>
  <c r="FO51"/>
  <c r="FN51"/>
  <c r="FM51"/>
  <c r="FL51"/>
  <c r="FK51"/>
  <c r="FJ51"/>
  <c r="FI51"/>
  <c r="FH51"/>
  <c r="FG51"/>
  <c r="FF51"/>
  <c r="FE51"/>
  <c r="FD51"/>
  <c r="FC51"/>
  <c r="FB51"/>
  <c r="FA51"/>
  <c r="EZ51"/>
  <c r="EY51"/>
  <c r="EX51"/>
  <c r="EW51"/>
  <c r="EV51"/>
  <c r="EU51"/>
  <c r="ET51"/>
  <c r="ES51"/>
  <c r="ER51"/>
  <c r="EQ51"/>
  <c r="EP51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F62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E62"/>
  <c r="FK60"/>
  <c r="HW55"/>
  <c r="FC55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ES49"/>
  <c r="ET49"/>
  <c r="EU49"/>
  <c r="EV49"/>
  <c r="EW49"/>
  <c r="EX49"/>
  <c r="EY49"/>
  <c r="EZ49"/>
  <c r="FA49"/>
  <c r="FB49"/>
  <c r="FC49"/>
  <c r="FD49"/>
  <c r="FE49"/>
  <c r="FF49"/>
  <c r="FG49"/>
  <c r="FH49"/>
  <c r="FI49"/>
  <c r="FJ49"/>
  <c r="FK49"/>
  <c r="FL49"/>
  <c r="FM49"/>
  <c r="FN49"/>
  <c r="FO49"/>
  <c r="FP49"/>
  <c r="FQ49"/>
  <c r="FR49"/>
  <c r="FS49"/>
  <c r="FT49"/>
  <c r="FU49"/>
  <c r="FV49"/>
  <c r="FW49"/>
  <c r="FX49"/>
  <c r="FY49"/>
  <c r="FZ49"/>
  <c r="GA49"/>
  <c r="GB49"/>
  <c r="GC49"/>
  <c r="GD49"/>
  <c r="GE49"/>
  <c r="GF49"/>
  <c r="GG49"/>
  <c r="GH49"/>
  <c r="GI49"/>
  <c r="GJ49"/>
  <c r="GK49"/>
  <c r="GL49"/>
  <c r="GM49"/>
  <c r="GN49"/>
  <c r="GO49"/>
  <c r="GP49"/>
  <c r="GQ49"/>
  <c r="GR49"/>
  <c r="GS49"/>
  <c r="GT49"/>
  <c r="GU49"/>
  <c r="GV49"/>
  <c r="GW49"/>
  <c r="GX49"/>
  <c r="GY49"/>
  <c r="GZ49"/>
  <c r="HA49"/>
  <c r="HB49"/>
  <c r="HC49"/>
  <c r="HD49"/>
  <c r="HE49"/>
  <c r="HF49"/>
  <c r="HG49"/>
  <c r="HH49"/>
  <c r="HI49"/>
  <c r="HJ49"/>
  <c r="HK49"/>
  <c r="HL49"/>
  <c r="HM49"/>
  <c r="HN49"/>
  <c r="HO49"/>
  <c r="HP49"/>
  <c r="HQ49"/>
  <c r="HR49"/>
  <c r="HS49"/>
  <c r="HT49"/>
  <c r="HU49"/>
  <c r="HV49"/>
  <c r="HW49"/>
  <c r="HX49"/>
  <c r="HY49"/>
  <c r="HZ49"/>
  <c r="IA49"/>
  <c r="IB49"/>
  <c r="IC49"/>
  <c r="ID49"/>
  <c r="IE49"/>
  <c r="IF49"/>
  <c r="IG49"/>
  <c r="IH49"/>
  <c r="II49"/>
  <c r="IJ49"/>
  <c r="IK49"/>
  <c r="IL49"/>
  <c r="IM49"/>
  <c r="IN49"/>
  <c r="IO49"/>
  <c r="IP49"/>
  <c r="IQ49"/>
  <c r="IR49"/>
  <c r="IS49"/>
  <c r="IT49"/>
  <c r="IU49"/>
  <c r="IV49"/>
  <c r="E52"/>
  <c r="J59"/>
  <c r="BM59"/>
  <c r="DY59"/>
  <c r="FM59"/>
  <c r="HB59"/>
  <c r="L55"/>
  <c r="IV48"/>
  <c r="IU48"/>
  <c r="IT48"/>
  <c r="IS48"/>
  <c r="IR48"/>
  <c r="IQ48"/>
  <c r="IP48"/>
  <c r="IO48"/>
  <c r="IN48"/>
  <c r="IM48"/>
  <c r="IL48"/>
  <c r="IK48"/>
  <c r="IJ48"/>
  <c r="II48"/>
  <c r="IH48"/>
  <c r="IG48"/>
  <c r="IF48"/>
  <c r="IE48"/>
  <c r="ID48"/>
  <c r="IC48"/>
  <c r="IB48"/>
  <c r="IA48"/>
  <c r="HZ48"/>
  <c r="HY48"/>
  <c r="HX48"/>
  <c r="HW48"/>
  <c r="HV48"/>
  <c r="HU48"/>
  <c r="HT48"/>
  <c r="HS48"/>
  <c r="HR48"/>
  <c r="HQ48"/>
  <c r="HP48"/>
  <c r="HO48"/>
  <c r="HN48"/>
  <c r="HM48"/>
  <c r="HL48"/>
  <c r="HK48"/>
  <c r="HJ48"/>
  <c r="HI48"/>
  <c r="HH48"/>
  <c r="HG48"/>
  <c r="HF48"/>
  <c r="HE48"/>
  <c r="HD48"/>
  <c r="HC48"/>
  <c r="HB48"/>
  <c r="HA48"/>
  <c r="GZ48"/>
  <c r="GY48"/>
  <c r="GX48"/>
  <c r="GW48"/>
  <c r="GV48"/>
  <c r="GU48"/>
  <c r="GT48"/>
  <c r="GS48"/>
  <c r="GR48"/>
  <c r="GQ48"/>
  <c r="GP48"/>
  <c r="GO48"/>
  <c r="GN48"/>
  <c r="GM48"/>
  <c r="GL48"/>
  <c r="GK48"/>
  <c r="GJ48"/>
  <c r="GI48"/>
  <c r="GH48"/>
  <c r="GG48"/>
  <c r="GF48"/>
  <c r="GE48"/>
  <c r="GD48"/>
  <c r="GC48"/>
  <c r="GB48"/>
  <c r="GA48"/>
  <c r="FZ48"/>
  <c r="FY48"/>
  <c r="FX48"/>
  <c r="FW48"/>
  <c r="FV48"/>
  <c r="FU48"/>
  <c r="FT48"/>
  <c r="FS48"/>
  <c r="FR48"/>
  <c r="FQ48"/>
  <c r="FP48"/>
  <c r="FO48"/>
  <c r="FN48"/>
  <c r="FM48"/>
  <c r="FL48"/>
  <c r="FK48"/>
  <c r="FJ48"/>
  <c r="FI48"/>
  <c r="FH48"/>
  <c r="FG48"/>
  <c r="FF48"/>
  <c r="FE48"/>
  <c r="FD48"/>
  <c r="FC48"/>
  <c r="FB48"/>
  <c r="FA48"/>
  <c r="EZ48"/>
  <c r="EY48"/>
  <c r="EX48"/>
  <c r="EW48"/>
  <c r="EV48"/>
  <c r="EU48"/>
  <c r="ET48"/>
  <c r="ES48"/>
  <c r="ER48"/>
  <c r="EQ48"/>
  <c r="EP48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IM55"/>
  <c r="IE55"/>
  <c r="GY55"/>
  <c r="GW55"/>
  <c r="GM55"/>
  <c r="FZ55"/>
  <c r="FK55"/>
  <c r="FJ60"/>
  <c r="ET55"/>
  <c r="EE55"/>
  <c r="DV55"/>
  <c r="DG55"/>
  <c r="DF55"/>
  <c r="CY55"/>
  <c r="CQ55"/>
  <c r="CP55"/>
  <c r="CI55"/>
  <c r="BJ55"/>
  <c r="BG55"/>
  <c r="AQ55"/>
  <c r="AM55"/>
  <c r="AD55"/>
  <c r="IV56"/>
  <c r="IU56"/>
  <c r="IT56"/>
  <c r="IS56"/>
  <c r="IR56"/>
  <c r="IQ56"/>
  <c r="IP56"/>
  <c r="IO56"/>
  <c r="IO59" s="1"/>
  <c r="IN56"/>
  <c r="IM56"/>
  <c r="IL56"/>
  <c r="IK56"/>
  <c r="IJ56"/>
  <c r="II56"/>
  <c r="IH56"/>
  <c r="IG56"/>
  <c r="IG59" s="1"/>
  <c r="IF56"/>
  <c r="IE56"/>
  <c r="ID56"/>
  <c r="IC56"/>
  <c r="IB56"/>
  <c r="IA56"/>
  <c r="HZ56"/>
  <c r="HY56"/>
  <c r="HX56"/>
  <c r="HW56"/>
  <c r="HV56"/>
  <c r="HU56"/>
  <c r="HT56"/>
  <c r="HS56"/>
  <c r="HR56"/>
  <c r="HQ56"/>
  <c r="HP56"/>
  <c r="HO56"/>
  <c r="HN56"/>
  <c r="HM56"/>
  <c r="HL56"/>
  <c r="HK56"/>
  <c r="HJ56"/>
  <c r="HI56"/>
  <c r="HI59" s="1"/>
  <c r="HH56"/>
  <c r="HG56"/>
  <c r="HF56"/>
  <c r="HE56"/>
  <c r="HE59" s="1"/>
  <c r="HD56"/>
  <c r="HC56"/>
  <c r="HB56"/>
  <c r="HA56"/>
  <c r="GZ56"/>
  <c r="GZ59" s="1"/>
  <c r="GY56"/>
  <c r="GX56"/>
  <c r="GX59" s="1"/>
  <c r="GW56"/>
  <c r="GV56"/>
  <c r="GU56"/>
  <c r="GT56"/>
  <c r="GS56"/>
  <c r="GR56"/>
  <c r="GQ56"/>
  <c r="GP56"/>
  <c r="GO56"/>
  <c r="GN56"/>
  <c r="GM56"/>
  <c r="GL56"/>
  <c r="GK56"/>
  <c r="GJ56"/>
  <c r="GI56"/>
  <c r="GH56"/>
  <c r="GG56"/>
  <c r="GF56"/>
  <c r="GE56"/>
  <c r="GD56"/>
  <c r="GC56"/>
  <c r="GB56"/>
  <c r="GA56"/>
  <c r="FZ56"/>
  <c r="FY56"/>
  <c r="FX56"/>
  <c r="FW56"/>
  <c r="FV56"/>
  <c r="FU56"/>
  <c r="FT56"/>
  <c r="FS56"/>
  <c r="FR56"/>
  <c r="FQ56"/>
  <c r="FP56"/>
  <c r="FO56"/>
  <c r="FN56"/>
  <c r="FM56"/>
  <c r="FL56"/>
  <c r="FK56"/>
  <c r="FJ56"/>
  <c r="FJ59" s="1"/>
  <c r="FI56"/>
  <c r="FH56"/>
  <c r="FG56"/>
  <c r="FF56"/>
  <c r="FE56"/>
  <c r="FD56"/>
  <c r="FC56"/>
  <c r="FB56"/>
  <c r="FA56"/>
  <c r="EZ56"/>
  <c r="EY56"/>
  <c r="EX56"/>
  <c r="EW56"/>
  <c r="EV56"/>
  <c r="EU56"/>
  <c r="ET56"/>
  <c r="ES56"/>
  <c r="ER56"/>
  <c r="EQ56"/>
  <c r="EP56"/>
  <c r="EO56"/>
  <c r="EN56"/>
  <c r="EM56"/>
  <c r="EL56"/>
  <c r="EK56"/>
  <c r="EJ56"/>
  <c r="EI56"/>
  <c r="EH56"/>
  <c r="EG56"/>
  <c r="EF56"/>
  <c r="EE56"/>
  <c r="ED56"/>
  <c r="EC56"/>
  <c r="EB56"/>
  <c r="EA56"/>
  <c r="DZ56"/>
  <c r="DZ59" s="1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I59" s="1"/>
  <c r="DH56"/>
  <c r="DG56"/>
  <c r="DF56"/>
  <c r="DE56"/>
  <c r="DD56"/>
  <c r="DC56"/>
  <c r="DB56"/>
  <c r="DA56"/>
  <c r="CZ56"/>
  <c r="CY56"/>
  <c r="CX56"/>
  <c r="CX59" s="1"/>
  <c r="CW56"/>
  <c r="CV56"/>
  <c r="CU56"/>
  <c r="CT56"/>
  <c r="CS56"/>
  <c r="CR56"/>
  <c r="CQ56"/>
  <c r="CP56"/>
  <c r="CP59" s="1"/>
  <c r="CO56"/>
  <c r="CN56"/>
  <c r="CM56"/>
  <c r="CL56"/>
  <c r="CK56"/>
  <c r="CJ56"/>
  <c r="CJ59" s="1"/>
  <c r="CI56"/>
  <c r="CH56"/>
  <c r="CG56"/>
  <c r="CF56"/>
  <c r="CE56"/>
  <c r="CD56"/>
  <c r="CC56"/>
  <c r="CB56"/>
  <c r="CB59" s="1"/>
  <c r="CA56"/>
  <c r="BZ56"/>
  <c r="BZ59" s="1"/>
  <c r="BY56"/>
  <c r="BX56"/>
  <c r="BW56"/>
  <c r="BV56"/>
  <c r="BU56"/>
  <c r="BT56"/>
  <c r="BS56"/>
  <c r="BR56"/>
  <c r="BR59" s="1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W59" s="1"/>
  <c r="AV56"/>
  <c r="AU56"/>
  <c r="AT56"/>
  <c r="AS56"/>
  <c r="AR56"/>
  <c r="AQ56"/>
  <c r="AP56"/>
  <c r="AO56"/>
  <c r="AN56"/>
  <c r="AM56"/>
  <c r="AL56"/>
  <c r="AK56"/>
  <c r="AJ56"/>
  <c r="AI56"/>
  <c r="AH56"/>
  <c r="AH59" s="1"/>
  <c r="AG56"/>
  <c r="AF56"/>
  <c r="AE56"/>
  <c r="AD56"/>
  <c r="AC56"/>
  <c r="AB56"/>
  <c r="AA56"/>
  <c r="Z56"/>
  <c r="Y56"/>
  <c r="X56"/>
  <c r="W56"/>
  <c r="V56"/>
  <c r="U56"/>
  <c r="T56"/>
  <c r="S56"/>
  <c r="R56"/>
  <c r="Q56"/>
  <c r="F56"/>
  <c r="G56"/>
  <c r="H56"/>
  <c r="I56"/>
  <c r="J56"/>
  <c r="K56"/>
  <c r="L56"/>
  <c r="M56"/>
  <c r="N56"/>
  <c r="N59" s="1"/>
  <c r="O56"/>
  <c r="P56"/>
  <c r="E56"/>
  <c r="DM60" l="1"/>
  <c r="FY60"/>
  <c r="IK60"/>
  <c r="CO60"/>
  <c r="ES60"/>
  <c r="CG60"/>
  <c r="FA60"/>
  <c r="ER55"/>
  <c r="BX55"/>
  <c r="T55"/>
  <c r="G59"/>
  <c r="AM59"/>
  <c r="BS59"/>
  <c r="EE59"/>
  <c r="FS59"/>
  <c r="HO59"/>
  <c r="IE59"/>
  <c r="IK55"/>
  <c r="HM55"/>
  <c r="HE55"/>
  <c r="GG55"/>
  <c r="FY55"/>
  <c r="FQ55"/>
  <c r="FI55"/>
  <c r="FA55"/>
  <c r="ES55"/>
  <c r="DM55"/>
  <c r="DE55"/>
  <c r="CW55"/>
  <c r="CO55"/>
  <c r="CG55"/>
  <c r="BI55"/>
  <c r="AS55"/>
  <c r="AK55"/>
  <c r="AC55"/>
  <c r="U55"/>
  <c r="DR55"/>
  <c r="DJ55"/>
  <c r="CT55"/>
  <c r="AH55"/>
  <c r="J60"/>
  <c r="FO59"/>
  <c r="IG55"/>
  <c r="HQ55"/>
  <c r="GS55"/>
  <c r="FU55"/>
  <c r="EW55"/>
  <c r="AG55"/>
  <c r="G41"/>
  <c r="AM41"/>
  <c r="BS41"/>
  <c r="DG41"/>
  <c r="EU41"/>
  <c r="GA41"/>
  <c r="I41"/>
  <c r="Q41"/>
  <c r="Y41"/>
  <c r="AG41"/>
  <c r="AO41"/>
  <c r="AW41"/>
  <c r="BE41"/>
  <c r="BM41"/>
  <c r="BU41"/>
  <c r="CC41"/>
  <c r="CK41"/>
  <c r="CS41"/>
  <c r="DA41"/>
  <c r="DI41"/>
  <c r="DQ41"/>
  <c r="DY41"/>
  <c r="EG41"/>
  <c r="EO41"/>
  <c r="EW41"/>
  <c r="FE41"/>
  <c r="FM41"/>
  <c r="FU41"/>
  <c r="AE41"/>
  <c r="BK41"/>
  <c r="CQ41"/>
  <c r="DW41"/>
  <c r="FC41"/>
  <c r="AD41"/>
  <c r="AL41"/>
  <c r="BZ41"/>
  <c r="CX41"/>
  <c r="DF41"/>
  <c r="EL41"/>
  <c r="FJ41"/>
  <c r="FR41"/>
  <c r="W41"/>
  <c r="AU41"/>
  <c r="CA41"/>
  <c r="CY41"/>
  <c r="EE41"/>
  <c r="FK41"/>
  <c r="O41"/>
  <c r="BC41"/>
  <c r="CI41"/>
  <c r="DO41"/>
  <c r="EM41"/>
  <c r="FS41"/>
  <c r="P41"/>
  <c r="AF41"/>
  <c r="AV41"/>
  <c r="BT41"/>
  <c r="CJ41"/>
  <c r="CZ41"/>
  <c r="DP41"/>
  <c r="BQ41"/>
  <c r="CO41"/>
  <c r="EK41"/>
  <c r="FA41"/>
  <c r="GW41"/>
  <c r="H41"/>
  <c r="X41"/>
  <c r="AN41"/>
  <c r="BD41"/>
  <c r="BL41"/>
  <c r="CB41"/>
  <c r="CR41"/>
  <c r="DH41"/>
  <c r="DX41"/>
  <c r="BY41"/>
  <c r="EC41"/>
  <c r="FI41"/>
  <c r="HM41"/>
  <c r="J41"/>
  <c r="R41"/>
  <c r="Z41"/>
  <c r="AH41"/>
  <c r="AP41"/>
  <c r="BF41"/>
  <c r="BN41"/>
  <c r="BV41"/>
  <c r="CD41"/>
  <c r="CL41"/>
  <c r="CT41"/>
  <c r="DB41"/>
  <c r="DJ41"/>
  <c r="DR41"/>
  <c r="DZ41"/>
  <c r="EH41"/>
  <c r="EP41"/>
  <c r="EX41"/>
  <c r="FF41"/>
  <c r="FN41"/>
  <c r="FV41"/>
  <c r="GD41"/>
  <c r="GL41"/>
  <c r="GT41"/>
  <c r="HB41"/>
  <c r="HJ41"/>
  <c r="HR41"/>
  <c r="HZ41"/>
  <c r="IH41"/>
  <c r="IP41"/>
  <c r="F41"/>
  <c r="N41"/>
  <c r="V41"/>
  <c r="AT41"/>
  <c r="BB41"/>
  <c r="BJ41"/>
  <c r="BR41"/>
  <c r="CP41"/>
  <c r="DN41"/>
  <c r="DV41"/>
  <c r="ED41"/>
  <c r="ET41"/>
  <c r="FB41"/>
  <c r="FZ41"/>
  <c r="GH41"/>
  <c r="GP41"/>
  <c r="HN41"/>
  <c r="IL41"/>
  <c r="GO41"/>
  <c r="HU41"/>
  <c r="EF41"/>
  <c r="EN41"/>
  <c r="EV41"/>
  <c r="FD41"/>
  <c r="FL41"/>
  <c r="FT41"/>
  <c r="GB41"/>
  <c r="GJ41"/>
  <c r="GR41"/>
  <c r="GZ41"/>
  <c r="HH41"/>
  <c r="HP41"/>
  <c r="HX41"/>
  <c r="IF41"/>
  <c r="IN41"/>
  <c r="IV41"/>
  <c r="M41"/>
  <c r="U41"/>
  <c r="AC41"/>
  <c r="AK41"/>
  <c r="AS41"/>
  <c r="BA41"/>
  <c r="BI41"/>
  <c r="CG41"/>
  <c r="CW41"/>
  <c r="DE41"/>
  <c r="DM41"/>
  <c r="DU41"/>
  <c r="ES41"/>
  <c r="FQ41"/>
  <c r="FY41"/>
  <c r="GG41"/>
  <c r="HE41"/>
  <c r="IC41"/>
  <c r="IK41"/>
  <c r="IS41"/>
  <c r="E41"/>
  <c r="L41"/>
  <c r="T41"/>
  <c r="AB41"/>
  <c r="AJ41"/>
  <c r="AR41"/>
  <c r="AZ41"/>
  <c r="BH41"/>
  <c r="BP41"/>
  <c r="BX41"/>
  <c r="CF41"/>
  <c r="CN41"/>
  <c r="CV41"/>
  <c r="DD41"/>
  <c r="DL41"/>
  <c r="DT41"/>
  <c r="EB41"/>
  <c r="EJ41"/>
  <c r="ER41"/>
  <c r="EZ41"/>
  <c r="FH41"/>
  <c r="FP41"/>
  <c r="FX41"/>
  <c r="GF41"/>
  <c r="GN41"/>
  <c r="GV41"/>
  <c r="HD41"/>
  <c r="HL41"/>
  <c r="HT41"/>
  <c r="IB41"/>
  <c r="IJ41"/>
  <c r="IR41"/>
  <c r="EW60"/>
  <c r="FU60"/>
  <c r="GS60"/>
  <c r="AG59"/>
  <c r="AI59"/>
  <c r="ES59"/>
  <c r="DI60"/>
  <c r="DY60"/>
  <c r="AE60"/>
  <c r="GA60"/>
  <c r="HC60"/>
  <c r="FE60"/>
  <c r="EG60"/>
  <c r="EB60"/>
  <c r="IK59"/>
  <c r="DM59"/>
  <c r="HH60"/>
  <c r="FL60"/>
  <c r="EA60"/>
  <c r="EM60"/>
  <c r="FC60"/>
  <c r="IQ60"/>
  <c r="CF60"/>
  <c r="FU59"/>
  <c r="EW59"/>
  <c r="CY60"/>
  <c r="GB60"/>
  <c r="CG59"/>
  <c r="FY59"/>
  <c r="F52"/>
  <c r="F53" s="1"/>
  <c r="BD60"/>
  <c r="AN60"/>
  <c r="EN60"/>
  <c r="FT60"/>
  <c r="J55"/>
  <c r="DH60"/>
  <c r="GY60"/>
  <c r="H52"/>
  <c r="AR62"/>
  <c r="AS62" s="1"/>
  <c r="AT62" s="1"/>
  <c r="AU62" s="1"/>
  <c r="AV62" s="1"/>
  <c r="AQ63"/>
  <c r="AO63"/>
  <c r="AP63"/>
  <c r="V59"/>
  <c r="AL59"/>
  <c r="BB59"/>
  <c r="O59"/>
  <c r="BC59"/>
  <c r="BK59"/>
  <c r="BV59"/>
  <c r="CL59"/>
  <c r="DR59"/>
  <c r="EH59"/>
  <c r="FN59"/>
  <c r="U59"/>
  <c r="AS59"/>
  <c r="BA59"/>
  <c r="BY59"/>
  <c r="DE59"/>
  <c r="DU59"/>
  <c r="EK59"/>
  <c r="FQ59"/>
  <c r="GG59"/>
  <c r="GW59"/>
  <c r="HM59"/>
  <c r="IC59"/>
  <c r="IS59"/>
  <c r="DB59"/>
  <c r="GD59"/>
  <c r="GT59"/>
  <c r="HJ59"/>
  <c r="HZ59"/>
  <c r="IP59"/>
  <c r="EX59"/>
  <c r="AJ59"/>
  <c r="BP59"/>
  <c r="CF59"/>
  <c r="DD59"/>
  <c r="EB59"/>
  <c r="ER59"/>
  <c r="FH59"/>
  <c r="FP59"/>
  <c r="GF59"/>
  <c r="GV59"/>
  <c r="HL59"/>
  <c r="IB59"/>
  <c r="HU59"/>
  <c r="I59"/>
  <c r="AC60"/>
  <c r="G55"/>
  <c r="G60"/>
  <c r="AL55"/>
  <c r="BB60"/>
  <c r="BB55"/>
  <c r="CB55"/>
  <c r="CB60"/>
  <c r="CR55"/>
  <c r="CR60"/>
  <c r="DX55"/>
  <c r="DX60"/>
  <c r="FB60"/>
  <c r="FB55"/>
  <c r="FR60"/>
  <c r="FR55"/>
  <c r="GU55"/>
  <c r="GU60"/>
  <c r="HX55"/>
  <c r="HX60"/>
  <c r="GL59"/>
  <c r="DJ59"/>
  <c r="CD59"/>
  <c r="AB59"/>
  <c r="U60"/>
  <c r="AT59"/>
  <c r="BJ59"/>
  <c r="CH59"/>
  <c r="DN59"/>
  <c r="ED59"/>
  <c r="FB59"/>
  <c r="FR59"/>
  <c r="GH59"/>
  <c r="GP59"/>
  <c r="HF59"/>
  <c r="HV59"/>
  <c r="IL59"/>
  <c r="W55"/>
  <c r="W60"/>
  <c r="BR55"/>
  <c r="BR60"/>
  <c r="CU60"/>
  <c r="CU55"/>
  <c r="FS55"/>
  <c r="FS60"/>
  <c r="IA60"/>
  <c r="IA55"/>
  <c r="EJ55"/>
  <c r="EJ60"/>
  <c r="HQ59"/>
  <c r="IR55"/>
  <c r="IR60"/>
  <c r="HL55"/>
  <c r="HL60"/>
  <c r="GN55"/>
  <c r="GN60"/>
  <c r="DL55"/>
  <c r="DL60"/>
  <c r="CN55"/>
  <c r="CN60"/>
  <c r="W59"/>
  <c r="AU59"/>
  <c r="CA59"/>
  <c r="CY59"/>
  <c r="FC59"/>
  <c r="CN59"/>
  <c r="H59"/>
  <c r="AD59"/>
  <c r="DF59"/>
  <c r="DV59"/>
  <c r="EL59"/>
  <c r="ET60"/>
  <c r="FZ59"/>
  <c r="HN59"/>
  <c r="ID59"/>
  <c r="IT59"/>
  <c r="H55"/>
  <c r="H60"/>
  <c r="BC55"/>
  <c r="BC60"/>
  <c r="CE60"/>
  <c r="CE55"/>
  <c r="DK60"/>
  <c r="DK55"/>
  <c r="GI60"/>
  <c r="GI55"/>
  <c r="HK60"/>
  <c r="HK55"/>
  <c r="BU55"/>
  <c r="BU60"/>
  <c r="GF55"/>
  <c r="GF60"/>
  <c r="HA59"/>
  <c r="GK59"/>
  <c r="EO59"/>
  <c r="CS59"/>
  <c r="CC59"/>
  <c r="AR59"/>
  <c r="DT55"/>
  <c r="DT60"/>
  <c r="CV55"/>
  <c r="CV60"/>
  <c r="AZ60"/>
  <c r="AZ55"/>
  <c r="AB55"/>
  <c r="AB60"/>
  <c r="GA55"/>
  <c r="FX59"/>
  <c r="AD60"/>
  <c r="BX60"/>
  <c r="CI59"/>
  <c r="CQ60"/>
  <c r="DG59"/>
  <c r="DO59"/>
  <c r="DW59"/>
  <c r="EU59"/>
  <c r="FK59"/>
  <c r="GA59"/>
  <c r="GI59"/>
  <c r="GY59"/>
  <c r="HG59"/>
  <c r="HW59"/>
  <c r="IM59"/>
  <c r="IU59"/>
  <c r="K55"/>
  <c r="K60"/>
  <c r="X55"/>
  <c r="X60"/>
  <c r="BS55"/>
  <c r="BS60"/>
  <c r="CH55"/>
  <c r="CH60"/>
  <c r="CX60"/>
  <c r="DN60"/>
  <c r="DN55"/>
  <c r="EC55"/>
  <c r="EC60"/>
  <c r="FD55"/>
  <c r="FD60"/>
  <c r="GJ55"/>
  <c r="GJ60"/>
  <c r="GX60"/>
  <c r="GX55"/>
  <c r="HN60"/>
  <c r="ID55"/>
  <c r="ID60"/>
  <c r="IT60"/>
  <c r="IT55"/>
  <c r="IV59"/>
  <c r="IF59"/>
  <c r="HP59"/>
  <c r="GJ59"/>
  <c r="FT59"/>
  <c r="FD59"/>
  <c r="DX59"/>
  <c r="DH59"/>
  <c r="CR59"/>
  <c r="AY59"/>
  <c r="CK59"/>
  <c r="EM59"/>
  <c r="IA59"/>
  <c r="AL60"/>
  <c r="X59"/>
  <c r="IE60"/>
  <c r="BH59"/>
  <c r="T59"/>
  <c r="HJ60"/>
  <c r="CT60"/>
  <c r="AH60"/>
  <c r="HC55"/>
  <c r="P59"/>
  <c r="AZ59"/>
  <c r="CT59"/>
  <c r="EN59"/>
  <c r="GO59"/>
  <c r="IJ59"/>
  <c r="AM60"/>
  <c r="M59"/>
  <c r="BE59"/>
  <c r="EE60"/>
  <c r="FF60"/>
  <c r="AE55"/>
  <c r="EA55"/>
  <c r="GQ59"/>
  <c r="IR59"/>
  <c r="CP60"/>
  <c r="GW60"/>
  <c r="BX59"/>
  <c r="CV59"/>
  <c r="EJ59"/>
  <c r="EZ59"/>
  <c r="GN59"/>
  <c r="HD59"/>
  <c r="HT59"/>
  <c r="FI59"/>
  <c r="EC59"/>
  <c r="CW59"/>
  <c r="AE59"/>
  <c r="DT59"/>
  <c r="AK59"/>
  <c r="V55"/>
  <c r="V60"/>
  <c r="BQ55"/>
  <c r="BQ60"/>
  <c r="EL60"/>
  <c r="GH55"/>
  <c r="GH60"/>
  <c r="IN55"/>
  <c r="IN60"/>
  <c r="BP60"/>
  <c r="BP55"/>
  <c r="IJ55"/>
  <c r="IJ60"/>
  <c r="IH59"/>
  <c r="FV59"/>
  <c r="EP59"/>
  <c r="BN59"/>
  <c r="HR59"/>
  <c r="L59"/>
  <c r="R59"/>
  <c r="Z59"/>
  <c r="AP59"/>
  <c r="AX59"/>
  <c r="BF60"/>
  <c r="O60"/>
  <c r="O55"/>
  <c r="AU55"/>
  <c r="AU60"/>
  <c r="BK60"/>
  <c r="BK55"/>
  <c r="BY55"/>
  <c r="BY60"/>
  <c r="CM60"/>
  <c r="CM55"/>
  <c r="DC60"/>
  <c r="DC55"/>
  <c r="DS60"/>
  <c r="DS55"/>
  <c r="EF55"/>
  <c r="EF60"/>
  <c r="EU55"/>
  <c r="EU60"/>
  <c r="GP60"/>
  <c r="GP55"/>
  <c r="HS60"/>
  <c r="HS55"/>
  <c r="II60"/>
  <c r="II55"/>
  <c r="AW55"/>
  <c r="AW60"/>
  <c r="FH60"/>
  <c r="FH55"/>
  <c r="HR60"/>
  <c r="HY59"/>
  <c r="GS59"/>
  <c r="GC59"/>
  <c r="EG59"/>
  <c r="DQ59"/>
  <c r="DA59"/>
  <c r="BU59"/>
  <c r="K59"/>
  <c r="BI59"/>
  <c r="FE59"/>
  <c r="ER60"/>
  <c r="S59"/>
  <c r="AA59"/>
  <c r="BG59"/>
  <c r="BO59"/>
  <c r="BW59"/>
  <c r="CE59"/>
  <c r="CM59"/>
  <c r="CU59"/>
  <c r="DK59"/>
  <c r="DS59"/>
  <c r="EA59"/>
  <c r="EI59"/>
  <c r="EQ59"/>
  <c r="EY59"/>
  <c r="FG59"/>
  <c r="GE59"/>
  <c r="GM59"/>
  <c r="GU59"/>
  <c r="HC59"/>
  <c r="HK59"/>
  <c r="HS59"/>
  <c r="II59"/>
  <c r="IQ59"/>
  <c r="IN59"/>
  <c r="HX59"/>
  <c r="GR59"/>
  <c r="GB59"/>
  <c r="FL59"/>
  <c r="EV59"/>
  <c r="EF59"/>
  <c r="DP59"/>
  <c r="CZ59"/>
  <c r="BT59"/>
  <c r="EM55"/>
  <c r="IQ55"/>
  <c r="BQ59"/>
  <c r="DL59"/>
  <c r="FF59"/>
  <c r="HH59"/>
  <c r="L60"/>
  <c r="DG60"/>
  <c r="HW60"/>
  <c r="AF59"/>
  <c r="BL59"/>
  <c r="AA60"/>
  <c r="AA55"/>
  <c r="AQ60"/>
  <c r="BG60"/>
  <c r="BT60"/>
  <c r="CI60"/>
  <c r="DO60"/>
  <c r="ED55"/>
  <c r="ED60"/>
  <c r="EQ60"/>
  <c r="EQ55"/>
  <c r="FG60"/>
  <c r="FG55"/>
  <c r="FW60"/>
  <c r="GM60"/>
  <c r="HO60"/>
  <c r="IU55"/>
  <c r="IU60"/>
  <c r="CS55"/>
  <c r="CS60"/>
  <c r="EZ55"/>
  <c r="EZ60"/>
  <c r="GV55"/>
  <c r="GV60"/>
  <c r="AO59"/>
  <c r="Y60"/>
  <c r="BJ60"/>
  <c r="HE60"/>
  <c r="F59"/>
  <c r="AN59"/>
  <c r="BD59"/>
  <c r="N55"/>
  <c r="N60"/>
  <c r="AT60"/>
  <c r="AT55"/>
  <c r="BW60"/>
  <c r="BW55"/>
  <c r="CJ60"/>
  <c r="FJ55"/>
  <c r="FZ60"/>
  <c r="GO55"/>
  <c r="GO60"/>
  <c r="GZ55"/>
  <c r="GZ60"/>
  <c r="HP55"/>
  <c r="HP60"/>
  <c r="IF55"/>
  <c r="IF60"/>
  <c r="IV60"/>
  <c r="AJ55"/>
  <c r="AJ60"/>
  <c r="HD55"/>
  <c r="HD60"/>
  <c r="IS55"/>
  <c r="IS60"/>
  <c r="IC55"/>
  <c r="IC60"/>
  <c r="HU55"/>
  <c r="HU60"/>
  <c r="DP60"/>
  <c r="AF55"/>
  <c r="AF60"/>
  <c r="BL55"/>
  <c r="BL60"/>
  <c r="BZ60"/>
  <c r="DF60"/>
  <c r="EI60"/>
  <c r="EI55"/>
  <c r="EV60"/>
  <c r="GQ55"/>
  <c r="GQ60"/>
  <c r="HF60"/>
  <c r="HF55"/>
  <c r="HV60"/>
  <c r="IL60"/>
  <c r="IL55"/>
  <c r="HT55"/>
  <c r="HT60"/>
  <c r="DO55"/>
  <c r="HO55"/>
  <c r="M60"/>
  <c r="CZ60"/>
  <c r="DR60"/>
  <c r="EK60"/>
  <c r="HM60"/>
  <c r="IM60"/>
  <c r="F55"/>
  <c r="F60"/>
  <c r="S55"/>
  <c r="S60"/>
  <c r="AI55"/>
  <c r="AI60"/>
  <c r="AY55"/>
  <c r="AY60"/>
  <c r="BO55"/>
  <c r="BO60"/>
  <c r="CA55"/>
  <c r="CA60"/>
  <c r="DW60"/>
  <c r="EY60"/>
  <c r="FO55"/>
  <c r="FO60"/>
  <c r="GE60"/>
  <c r="GE55"/>
  <c r="GR60"/>
  <c r="HG55"/>
  <c r="HG60"/>
  <c r="BH55"/>
  <c r="BH60"/>
  <c r="FX55"/>
  <c r="FX60"/>
  <c r="IH55"/>
  <c r="IH60"/>
  <c r="DJ60"/>
  <c r="BZ55"/>
  <c r="DW55"/>
  <c r="FW55"/>
  <c r="HV55"/>
  <c r="AV59"/>
  <c r="P60"/>
  <c r="DV60"/>
  <c r="AG60"/>
  <c r="BI60"/>
  <c r="GG60"/>
  <c r="HQ60"/>
  <c r="AS60"/>
  <c r="DE60"/>
  <c r="FQ60"/>
  <c r="IG60"/>
  <c r="AK60"/>
  <c r="CW60"/>
  <c r="FI60"/>
  <c r="AN55"/>
  <c r="EN55"/>
  <c r="FT55"/>
  <c r="FE55"/>
  <c r="EG55"/>
  <c r="BT55"/>
  <c r="CX55"/>
  <c r="GR55"/>
  <c r="EL55"/>
  <c r="HH55"/>
  <c r="EH55"/>
  <c r="GD55"/>
  <c r="HN55"/>
  <c r="P55"/>
  <c r="AV55"/>
  <c r="CJ55"/>
  <c r="EV55"/>
  <c r="IV55"/>
  <c r="AO53"/>
  <c r="BF55"/>
  <c r="FF55"/>
  <c r="HJ55"/>
  <c r="HR55"/>
  <c r="H53"/>
  <c r="I60"/>
  <c r="BE60"/>
  <c r="CK60"/>
  <c r="DQ60"/>
  <c r="GC60"/>
  <c r="HI60"/>
  <c r="R60"/>
  <c r="Z60"/>
  <c r="AP60"/>
  <c r="AX60"/>
  <c r="BN60"/>
  <c r="BV60"/>
  <c r="CD60"/>
  <c r="CL60"/>
  <c r="DB60"/>
  <c r="DZ60"/>
  <c r="EP60"/>
  <c r="EX60"/>
  <c r="FN60"/>
  <c r="GL60"/>
  <c r="GT60"/>
  <c r="HB60"/>
  <c r="HZ60"/>
  <c r="IP60"/>
  <c r="Q60"/>
  <c r="BM60"/>
  <c r="EO60"/>
  <c r="HA60"/>
  <c r="IO60"/>
  <c r="AR60"/>
  <c r="DD60"/>
  <c r="FP60"/>
  <c r="IB60"/>
  <c r="AS63" l="1"/>
  <c r="I52"/>
  <c r="I53" s="1"/>
  <c r="G52"/>
  <c r="G53" s="1"/>
  <c r="H63"/>
  <c r="F63"/>
  <c r="AW62"/>
  <c r="AV63"/>
  <c r="AR63"/>
  <c r="AT63"/>
  <c r="AU63"/>
  <c r="FA59"/>
  <c r="AC59"/>
  <c r="FV60"/>
  <c r="BF59"/>
  <c r="CQ59"/>
  <c r="GK55"/>
  <c r="GK60"/>
  <c r="DU55"/>
  <c r="DU60"/>
  <c r="Q59"/>
  <c r="FM55"/>
  <c r="FM60"/>
  <c r="DA55"/>
  <c r="DA60"/>
  <c r="CC55"/>
  <c r="CC60"/>
  <c r="Y59"/>
  <c r="BA55"/>
  <c r="BA60"/>
  <c r="ET59"/>
  <c r="HY55"/>
  <c r="HY60"/>
  <c r="AO55"/>
  <c r="AO60"/>
  <c r="CO59"/>
  <c r="DD55"/>
  <c r="EO55"/>
  <c r="EX55"/>
  <c r="AX55"/>
  <c r="DQ55"/>
  <c r="AR55"/>
  <c r="IP55"/>
  <c r="EP55"/>
  <c r="AP55"/>
  <c r="BM55"/>
  <c r="HZ55"/>
  <c r="DZ55"/>
  <c r="Z55"/>
  <c r="CK55"/>
  <c r="HB55"/>
  <c r="GT55"/>
  <c r="CL55"/>
  <c r="IO55"/>
  <c r="GL55"/>
  <c r="CD55"/>
  <c r="HI55"/>
  <c r="I55"/>
  <c r="DB55"/>
  <c r="BE55"/>
  <c r="IB55"/>
  <c r="HA55"/>
  <c r="FV55"/>
  <c r="BV55"/>
  <c r="GC55"/>
  <c r="Q55"/>
  <c r="R55"/>
  <c r="FP55"/>
  <c r="FN55"/>
  <c r="BN55"/>
  <c r="J52"/>
  <c r="G63" l="1"/>
  <c r="J63"/>
  <c r="I63"/>
  <c r="AX62"/>
  <c r="AW63"/>
  <c r="K52"/>
  <c r="J53"/>
  <c r="K63" l="1"/>
  <c r="AY62"/>
  <c r="AX63"/>
  <c r="L52"/>
  <c r="K53"/>
  <c r="L63" l="1"/>
  <c r="AZ62"/>
  <c r="AY63"/>
  <c r="M52"/>
  <c r="L53"/>
  <c r="M63" l="1"/>
  <c r="BA62"/>
  <c r="AZ63"/>
  <c r="N52"/>
  <c r="M53"/>
  <c r="N63" l="1"/>
  <c r="BB62"/>
  <c r="BA63"/>
  <c r="O52"/>
  <c r="N53"/>
  <c r="O63" l="1"/>
  <c r="BC62"/>
  <c r="BB63"/>
  <c r="P52"/>
  <c r="O53"/>
  <c r="P63" l="1"/>
  <c r="BD62"/>
  <c r="BC63"/>
  <c r="P53"/>
  <c r="Q52"/>
  <c r="Q63" l="1"/>
  <c r="BE62"/>
  <c r="BD63"/>
  <c r="Q53"/>
  <c r="R52"/>
  <c r="R63" l="1"/>
  <c r="BF62"/>
  <c r="BE63"/>
  <c r="S52"/>
  <c r="R53"/>
  <c r="S63" l="1"/>
  <c r="BG62"/>
  <c r="BF63"/>
  <c r="T52"/>
  <c r="S53"/>
  <c r="T63" l="1"/>
  <c r="BH62"/>
  <c r="BG63"/>
  <c r="T53"/>
  <c r="U52"/>
  <c r="U63" l="1"/>
  <c r="BI62"/>
  <c r="BH63"/>
  <c r="V52"/>
  <c r="U53"/>
  <c r="V63" l="1"/>
  <c r="BJ62"/>
  <c r="BI63"/>
  <c r="W52"/>
  <c r="V53"/>
  <c r="W63" l="1"/>
  <c r="BK62"/>
  <c r="BJ63"/>
  <c r="X52"/>
  <c r="W53"/>
  <c r="X63" l="1"/>
  <c r="BL62"/>
  <c r="BK63"/>
  <c r="X53"/>
  <c r="Y52"/>
  <c r="Y63" l="1"/>
  <c r="BM62"/>
  <c r="BL63"/>
  <c r="Y53"/>
  <c r="Z52"/>
  <c r="Z63" l="1"/>
  <c r="BN62"/>
  <c r="BM63"/>
  <c r="AA52"/>
  <c r="Z53"/>
  <c r="AA63" l="1"/>
  <c r="BO62"/>
  <c r="BN63"/>
  <c r="AB52"/>
  <c r="AA53"/>
  <c r="AB63" l="1"/>
  <c r="BP62"/>
  <c r="BO63"/>
  <c r="AC52"/>
  <c r="AB53"/>
  <c r="AC63" l="1"/>
  <c r="BQ62"/>
  <c r="BP63"/>
  <c r="AD52"/>
  <c r="AC53"/>
  <c r="AD63" l="1"/>
  <c r="BR62"/>
  <c r="BQ63"/>
  <c r="AE52"/>
  <c r="AD53"/>
  <c r="AE63" l="1"/>
  <c r="BS62"/>
  <c r="BR63"/>
  <c r="AF52"/>
  <c r="AE53"/>
  <c r="AF63" l="1"/>
  <c r="BT62"/>
  <c r="BS63"/>
  <c r="AF53"/>
  <c r="AG52"/>
  <c r="AG63" l="1"/>
  <c r="BU62"/>
  <c r="BT63"/>
  <c r="AG53"/>
  <c r="AH52"/>
  <c r="AH63" l="1"/>
  <c r="BV62"/>
  <c r="BU63"/>
  <c r="AI52"/>
  <c r="AH53"/>
  <c r="AI63" l="1"/>
  <c r="BW62"/>
  <c r="BV63"/>
  <c r="AJ52"/>
  <c r="AI53"/>
  <c r="AJ63" l="1"/>
  <c r="BX62"/>
  <c r="BW63"/>
  <c r="AJ53"/>
  <c r="AK52"/>
  <c r="AK63" l="1"/>
  <c r="BY62"/>
  <c r="BX63"/>
  <c r="AL52"/>
  <c r="AK53"/>
  <c r="AL63" l="1"/>
  <c r="BZ62"/>
  <c r="BY63"/>
  <c r="AM52"/>
  <c r="AL53"/>
  <c r="AM63" l="1"/>
  <c r="CA62"/>
  <c r="BZ63"/>
  <c r="AN52"/>
  <c r="AM53"/>
  <c r="AN63" l="1"/>
  <c r="CB62"/>
  <c r="CA63"/>
  <c r="AN53"/>
  <c r="AO51" l="1"/>
  <c r="AO50"/>
  <c r="CC62"/>
  <c r="CB63"/>
  <c r="AP50"/>
  <c r="CD62" l="1"/>
  <c r="CC63"/>
  <c r="AQ50"/>
  <c r="AP53"/>
  <c r="CE62" l="1"/>
  <c r="CD63"/>
  <c r="AR50"/>
  <c r="AQ53"/>
  <c r="CF62" l="1"/>
  <c r="CE63"/>
  <c r="AS50"/>
  <c r="AR53"/>
  <c r="CG62" l="1"/>
  <c r="CF63"/>
  <c r="AT50"/>
  <c r="AS53"/>
  <c r="CH62" l="1"/>
  <c r="CG63"/>
  <c r="AU50"/>
  <c r="AT53"/>
  <c r="CI62" l="1"/>
  <c r="CH63"/>
  <c r="AV50"/>
  <c r="AU53"/>
  <c r="CJ62" l="1"/>
  <c r="CI63"/>
  <c r="AV53"/>
  <c r="AW50"/>
  <c r="CK62" l="1"/>
  <c r="CJ63"/>
  <c r="AW53"/>
  <c r="AX50"/>
  <c r="CL62" l="1"/>
  <c r="CK63"/>
  <c r="AY50"/>
  <c r="AX53"/>
  <c r="CM62" l="1"/>
  <c r="CL63"/>
  <c r="AZ50"/>
  <c r="AY53"/>
  <c r="CN62" l="1"/>
  <c r="CM63"/>
  <c r="AZ53"/>
  <c r="BA50"/>
  <c r="CO62" l="1"/>
  <c r="CN63"/>
  <c r="BB50"/>
  <c r="BA53"/>
  <c r="CP62" l="1"/>
  <c r="CO63"/>
  <c r="BC50"/>
  <c r="BB53"/>
  <c r="CQ62" l="1"/>
  <c r="CP63"/>
  <c r="BD50"/>
  <c r="BC53"/>
  <c r="CR62" l="1"/>
  <c r="CQ63"/>
  <c r="BE50"/>
  <c r="BD53"/>
  <c r="CS62" l="1"/>
  <c r="CR63"/>
  <c r="BF50"/>
  <c r="BE53"/>
  <c r="CT62" l="1"/>
  <c r="CS63"/>
  <c r="BG50"/>
  <c r="BF53"/>
  <c r="CU62" l="1"/>
  <c r="CT63"/>
  <c r="BG53"/>
  <c r="BH50"/>
  <c r="CV62" l="1"/>
  <c r="CU63"/>
  <c r="BI50"/>
  <c r="BH53"/>
  <c r="CW62" l="1"/>
  <c r="CV63"/>
  <c r="BJ50"/>
  <c r="BI53"/>
  <c r="CX62" l="1"/>
  <c r="CW63"/>
  <c r="BK50"/>
  <c r="BJ53"/>
  <c r="CY62" l="1"/>
  <c r="CX63"/>
  <c r="BL50"/>
  <c r="BK53"/>
  <c r="CZ62" l="1"/>
  <c r="CY63"/>
  <c r="BL53"/>
  <c r="BM50"/>
  <c r="DA62" l="1"/>
  <c r="CZ63"/>
  <c r="BN50"/>
  <c r="BM53"/>
  <c r="DB62" l="1"/>
  <c r="DA63"/>
  <c r="BO50"/>
  <c r="BN53"/>
  <c r="DC62" l="1"/>
  <c r="DB63"/>
  <c r="BO53"/>
  <c r="BP50"/>
  <c r="DD62" l="1"/>
  <c r="DC63"/>
  <c r="BP53"/>
  <c r="BQ50"/>
  <c r="DE62" l="1"/>
  <c r="DD63"/>
  <c r="BR50"/>
  <c r="BQ53"/>
  <c r="DF62" l="1"/>
  <c r="DE63"/>
  <c r="BS50"/>
  <c r="BR53"/>
  <c r="DG62" l="1"/>
  <c r="DF63"/>
  <c r="BT50"/>
  <c r="BS53"/>
  <c r="DH62" l="1"/>
  <c r="DG63"/>
  <c r="BU50"/>
  <c r="BT53"/>
  <c r="DI62" l="1"/>
  <c r="DH63"/>
  <c r="BV50"/>
  <c r="BU53"/>
  <c r="DJ62" l="1"/>
  <c r="DI63"/>
  <c r="BW50"/>
  <c r="BV53"/>
  <c r="DK62" l="1"/>
  <c r="DJ63"/>
  <c r="BX50"/>
  <c r="BW53"/>
  <c r="DL62" l="1"/>
  <c r="DK63"/>
  <c r="BY50"/>
  <c r="BX53"/>
  <c r="DM62" l="1"/>
  <c r="DL63"/>
  <c r="BZ50"/>
  <c r="BY53"/>
  <c r="DN62" l="1"/>
  <c r="DM63"/>
  <c r="CA50"/>
  <c r="BZ53"/>
  <c r="DO62" l="1"/>
  <c r="DN63"/>
  <c r="CB50"/>
  <c r="CA53"/>
  <c r="DP62" l="1"/>
  <c r="DO63"/>
  <c r="CB53"/>
  <c r="CC50"/>
  <c r="DQ62" l="1"/>
  <c r="DP63"/>
  <c r="CC53"/>
  <c r="CD50"/>
  <c r="DR62" l="1"/>
  <c r="DQ63"/>
  <c r="CE50"/>
  <c r="CD53"/>
  <c r="DS62" l="1"/>
  <c r="DR63"/>
  <c r="CF50"/>
  <c r="CE53"/>
  <c r="DT62" l="1"/>
  <c r="DS63"/>
  <c r="CF53"/>
  <c r="CG50"/>
  <c r="DU62" l="1"/>
  <c r="DT63"/>
  <c r="CH50"/>
  <c r="CG53"/>
  <c r="DV62" l="1"/>
  <c r="DU63"/>
  <c r="CI50"/>
  <c r="CH53"/>
  <c r="DW62" l="1"/>
  <c r="DV63"/>
  <c r="CJ50"/>
  <c r="CI53"/>
  <c r="DX62" l="1"/>
  <c r="DW63"/>
  <c r="CK50"/>
  <c r="CJ53"/>
  <c r="DY62" l="1"/>
  <c r="DX63"/>
  <c r="CL50"/>
  <c r="CK53"/>
  <c r="DZ62" l="1"/>
  <c r="DY63"/>
  <c r="CM50"/>
  <c r="CL53"/>
  <c r="EA62" l="1"/>
  <c r="DZ63"/>
  <c r="CN50"/>
  <c r="CM53"/>
  <c r="EB62" l="1"/>
  <c r="EA63"/>
  <c r="CO50"/>
  <c r="CN53"/>
  <c r="EC62" l="1"/>
  <c r="EB63"/>
  <c r="CP50"/>
  <c r="CO53"/>
  <c r="ED62" l="1"/>
  <c r="EC63"/>
  <c r="CQ50"/>
  <c r="CP53"/>
  <c r="EE62" l="1"/>
  <c r="ED63"/>
  <c r="CR50"/>
  <c r="CQ53"/>
  <c r="EF62" l="1"/>
  <c r="EE63"/>
  <c r="CR53"/>
  <c r="CS50"/>
  <c r="EG62" l="1"/>
  <c r="EF63"/>
  <c r="CT50"/>
  <c r="CS53"/>
  <c r="EH62" l="1"/>
  <c r="EG63"/>
  <c r="CU50"/>
  <c r="CT53"/>
  <c r="EI62" l="1"/>
  <c r="EH63"/>
  <c r="CV50"/>
  <c r="CU53"/>
  <c r="EJ62" l="1"/>
  <c r="EI63"/>
  <c r="CV53"/>
  <c r="CW50"/>
  <c r="EK62" l="1"/>
  <c r="EJ63"/>
  <c r="CX50"/>
  <c r="CW53"/>
  <c r="EL62" l="1"/>
  <c r="EK63"/>
  <c r="CY50"/>
  <c r="CX53"/>
  <c r="EM62" l="1"/>
  <c r="EL63"/>
  <c r="CZ50"/>
  <c r="CY53"/>
  <c r="EN62" l="1"/>
  <c r="EM63"/>
  <c r="CZ53"/>
  <c r="DA50"/>
  <c r="EO62" l="1"/>
  <c r="EN63"/>
  <c r="DA53"/>
  <c r="DB50"/>
  <c r="EP62" l="1"/>
  <c r="EO63"/>
  <c r="DC50"/>
  <c r="DB53"/>
  <c r="EQ62" l="1"/>
  <c r="EP63"/>
  <c r="DD50"/>
  <c r="DC53"/>
  <c r="ER62" l="1"/>
  <c r="EQ63"/>
  <c r="DE50"/>
  <c r="DD53"/>
  <c r="ES62" l="1"/>
  <c r="ER63"/>
  <c r="DF50"/>
  <c r="DE53"/>
  <c r="ET62" l="1"/>
  <c r="ES63"/>
  <c r="DG50"/>
  <c r="DF53"/>
  <c r="EU62" l="1"/>
  <c r="ET63"/>
  <c r="DH50"/>
  <c r="DG53"/>
  <c r="EV62" l="1"/>
  <c r="EU63"/>
  <c r="DH53"/>
  <c r="DI50"/>
  <c r="EW62" l="1"/>
  <c r="EV63"/>
  <c r="DI53"/>
  <c r="DJ50"/>
  <c r="EX62" l="1"/>
  <c r="EW63"/>
  <c r="DK50"/>
  <c r="DJ53"/>
  <c r="EY62" l="1"/>
  <c r="EX63"/>
  <c r="DL50"/>
  <c r="DK53"/>
  <c r="EZ62" l="1"/>
  <c r="EY63"/>
  <c r="DL53"/>
  <c r="DM50"/>
  <c r="FA62" l="1"/>
  <c r="EZ63"/>
  <c r="DN50"/>
  <c r="DM53"/>
  <c r="FB62" l="1"/>
  <c r="FA63"/>
  <c r="DO50"/>
  <c r="DN53"/>
  <c r="FC62" l="1"/>
  <c r="FB63"/>
  <c r="DP50"/>
  <c r="DO53"/>
  <c r="FD62" l="1"/>
  <c r="FC63"/>
  <c r="DQ50"/>
  <c r="DP53"/>
  <c r="FE62" l="1"/>
  <c r="FD63"/>
  <c r="DR50"/>
  <c r="DQ53"/>
  <c r="FF62" l="1"/>
  <c r="FE63"/>
  <c r="DS50"/>
  <c r="DR53"/>
  <c r="FG62" l="1"/>
  <c r="FF63"/>
  <c r="DS53"/>
  <c r="DT50"/>
  <c r="FH62" l="1"/>
  <c r="FG63"/>
  <c r="DU50"/>
  <c r="DT53"/>
  <c r="FI62" l="1"/>
  <c r="FH63"/>
  <c r="DV50"/>
  <c r="DU53"/>
  <c r="FJ62" l="1"/>
  <c r="FI63"/>
  <c r="DW50"/>
  <c r="DV53"/>
  <c r="FK62" l="1"/>
  <c r="FJ63"/>
  <c r="DX50"/>
  <c r="DW53"/>
  <c r="FL62" l="1"/>
  <c r="FK63"/>
  <c r="DX53"/>
  <c r="DY50"/>
  <c r="FM62" l="1"/>
  <c r="FL63"/>
  <c r="DZ50"/>
  <c r="DY53"/>
  <c r="FN62" l="1"/>
  <c r="FM63"/>
  <c r="EA50"/>
  <c r="DZ53"/>
  <c r="FO62" l="1"/>
  <c r="FN63"/>
  <c r="EA53"/>
  <c r="EB50"/>
  <c r="FP62" l="1"/>
  <c r="FO63"/>
  <c r="EB53"/>
  <c r="EC50"/>
  <c r="FQ62" l="1"/>
  <c r="FP63"/>
  <c r="ED50"/>
  <c r="EC53"/>
  <c r="FR62" l="1"/>
  <c r="FQ63"/>
  <c r="EE50"/>
  <c r="ED53"/>
  <c r="FS62" l="1"/>
  <c r="FR63"/>
  <c r="EF50"/>
  <c r="EE53"/>
  <c r="FT62" l="1"/>
  <c r="FS63"/>
  <c r="EG50"/>
  <c r="EF53"/>
  <c r="FU62" l="1"/>
  <c r="FT63"/>
  <c r="EH50"/>
  <c r="EG53"/>
  <c r="FV62" l="1"/>
  <c r="FU63"/>
  <c r="EI50"/>
  <c r="EH53"/>
  <c r="FW62" l="1"/>
  <c r="FV63"/>
  <c r="EJ50"/>
  <c r="EI53"/>
  <c r="FX62" l="1"/>
  <c r="FW63"/>
  <c r="EK50"/>
  <c r="EJ53"/>
  <c r="FY62" l="1"/>
  <c r="FX63"/>
  <c r="EL50"/>
  <c r="EK53"/>
  <c r="FZ62" l="1"/>
  <c r="FY63"/>
  <c r="EM50"/>
  <c r="EL53"/>
  <c r="GA62" l="1"/>
  <c r="FZ63"/>
  <c r="EN50"/>
  <c r="EM53"/>
  <c r="GB62" l="1"/>
  <c r="GA63"/>
  <c r="EN53"/>
  <c r="EO50"/>
  <c r="GC62" l="1"/>
  <c r="GB63"/>
  <c r="EO53"/>
  <c r="EP50"/>
  <c r="GD62" l="1"/>
  <c r="GC63"/>
  <c r="EQ50"/>
  <c r="EP53"/>
  <c r="GE62" l="1"/>
  <c r="GD63"/>
  <c r="ER50"/>
  <c r="EQ53"/>
  <c r="GF62" l="1"/>
  <c r="GE63"/>
  <c r="ER53"/>
  <c r="ES50"/>
  <c r="GG62" l="1"/>
  <c r="GF63"/>
  <c r="ET50"/>
  <c r="ES53"/>
  <c r="GH62" l="1"/>
  <c r="GG63"/>
  <c r="EU50"/>
  <c r="ET53"/>
  <c r="GI62" l="1"/>
  <c r="GH63"/>
  <c r="EV50"/>
  <c r="EU53"/>
  <c r="GJ62" l="1"/>
  <c r="GI63"/>
  <c r="EW50"/>
  <c r="EV53"/>
  <c r="GK62" l="1"/>
  <c r="GJ63"/>
  <c r="EX50"/>
  <c r="EW53"/>
  <c r="GL62" l="1"/>
  <c r="GK63"/>
  <c r="EY50"/>
  <c r="EX53"/>
  <c r="GM62" l="1"/>
  <c r="GL63"/>
  <c r="EZ50"/>
  <c r="EY53"/>
  <c r="GN62" l="1"/>
  <c r="GM63"/>
  <c r="FA50"/>
  <c r="EZ53"/>
  <c r="GO62" l="1"/>
  <c r="GN63"/>
  <c r="FB50"/>
  <c r="FA53"/>
  <c r="GP62" l="1"/>
  <c r="GO63"/>
  <c r="FC50"/>
  <c r="FB53"/>
  <c r="GQ62" l="1"/>
  <c r="GP63"/>
  <c r="FD50"/>
  <c r="FC53"/>
  <c r="GR62" l="1"/>
  <c r="GQ63"/>
  <c r="FD53"/>
  <c r="FE50"/>
  <c r="GS62" l="1"/>
  <c r="GR63"/>
  <c r="FF50"/>
  <c r="FE53"/>
  <c r="GT62" l="1"/>
  <c r="GS63"/>
  <c r="FG50"/>
  <c r="FF53"/>
  <c r="GU62" l="1"/>
  <c r="GT63"/>
  <c r="FH50"/>
  <c r="FG53"/>
  <c r="GV62" l="1"/>
  <c r="GU63"/>
  <c r="FI50"/>
  <c r="FH53"/>
  <c r="GW62" l="1"/>
  <c r="GV63"/>
  <c r="FJ50"/>
  <c r="FI53"/>
  <c r="GX62" l="1"/>
  <c r="GW63"/>
  <c r="FK50"/>
  <c r="FJ53"/>
  <c r="GY62" l="1"/>
  <c r="GX63"/>
  <c r="FL50"/>
  <c r="FK53"/>
  <c r="GZ62" l="1"/>
  <c r="GY63"/>
  <c r="FL53"/>
  <c r="FM50"/>
  <c r="HA62" l="1"/>
  <c r="GZ63"/>
  <c r="FM53"/>
  <c r="FN50"/>
  <c r="HB62" l="1"/>
  <c r="HA63"/>
  <c r="FO50"/>
  <c r="FN53"/>
  <c r="HC62" l="1"/>
  <c r="HB63"/>
  <c r="FP50"/>
  <c r="FO53"/>
  <c r="HD62" l="1"/>
  <c r="HC63"/>
  <c r="FQ50"/>
  <c r="FP53"/>
  <c r="HE62" l="1"/>
  <c r="HD63"/>
  <c r="FR50"/>
  <c r="FQ53"/>
  <c r="HF62" l="1"/>
  <c r="HE63"/>
  <c r="FS50"/>
  <c r="FR53"/>
  <c r="HG62" l="1"/>
  <c r="HF63"/>
  <c r="FT50"/>
  <c r="FS53"/>
  <c r="HH62" l="1"/>
  <c r="HG63"/>
  <c r="FT53"/>
  <c r="FU50"/>
  <c r="HI62" l="1"/>
  <c r="HH63"/>
  <c r="FU53"/>
  <c r="FV50"/>
  <c r="HJ62" l="1"/>
  <c r="HI63"/>
  <c r="FW50"/>
  <c r="FV53"/>
  <c r="HK62" l="1"/>
  <c r="HJ63"/>
  <c r="FX50"/>
  <c r="FW53"/>
  <c r="HL62" l="1"/>
  <c r="HK63"/>
  <c r="FX53"/>
  <c r="FY50"/>
  <c r="HM62" l="1"/>
  <c r="HL63"/>
  <c r="FZ50"/>
  <c r="FY53"/>
  <c r="HN62" l="1"/>
  <c r="HM63"/>
  <c r="GA50"/>
  <c r="FZ53"/>
  <c r="HO62" l="1"/>
  <c r="HN63"/>
  <c r="GB50"/>
  <c r="GA53"/>
  <c r="HP62" l="1"/>
  <c r="HO63"/>
  <c r="GC50"/>
  <c r="GB53"/>
  <c r="HQ62" l="1"/>
  <c r="HP63"/>
  <c r="GD50"/>
  <c r="GC53"/>
  <c r="HR62" l="1"/>
  <c r="HQ63"/>
  <c r="GE50"/>
  <c r="GD53"/>
  <c r="HS62" l="1"/>
  <c r="HR63"/>
  <c r="GE53"/>
  <c r="GF50"/>
  <c r="HT62" l="1"/>
  <c r="HS63"/>
  <c r="GG50"/>
  <c r="GF53"/>
  <c r="HU62" l="1"/>
  <c r="HT63"/>
  <c r="GH50"/>
  <c r="GG53"/>
  <c r="HV62" l="1"/>
  <c r="HU63"/>
  <c r="GI50"/>
  <c r="GH53"/>
  <c r="HW62" l="1"/>
  <c r="HV63"/>
  <c r="GJ50"/>
  <c r="GI53"/>
  <c r="HX62" l="1"/>
  <c r="HW63"/>
  <c r="GK50"/>
  <c r="GJ53"/>
  <c r="HY62" l="1"/>
  <c r="HX63"/>
  <c r="GL50"/>
  <c r="GK53"/>
  <c r="HZ62" l="1"/>
  <c r="HY63"/>
  <c r="GM50"/>
  <c r="GL53"/>
  <c r="J156" i="23"/>
  <c r="J157"/>
  <c r="J158"/>
  <c r="J159"/>
  <c r="J155"/>
  <c r="J162" l="1"/>
  <c r="IA62" i="6"/>
  <c r="HZ63"/>
  <c r="GM53"/>
  <c r="GN50"/>
  <c r="P145" i="23"/>
  <c r="O146"/>
  <c r="N146"/>
  <c r="M146"/>
  <c r="L146"/>
  <c r="K146"/>
  <c r="J146"/>
  <c r="I146"/>
  <c r="P140"/>
  <c r="P138"/>
  <c r="P136"/>
  <c r="P134"/>
  <c r="P132"/>
  <c r="P130"/>
  <c r="P128"/>
  <c r="P126"/>
  <c r="P124"/>
  <c r="P122"/>
  <c r="P120"/>
  <c r="O141"/>
  <c r="N141"/>
  <c r="M141"/>
  <c r="L141"/>
  <c r="K141"/>
  <c r="J141"/>
  <c r="I141"/>
  <c r="O139"/>
  <c r="N139"/>
  <c r="M139"/>
  <c r="L139"/>
  <c r="K139"/>
  <c r="J139"/>
  <c r="I139"/>
  <c r="O137"/>
  <c r="N137"/>
  <c r="M137"/>
  <c r="L137"/>
  <c r="K137"/>
  <c r="J137"/>
  <c r="I137"/>
  <c r="O135"/>
  <c r="N135"/>
  <c r="M135"/>
  <c r="L135"/>
  <c r="K135"/>
  <c r="J135"/>
  <c r="I135"/>
  <c r="O133"/>
  <c r="N133"/>
  <c r="M133"/>
  <c r="L133"/>
  <c r="K133"/>
  <c r="J133"/>
  <c r="I133"/>
  <c r="O131"/>
  <c r="N131"/>
  <c r="M131"/>
  <c r="L131"/>
  <c r="K131"/>
  <c r="J131"/>
  <c r="I131"/>
  <c r="O129"/>
  <c r="N129"/>
  <c r="M129"/>
  <c r="L129"/>
  <c r="K129"/>
  <c r="J129"/>
  <c r="I129"/>
  <c r="O127"/>
  <c r="N127"/>
  <c r="M127"/>
  <c r="L127"/>
  <c r="K127"/>
  <c r="J127"/>
  <c r="I127"/>
  <c r="O125"/>
  <c r="N125"/>
  <c r="M125"/>
  <c r="L125"/>
  <c r="K125"/>
  <c r="J125"/>
  <c r="I125"/>
  <c r="O123"/>
  <c r="N123"/>
  <c r="M123"/>
  <c r="L123"/>
  <c r="K123"/>
  <c r="J123"/>
  <c r="I123"/>
  <c r="O121"/>
  <c r="N121"/>
  <c r="M121"/>
  <c r="L121"/>
  <c r="K121"/>
  <c r="J121"/>
  <c r="I121"/>
  <c r="P114"/>
  <c r="P112"/>
  <c r="O307" s="1"/>
  <c r="P110"/>
  <c r="O115"/>
  <c r="N115"/>
  <c r="M115"/>
  <c r="L115"/>
  <c r="K115"/>
  <c r="J115"/>
  <c r="I115"/>
  <c r="O111"/>
  <c r="N111"/>
  <c r="M111"/>
  <c r="L111"/>
  <c r="K111"/>
  <c r="J111"/>
  <c r="I111"/>
  <c r="O86"/>
  <c r="N86"/>
  <c r="M86"/>
  <c r="L86"/>
  <c r="K86"/>
  <c r="J86"/>
  <c r="I86"/>
  <c r="P107"/>
  <c r="P105"/>
  <c r="P103"/>
  <c r="P101"/>
  <c r="P99"/>
  <c r="P97"/>
  <c r="P94"/>
  <c r="P91"/>
  <c r="P85"/>
  <c r="O108"/>
  <c r="N108"/>
  <c r="M108"/>
  <c r="L108"/>
  <c r="K108"/>
  <c r="J108"/>
  <c r="I108"/>
  <c r="O106"/>
  <c r="N106"/>
  <c r="M106"/>
  <c r="L106"/>
  <c r="K106"/>
  <c r="J106"/>
  <c r="I106"/>
  <c r="O104"/>
  <c r="N104"/>
  <c r="M104"/>
  <c r="L104"/>
  <c r="K104"/>
  <c r="J104"/>
  <c r="I104"/>
  <c r="O102"/>
  <c r="N102"/>
  <c r="M102"/>
  <c r="L102"/>
  <c r="K102"/>
  <c r="J102"/>
  <c r="I102"/>
  <c r="O100"/>
  <c r="N100"/>
  <c r="M100"/>
  <c r="L100"/>
  <c r="K100"/>
  <c r="J100"/>
  <c r="I100"/>
  <c r="O98"/>
  <c r="N98"/>
  <c r="M98"/>
  <c r="L98"/>
  <c r="K98"/>
  <c r="J98"/>
  <c r="I98"/>
  <c r="O95"/>
  <c r="N95"/>
  <c r="M95"/>
  <c r="L95"/>
  <c r="K95"/>
  <c r="J95"/>
  <c r="I95"/>
  <c r="O92"/>
  <c r="N92"/>
  <c r="M92"/>
  <c r="L92"/>
  <c r="K92"/>
  <c r="J92"/>
  <c r="I92"/>
  <c r="O81"/>
  <c r="N81"/>
  <c r="M81"/>
  <c r="L81"/>
  <c r="K81"/>
  <c r="J81"/>
  <c r="I81"/>
  <c r="P80"/>
  <c r="P82"/>
  <c r="P78"/>
  <c r="P76"/>
  <c r="P74"/>
  <c r="O83"/>
  <c r="N83"/>
  <c r="M83"/>
  <c r="L83"/>
  <c r="K83"/>
  <c r="J83"/>
  <c r="I83"/>
  <c r="O79"/>
  <c r="N79"/>
  <c r="M79"/>
  <c r="L79"/>
  <c r="K79"/>
  <c r="J79"/>
  <c r="I79"/>
  <c r="O77"/>
  <c r="N77"/>
  <c r="M77"/>
  <c r="L77"/>
  <c r="K77"/>
  <c r="J77"/>
  <c r="I77"/>
  <c r="O75"/>
  <c r="N75"/>
  <c r="M75"/>
  <c r="L75"/>
  <c r="K75"/>
  <c r="J75"/>
  <c r="I75"/>
  <c r="IB62" i="6" l="1"/>
  <c r="IA63"/>
  <c r="GN53"/>
  <c r="GO50"/>
  <c r="P141" i="23"/>
  <c r="P125"/>
  <c r="P139"/>
  <c r="P123"/>
  <c r="P95"/>
  <c r="P102"/>
  <c r="P100"/>
  <c r="P92"/>
  <c r="P115"/>
  <c r="P133"/>
  <c r="P86"/>
  <c r="P108"/>
  <c r="P113"/>
  <c r="P131"/>
  <c r="P135"/>
  <c r="P106"/>
  <c r="P104"/>
  <c r="P121"/>
  <c r="P127"/>
  <c r="P129"/>
  <c r="P137"/>
  <c r="P111"/>
  <c r="P98"/>
  <c r="P146"/>
  <c r="F147" s="1"/>
  <c r="P75"/>
  <c r="P77"/>
  <c r="P79"/>
  <c r="P81"/>
  <c r="P83"/>
  <c r="IC62" i="6" l="1"/>
  <c r="IB63"/>
  <c r="GP50"/>
  <c r="GO53"/>
  <c r="F84" i="23"/>
  <c r="F116"/>
  <c r="F142"/>
  <c r="F109"/>
  <c r="ID62" i="6" l="1"/>
  <c r="IC63"/>
  <c r="GQ50"/>
  <c r="GP53"/>
  <c r="I105" i="2"/>
  <c r="I106"/>
  <c r="P66" i="23"/>
  <c r="P64"/>
  <c r="P62"/>
  <c r="P60"/>
  <c r="P58"/>
  <c r="O67"/>
  <c r="N67"/>
  <c r="M67"/>
  <c r="L67"/>
  <c r="K67"/>
  <c r="J67"/>
  <c r="I67"/>
  <c r="O65"/>
  <c r="N65"/>
  <c r="M65"/>
  <c r="L65"/>
  <c r="K65"/>
  <c r="J65"/>
  <c r="I65"/>
  <c r="O63"/>
  <c r="N63"/>
  <c r="M63"/>
  <c r="L63"/>
  <c r="K63"/>
  <c r="J63"/>
  <c r="I63"/>
  <c r="O61"/>
  <c r="N61"/>
  <c r="M61"/>
  <c r="L61"/>
  <c r="K61"/>
  <c r="J61"/>
  <c r="I61"/>
  <c r="O59"/>
  <c r="N59"/>
  <c r="M59"/>
  <c r="L59"/>
  <c r="K59"/>
  <c r="J59"/>
  <c r="I59"/>
  <c r="P55"/>
  <c r="P53"/>
  <c r="P51"/>
  <c r="P49"/>
  <c r="O56"/>
  <c r="N56"/>
  <c r="M56"/>
  <c r="L56"/>
  <c r="K56"/>
  <c r="J56"/>
  <c r="I56"/>
  <c r="O54"/>
  <c r="N54"/>
  <c r="M54"/>
  <c r="L54"/>
  <c r="K54"/>
  <c r="J54"/>
  <c r="I54"/>
  <c r="O52"/>
  <c r="N52"/>
  <c r="M52"/>
  <c r="L52"/>
  <c r="K52"/>
  <c r="J52"/>
  <c r="I52"/>
  <c r="O50"/>
  <c r="N50"/>
  <c r="M50"/>
  <c r="L50"/>
  <c r="K50"/>
  <c r="J50"/>
  <c r="I50"/>
  <c r="P46"/>
  <c r="P44"/>
  <c r="P42"/>
  <c r="P40"/>
  <c r="P38"/>
  <c r="P36"/>
  <c r="P34"/>
  <c r="O47"/>
  <c r="N47"/>
  <c r="M47"/>
  <c r="L47"/>
  <c r="K47"/>
  <c r="J47"/>
  <c r="I47"/>
  <c r="O45"/>
  <c r="N45"/>
  <c r="M45"/>
  <c r="L45"/>
  <c r="K45"/>
  <c r="J45"/>
  <c r="I45"/>
  <c r="O43"/>
  <c r="N43"/>
  <c r="M43"/>
  <c r="L43"/>
  <c r="K43"/>
  <c r="J43"/>
  <c r="I43"/>
  <c r="O41"/>
  <c r="N41"/>
  <c r="M41"/>
  <c r="L41"/>
  <c r="K41"/>
  <c r="J41"/>
  <c r="I41"/>
  <c r="O39"/>
  <c r="N39"/>
  <c r="M39"/>
  <c r="L39"/>
  <c r="K39"/>
  <c r="J39"/>
  <c r="I39"/>
  <c r="O37"/>
  <c r="N37"/>
  <c r="M37"/>
  <c r="L37"/>
  <c r="K37"/>
  <c r="J37"/>
  <c r="I37"/>
  <c r="O35"/>
  <c r="N35"/>
  <c r="M35"/>
  <c r="L35"/>
  <c r="K35"/>
  <c r="J35"/>
  <c r="I35"/>
  <c r="O21"/>
  <c r="N21"/>
  <c r="M21"/>
  <c r="L21"/>
  <c r="K21"/>
  <c r="J21"/>
  <c r="I21"/>
  <c r="P31"/>
  <c r="P29"/>
  <c r="P27"/>
  <c r="P25"/>
  <c r="P23"/>
  <c r="P20"/>
  <c r="O32"/>
  <c r="N32"/>
  <c r="M32"/>
  <c r="L32"/>
  <c r="K32"/>
  <c r="J32"/>
  <c r="I32"/>
  <c r="O30"/>
  <c r="N30"/>
  <c r="M30"/>
  <c r="L30"/>
  <c r="K30"/>
  <c r="J30"/>
  <c r="I30"/>
  <c r="O28"/>
  <c r="N28"/>
  <c r="M28"/>
  <c r="L28"/>
  <c r="K28"/>
  <c r="J28"/>
  <c r="I28"/>
  <c r="O26"/>
  <c r="N26"/>
  <c r="M26"/>
  <c r="L26"/>
  <c r="K26"/>
  <c r="J26"/>
  <c r="I26"/>
  <c r="O24"/>
  <c r="N24"/>
  <c r="M24"/>
  <c r="L24"/>
  <c r="K24"/>
  <c r="J24"/>
  <c r="I24"/>
  <c r="O16"/>
  <c r="N16"/>
  <c r="M16"/>
  <c r="L16"/>
  <c r="K16"/>
  <c r="J16"/>
  <c r="I16"/>
  <c r="P15"/>
  <c r="O14"/>
  <c r="N14"/>
  <c r="M14"/>
  <c r="L14"/>
  <c r="K14"/>
  <c r="J14"/>
  <c r="I14"/>
  <c r="P13"/>
  <c r="O12"/>
  <c r="N12"/>
  <c r="M12"/>
  <c r="L12"/>
  <c r="K12"/>
  <c r="J12"/>
  <c r="I12"/>
  <c r="P11"/>
  <c r="I206" s="1"/>
  <c r="O206" s="1"/>
  <c r="O10"/>
  <c r="N10"/>
  <c r="M10"/>
  <c r="L10"/>
  <c r="K10"/>
  <c r="J10"/>
  <c r="I10"/>
  <c r="P9"/>
  <c r="I204" s="1"/>
  <c r="O204" s="1"/>
  <c r="P7"/>
  <c r="J8"/>
  <c r="K8"/>
  <c r="L8"/>
  <c r="M8"/>
  <c r="N8"/>
  <c r="O8"/>
  <c r="I8"/>
  <c r="O88"/>
  <c r="O89" s="1"/>
  <c r="N88"/>
  <c r="N89" s="1"/>
  <c r="M88"/>
  <c r="M89" s="1"/>
  <c r="L88"/>
  <c r="L89" s="1"/>
  <c r="K88"/>
  <c r="K89" s="1"/>
  <c r="J88"/>
  <c r="J89" s="1"/>
  <c r="I88"/>
  <c r="O71"/>
  <c r="O72" s="1"/>
  <c r="N71"/>
  <c r="N72" s="1"/>
  <c r="M71"/>
  <c r="M72" s="1"/>
  <c r="L71"/>
  <c r="L72" s="1"/>
  <c r="K71"/>
  <c r="K72" s="1"/>
  <c r="J71"/>
  <c r="J72" s="1"/>
  <c r="I71"/>
  <c r="I72" s="1"/>
  <c r="O69"/>
  <c r="O70" s="1"/>
  <c r="N69"/>
  <c r="N70" s="1"/>
  <c r="M69"/>
  <c r="M70" s="1"/>
  <c r="L69"/>
  <c r="L70" s="1"/>
  <c r="K69"/>
  <c r="K70" s="1"/>
  <c r="J69"/>
  <c r="I69"/>
  <c r="I70" s="1"/>
  <c r="H202" l="1"/>
  <c r="I202"/>
  <c r="IE62" i="6"/>
  <c r="ID63"/>
  <c r="GR50"/>
  <c r="GQ53"/>
  <c r="P88" i="23"/>
  <c r="E172" s="1"/>
  <c r="I89"/>
  <c r="P89" s="1"/>
  <c r="P28"/>
  <c r="P39"/>
  <c r="P24"/>
  <c r="P32"/>
  <c r="P30"/>
  <c r="P61"/>
  <c r="P26"/>
  <c r="P54"/>
  <c r="P10"/>
  <c r="I205" s="1"/>
  <c r="P12"/>
  <c r="I207" s="1"/>
  <c r="O207" s="1"/>
  <c r="P50"/>
  <c r="P56"/>
  <c r="P47"/>
  <c r="P45"/>
  <c r="P8"/>
  <c r="P59"/>
  <c r="P43"/>
  <c r="P67"/>
  <c r="P37"/>
  <c r="P41"/>
  <c r="P63"/>
  <c r="P65"/>
  <c r="P14"/>
  <c r="P21"/>
  <c r="P35"/>
  <c r="P52"/>
  <c r="P69"/>
  <c r="J70"/>
  <c r="P70" s="1"/>
  <c r="P71"/>
  <c r="P72"/>
  <c r="P16"/>
  <c r="W89" i="13"/>
  <c r="V89"/>
  <c r="U89"/>
  <c r="T89"/>
  <c r="S89"/>
  <c r="R89"/>
  <c r="Q89"/>
  <c r="P89"/>
  <c r="W88"/>
  <c r="V88"/>
  <c r="U88"/>
  <c r="T88"/>
  <c r="S88"/>
  <c r="R88"/>
  <c r="Q88"/>
  <c r="P88"/>
  <c r="W87"/>
  <c r="V87"/>
  <c r="U87"/>
  <c r="T87"/>
  <c r="S87"/>
  <c r="R87"/>
  <c r="Q87"/>
  <c r="P87"/>
  <c r="W86"/>
  <c r="V86"/>
  <c r="U86"/>
  <c r="T86"/>
  <c r="S86"/>
  <c r="R86"/>
  <c r="Q86"/>
  <c r="P86"/>
  <c r="W85"/>
  <c r="V85"/>
  <c r="U85"/>
  <c r="T85"/>
  <c r="S85"/>
  <c r="R85"/>
  <c r="Q85"/>
  <c r="P85"/>
  <c r="W84"/>
  <c r="V84"/>
  <c r="U84"/>
  <c r="T84"/>
  <c r="S84"/>
  <c r="R84"/>
  <c r="Q84"/>
  <c r="P84"/>
  <c r="W83"/>
  <c r="V83"/>
  <c r="U83"/>
  <c r="T83"/>
  <c r="S83"/>
  <c r="R83"/>
  <c r="Q83"/>
  <c r="P83"/>
  <c r="J77"/>
  <c r="K77"/>
  <c r="L77"/>
  <c r="M77"/>
  <c r="N77"/>
  <c r="O77"/>
  <c r="I77"/>
  <c r="W76"/>
  <c r="V76"/>
  <c r="U76"/>
  <c r="T76"/>
  <c r="S76"/>
  <c r="R76"/>
  <c r="Q76"/>
  <c r="P76"/>
  <c r="W75"/>
  <c r="V75"/>
  <c r="U75"/>
  <c r="T75"/>
  <c r="S75"/>
  <c r="R75"/>
  <c r="Q75"/>
  <c r="P75"/>
  <c r="J73"/>
  <c r="K73"/>
  <c r="L73"/>
  <c r="M73"/>
  <c r="N73"/>
  <c r="O73"/>
  <c r="I73"/>
  <c r="W91"/>
  <c r="V91"/>
  <c r="U91"/>
  <c r="T91"/>
  <c r="S91"/>
  <c r="R91"/>
  <c r="Q91"/>
  <c r="P91"/>
  <c r="W90"/>
  <c r="V90"/>
  <c r="U90"/>
  <c r="T90"/>
  <c r="S90"/>
  <c r="R90"/>
  <c r="Q90"/>
  <c r="P90"/>
  <c r="W82"/>
  <c r="V82"/>
  <c r="U82"/>
  <c r="T82"/>
  <c r="S82"/>
  <c r="R82"/>
  <c r="Q82"/>
  <c r="P82"/>
  <c r="W81"/>
  <c r="V81"/>
  <c r="U81"/>
  <c r="T81"/>
  <c r="S81"/>
  <c r="R81"/>
  <c r="Q81"/>
  <c r="P81"/>
  <c r="W74"/>
  <c r="V74"/>
  <c r="U74"/>
  <c r="T74"/>
  <c r="S74"/>
  <c r="R74"/>
  <c r="Q74"/>
  <c r="P74"/>
  <c r="W72"/>
  <c r="V72"/>
  <c r="U72"/>
  <c r="T72"/>
  <c r="S72"/>
  <c r="R72"/>
  <c r="Q72"/>
  <c r="P72"/>
  <c r="W71"/>
  <c r="V71"/>
  <c r="U71"/>
  <c r="T71"/>
  <c r="S71"/>
  <c r="R71"/>
  <c r="Q71"/>
  <c r="P71"/>
  <c r="W70"/>
  <c r="V70"/>
  <c r="U70"/>
  <c r="T70"/>
  <c r="S70"/>
  <c r="R70"/>
  <c r="Q70"/>
  <c r="P70"/>
  <c r="W69"/>
  <c r="V69"/>
  <c r="U69"/>
  <c r="T69"/>
  <c r="S69"/>
  <c r="R69"/>
  <c r="Q69"/>
  <c r="P69"/>
  <c r="W68"/>
  <c r="V68"/>
  <c r="U68"/>
  <c r="T68"/>
  <c r="S68"/>
  <c r="R68"/>
  <c r="Q68"/>
  <c r="P68"/>
  <c r="W67"/>
  <c r="V67"/>
  <c r="U67"/>
  <c r="T67"/>
  <c r="S67"/>
  <c r="R67"/>
  <c r="Q67"/>
  <c r="P67"/>
  <c r="W95"/>
  <c r="V95"/>
  <c r="U95"/>
  <c r="T95"/>
  <c r="S95"/>
  <c r="R95"/>
  <c r="Q95"/>
  <c r="P95"/>
  <c r="P61"/>
  <c r="J45"/>
  <c r="Q45" s="1"/>
  <c r="K45"/>
  <c r="R45" s="1"/>
  <c r="L45"/>
  <c r="S45" s="1"/>
  <c r="M45"/>
  <c r="T45" s="1"/>
  <c r="N45"/>
  <c r="O45"/>
  <c r="I45"/>
  <c r="P45" s="1"/>
  <c r="J44"/>
  <c r="K44"/>
  <c r="L44"/>
  <c r="M44"/>
  <c r="T44" s="1"/>
  <c r="N44"/>
  <c r="U44" s="1"/>
  <c r="O44"/>
  <c r="V44" s="1"/>
  <c r="I44"/>
  <c r="I46" s="1"/>
  <c r="J57"/>
  <c r="Q57" s="1"/>
  <c r="K57"/>
  <c r="R57" s="1"/>
  <c r="L57"/>
  <c r="S57" s="1"/>
  <c r="M57"/>
  <c r="N57"/>
  <c r="U57" s="1"/>
  <c r="O57"/>
  <c r="V57" s="1"/>
  <c r="I57"/>
  <c r="P57" s="1"/>
  <c r="O54"/>
  <c r="N54"/>
  <c r="M54"/>
  <c r="L54"/>
  <c r="K54"/>
  <c r="J54"/>
  <c r="I54"/>
  <c r="P47"/>
  <c r="P48"/>
  <c r="P49"/>
  <c r="P50"/>
  <c r="P51"/>
  <c r="P52"/>
  <c r="P53"/>
  <c r="J43"/>
  <c r="K43"/>
  <c r="L43"/>
  <c r="M43"/>
  <c r="N43"/>
  <c r="O43"/>
  <c r="I43"/>
  <c r="W66"/>
  <c r="V66"/>
  <c r="U66"/>
  <c r="T66"/>
  <c r="S66"/>
  <c r="R66"/>
  <c r="Q66"/>
  <c r="P66"/>
  <c r="W65"/>
  <c r="V65"/>
  <c r="U65"/>
  <c r="T65"/>
  <c r="S65"/>
  <c r="R65"/>
  <c r="Q65"/>
  <c r="P65"/>
  <c r="W64"/>
  <c r="V64"/>
  <c r="U64"/>
  <c r="T64"/>
  <c r="S64"/>
  <c r="R64"/>
  <c r="Q64"/>
  <c r="P64"/>
  <c r="W63"/>
  <c r="V63"/>
  <c r="U63"/>
  <c r="T63"/>
  <c r="S63"/>
  <c r="R63"/>
  <c r="Q63"/>
  <c r="P63"/>
  <c r="W61"/>
  <c r="V61"/>
  <c r="U61"/>
  <c r="T61"/>
  <c r="S61"/>
  <c r="R61"/>
  <c r="Q61"/>
  <c r="W59"/>
  <c r="V59"/>
  <c r="U59"/>
  <c r="T59"/>
  <c r="S59"/>
  <c r="R59"/>
  <c r="Q59"/>
  <c r="P59"/>
  <c r="T57"/>
  <c r="W55"/>
  <c r="V55"/>
  <c r="U55"/>
  <c r="T55"/>
  <c r="S55"/>
  <c r="R55"/>
  <c r="Q55"/>
  <c r="P55"/>
  <c r="W53"/>
  <c r="V53"/>
  <c r="U53"/>
  <c r="T53"/>
  <c r="S53"/>
  <c r="R53"/>
  <c r="Q53"/>
  <c r="W52"/>
  <c r="V52"/>
  <c r="U52"/>
  <c r="T52"/>
  <c r="S52"/>
  <c r="R52"/>
  <c r="Q52"/>
  <c r="W51"/>
  <c r="V51"/>
  <c r="U51"/>
  <c r="T51"/>
  <c r="S51"/>
  <c r="R51"/>
  <c r="Q51"/>
  <c r="W50"/>
  <c r="V50"/>
  <c r="U50"/>
  <c r="T50"/>
  <c r="S50"/>
  <c r="R50"/>
  <c r="Q50"/>
  <c r="W49"/>
  <c r="V49"/>
  <c r="U49"/>
  <c r="T49"/>
  <c r="S49"/>
  <c r="R49"/>
  <c r="Q49"/>
  <c r="W48"/>
  <c r="V48"/>
  <c r="U48"/>
  <c r="T48"/>
  <c r="S48"/>
  <c r="R48"/>
  <c r="Q48"/>
  <c r="W47"/>
  <c r="V47"/>
  <c r="U47"/>
  <c r="T47"/>
  <c r="S47"/>
  <c r="R47"/>
  <c r="Q47"/>
  <c r="V45"/>
  <c r="J37"/>
  <c r="K37"/>
  <c r="L37"/>
  <c r="M37"/>
  <c r="N37"/>
  <c r="O37"/>
  <c r="I37"/>
  <c r="J32"/>
  <c r="K32"/>
  <c r="L32"/>
  <c r="M32"/>
  <c r="N32"/>
  <c r="O32"/>
  <c r="I32"/>
  <c r="W30"/>
  <c r="V30"/>
  <c r="U30"/>
  <c r="T30"/>
  <c r="S30"/>
  <c r="R30"/>
  <c r="Q30"/>
  <c r="P30"/>
  <c r="W29"/>
  <c r="V29"/>
  <c r="U29"/>
  <c r="T29"/>
  <c r="S29"/>
  <c r="R29"/>
  <c r="Q29"/>
  <c r="P29"/>
  <c r="W28"/>
  <c r="V28"/>
  <c r="U28"/>
  <c r="T28"/>
  <c r="S28"/>
  <c r="R28"/>
  <c r="Q28"/>
  <c r="P28"/>
  <c r="W27"/>
  <c r="V27"/>
  <c r="U27"/>
  <c r="T27"/>
  <c r="S27"/>
  <c r="R27"/>
  <c r="Q27"/>
  <c r="P27"/>
  <c r="W26"/>
  <c r="V26"/>
  <c r="U26"/>
  <c r="T26"/>
  <c r="S26"/>
  <c r="R26"/>
  <c r="Q26"/>
  <c r="P26"/>
  <c r="Q44"/>
  <c r="P44"/>
  <c r="W42"/>
  <c r="V42"/>
  <c r="U42"/>
  <c r="T42"/>
  <c r="S42"/>
  <c r="R42"/>
  <c r="Q42"/>
  <c r="P42"/>
  <c r="W41"/>
  <c r="V41"/>
  <c r="U41"/>
  <c r="T41"/>
  <c r="S41"/>
  <c r="R41"/>
  <c r="Q41"/>
  <c r="P41"/>
  <c r="W40"/>
  <c r="V40"/>
  <c r="U40"/>
  <c r="T40"/>
  <c r="S40"/>
  <c r="R40"/>
  <c r="Q40"/>
  <c r="P40"/>
  <c r="W39"/>
  <c r="V39"/>
  <c r="U39"/>
  <c r="T39"/>
  <c r="S39"/>
  <c r="R39"/>
  <c r="Q39"/>
  <c r="P39"/>
  <c r="W38"/>
  <c r="V38"/>
  <c r="V43" s="1"/>
  <c r="U38"/>
  <c r="T38"/>
  <c r="T43" s="1"/>
  <c r="S38"/>
  <c r="S43" s="1"/>
  <c r="R38"/>
  <c r="Q38"/>
  <c r="P38"/>
  <c r="P43" s="1"/>
  <c r="W36"/>
  <c r="V36"/>
  <c r="U36"/>
  <c r="T36"/>
  <c r="S36"/>
  <c r="R36"/>
  <c r="Q36"/>
  <c r="P36"/>
  <c r="W35"/>
  <c r="V35"/>
  <c r="U35"/>
  <c r="T35"/>
  <c r="S35"/>
  <c r="R35"/>
  <c r="Q35"/>
  <c r="P35"/>
  <c r="W34"/>
  <c r="V34"/>
  <c r="U34"/>
  <c r="T34"/>
  <c r="S34"/>
  <c r="R34"/>
  <c r="Q34"/>
  <c r="P34"/>
  <c r="W33"/>
  <c r="V33"/>
  <c r="U33"/>
  <c r="U37" s="1"/>
  <c r="T33"/>
  <c r="S33"/>
  <c r="S37" s="1"/>
  <c r="R33"/>
  <c r="R37" s="1"/>
  <c r="Q33"/>
  <c r="P33"/>
  <c r="P37" s="1"/>
  <c r="W31"/>
  <c r="V31"/>
  <c r="U31"/>
  <c r="T31"/>
  <c r="S31"/>
  <c r="R31"/>
  <c r="Q31"/>
  <c r="P31"/>
  <c r="W25"/>
  <c r="V25"/>
  <c r="U25"/>
  <c r="T25"/>
  <c r="S25"/>
  <c r="R25"/>
  <c r="Q25"/>
  <c r="P25"/>
  <c r="P32" s="1"/>
  <c r="O24"/>
  <c r="N24"/>
  <c r="M24"/>
  <c r="L24"/>
  <c r="K24"/>
  <c r="J24"/>
  <c r="I24"/>
  <c r="W23"/>
  <c r="V23"/>
  <c r="U23"/>
  <c r="T23"/>
  <c r="S23"/>
  <c r="R23"/>
  <c r="Q23"/>
  <c r="P23"/>
  <c r="W22"/>
  <c r="V22"/>
  <c r="U22"/>
  <c r="T22"/>
  <c r="S22"/>
  <c r="R22"/>
  <c r="Q22"/>
  <c r="P22"/>
  <c r="W21"/>
  <c r="V21"/>
  <c r="U21"/>
  <c r="T21"/>
  <c r="S21"/>
  <c r="R21"/>
  <c r="Q21"/>
  <c r="P21"/>
  <c r="W20"/>
  <c r="V20"/>
  <c r="U20"/>
  <c r="T20"/>
  <c r="S20"/>
  <c r="R20"/>
  <c r="Q20"/>
  <c r="P20"/>
  <c r="W19"/>
  <c r="V19"/>
  <c r="U19"/>
  <c r="U24" s="1"/>
  <c r="T19"/>
  <c r="T24" s="1"/>
  <c r="S19"/>
  <c r="S24" s="1"/>
  <c r="R19"/>
  <c r="R24" s="1"/>
  <c r="Q19"/>
  <c r="P19"/>
  <c r="W17"/>
  <c r="V17"/>
  <c r="U17"/>
  <c r="T17"/>
  <c r="S17"/>
  <c r="R17"/>
  <c r="Q17"/>
  <c r="P17"/>
  <c r="P10"/>
  <c r="Q10"/>
  <c r="R10"/>
  <c r="S10"/>
  <c r="T10"/>
  <c r="U10"/>
  <c r="V10"/>
  <c r="W10"/>
  <c r="P11"/>
  <c r="Q11"/>
  <c r="R11"/>
  <c r="S11"/>
  <c r="T11"/>
  <c r="U11"/>
  <c r="V11"/>
  <c r="W11"/>
  <c r="P12"/>
  <c r="Q12"/>
  <c r="R12"/>
  <c r="S12"/>
  <c r="T12"/>
  <c r="U12"/>
  <c r="V12"/>
  <c r="W12"/>
  <c r="P13"/>
  <c r="Q13"/>
  <c r="R13"/>
  <c r="S13"/>
  <c r="T13"/>
  <c r="U13"/>
  <c r="V13"/>
  <c r="W13"/>
  <c r="Q9"/>
  <c r="R9"/>
  <c r="S9"/>
  <c r="T9"/>
  <c r="U9"/>
  <c r="V9"/>
  <c r="P9"/>
  <c r="W9"/>
  <c r="K308" i="23" l="1"/>
  <c r="L309"/>
  <c r="M310"/>
  <c r="I306"/>
  <c r="I289"/>
  <c r="K290"/>
  <c r="K287"/>
  <c r="L286"/>
  <c r="K281"/>
  <c r="L280"/>
  <c r="L271"/>
  <c r="M272"/>
  <c r="N273"/>
  <c r="H275"/>
  <c r="I276"/>
  <c r="J277"/>
  <c r="K278"/>
  <c r="K255"/>
  <c r="L256"/>
  <c r="M257"/>
  <c r="N258"/>
  <c r="H260"/>
  <c r="I261"/>
  <c r="J262"/>
  <c r="N246"/>
  <c r="H248"/>
  <c r="I249"/>
  <c r="J250"/>
  <c r="K251"/>
  <c r="M245"/>
  <c r="N244"/>
  <c r="J231"/>
  <c r="K232"/>
  <c r="L233"/>
  <c r="M234"/>
  <c r="N235"/>
  <c r="H237"/>
  <c r="I238"/>
  <c r="J239"/>
  <c r="K240"/>
  <c r="L241"/>
  <c r="M242"/>
  <c r="K220"/>
  <c r="M221"/>
  <c r="H223"/>
  <c r="J224"/>
  <c r="M225"/>
  <c r="J219"/>
  <c r="J228" s="1"/>
  <c r="K218"/>
  <c r="I230"/>
  <c r="L308"/>
  <c r="M309"/>
  <c r="N310"/>
  <c r="J306"/>
  <c r="J289"/>
  <c r="L290"/>
  <c r="L287"/>
  <c r="M286"/>
  <c r="M308"/>
  <c r="N309"/>
  <c r="I305"/>
  <c r="K306"/>
  <c r="K289"/>
  <c r="M290"/>
  <c r="M287"/>
  <c r="N286"/>
  <c r="M281"/>
  <c r="N280"/>
  <c r="N271"/>
  <c r="H273"/>
  <c r="I274"/>
  <c r="J275"/>
  <c r="K276"/>
  <c r="L277"/>
  <c r="M278"/>
  <c r="M255"/>
  <c r="N256"/>
  <c r="H258"/>
  <c r="I259"/>
  <c r="J260"/>
  <c r="K261"/>
  <c r="L262"/>
  <c r="H246"/>
  <c r="I247"/>
  <c r="J248"/>
  <c r="K249"/>
  <c r="L250"/>
  <c r="M251"/>
  <c r="H245"/>
  <c r="L231"/>
  <c r="M232"/>
  <c r="N233"/>
  <c r="H235"/>
  <c r="I236"/>
  <c r="J237"/>
  <c r="K238"/>
  <c r="L239"/>
  <c r="M240"/>
  <c r="N241"/>
  <c r="M220"/>
  <c r="H222"/>
  <c r="K223"/>
  <c r="M224"/>
  <c r="K226"/>
  <c r="L219"/>
  <c r="M218"/>
  <c r="I309"/>
  <c r="J310"/>
  <c r="L305"/>
  <c r="N306"/>
  <c r="N289"/>
  <c r="H289"/>
  <c r="O289" s="1"/>
  <c r="I286"/>
  <c r="I280"/>
  <c r="I271"/>
  <c r="J272"/>
  <c r="K273"/>
  <c r="L274"/>
  <c r="M275"/>
  <c r="N276"/>
  <c r="H278"/>
  <c r="H255"/>
  <c r="I256"/>
  <c r="J257"/>
  <c r="K258"/>
  <c r="L259"/>
  <c r="M260"/>
  <c r="N261"/>
  <c r="K246"/>
  <c r="L247"/>
  <c r="M248"/>
  <c r="N249"/>
  <c r="H251"/>
  <c r="J245"/>
  <c r="K244"/>
  <c r="H232"/>
  <c r="I233"/>
  <c r="J234"/>
  <c r="K235"/>
  <c r="L236"/>
  <c r="M237"/>
  <c r="N238"/>
  <c r="H240"/>
  <c r="I241"/>
  <c r="J242"/>
  <c r="J221"/>
  <c r="L222"/>
  <c r="N223"/>
  <c r="I225"/>
  <c r="L227"/>
  <c r="H219"/>
  <c r="N308"/>
  <c r="J305"/>
  <c r="H290"/>
  <c r="H281"/>
  <c r="M271"/>
  <c r="L273"/>
  <c r="K275"/>
  <c r="I277"/>
  <c r="I255"/>
  <c r="H257"/>
  <c r="M258"/>
  <c r="L260"/>
  <c r="K262"/>
  <c r="I246"/>
  <c r="N247"/>
  <c r="M249"/>
  <c r="L251"/>
  <c r="L244"/>
  <c r="I231"/>
  <c r="H233"/>
  <c r="N234"/>
  <c r="M236"/>
  <c r="L238"/>
  <c r="J240"/>
  <c r="I242"/>
  <c r="I220"/>
  <c r="J222"/>
  <c r="I224"/>
  <c r="H227"/>
  <c r="L218"/>
  <c r="H272"/>
  <c r="M244"/>
  <c r="I235"/>
  <c r="M238"/>
  <c r="K242"/>
  <c r="K222"/>
  <c r="M227"/>
  <c r="H309"/>
  <c r="K305"/>
  <c r="I287"/>
  <c r="J280"/>
  <c r="M273"/>
  <c r="L275"/>
  <c r="K277"/>
  <c r="J255"/>
  <c r="I257"/>
  <c r="H259"/>
  <c r="N260"/>
  <c r="M262"/>
  <c r="J246"/>
  <c r="I248"/>
  <c r="H250"/>
  <c r="N251"/>
  <c r="K231"/>
  <c r="J233"/>
  <c r="N236"/>
  <c r="L240"/>
  <c r="J220"/>
  <c r="L224"/>
  <c r="N218"/>
  <c r="J261"/>
  <c r="J309"/>
  <c r="M305"/>
  <c r="H269"/>
  <c r="J287"/>
  <c r="K280"/>
  <c r="I272"/>
  <c r="H274"/>
  <c r="N275"/>
  <c r="M277"/>
  <c r="L255"/>
  <c r="K257"/>
  <c r="J259"/>
  <c r="H261"/>
  <c r="N262"/>
  <c r="L246"/>
  <c r="K248"/>
  <c r="I250"/>
  <c r="I245"/>
  <c r="H244"/>
  <c r="M231"/>
  <c r="K233"/>
  <c r="J235"/>
  <c r="I237"/>
  <c r="H239"/>
  <c r="N240"/>
  <c r="L242"/>
  <c r="L220"/>
  <c r="M222"/>
  <c r="N224"/>
  <c r="I219"/>
  <c r="H218"/>
  <c r="K309"/>
  <c r="N305"/>
  <c r="L289"/>
  <c r="N287"/>
  <c r="M280"/>
  <c r="K272"/>
  <c r="J274"/>
  <c r="H276"/>
  <c r="N277"/>
  <c r="N255"/>
  <c r="L257"/>
  <c r="K259"/>
  <c r="M246"/>
  <c r="L248"/>
  <c r="K250"/>
  <c r="K245"/>
  <c r="N231"/>
  <c r="M233"/>
  <c r="L235"/>
  <c r="K237"/>
  <c r="I239"/>
  <c r="H241"/>
  <c r="N242"/>
  <c r="N220"/>
  <c r="N222"/>
  <c r="H225"/>
  <c r="K219"/>
  <c r="H310"/>
  <c r="L306"/>
  <c r="L311" s="1"/>
  <c r="M289"/>
  <c r="H287"/>
  <c r="I281"/>
  <c r="H280"/>
  <c r="L272"/>
  <c r="K274"/>
  <c r="J276"/>
  <c r="I278"/>
  <c r="H256"/>
  <c r="N257"/>
  <c r="M259"/>
  <c r="L261"/>
  <c r="H247"/>
  <c r="N248"/>
  <c r="M250"/>
  <c r="L245"/>
  <c r="L252" s="1"/>
  <c r="I232"/>
  <c r="H234"/>
  <c r="M235"/>
  <c r="L237"/>
  <c r="K239"/>
  <c r="J241"/>
  <c r="I221"/>
  <c r="I223"/>
  <c r="J225"/>
  <c r="M219"/>
  <c r="I310"/>
  <c r="M306"/>
  <c r="I290"/>
  <c r="J286"/>
  <c r="J281"/>
  <c r="H271"/>
  <c r="O271" s="1"/>
  <c r="N272"/>
  <c r="M274"/>
  <c r="L276"/>
  <c r="J278"/>
  <c r="J256"/>
  <c r="I258"/>
  <c r="N259"/>
  <c r="M261"/>
  <c r="J247"/>
  <c r="H249"/>
  <c r="N250"/>
  <c r="N245"/>
  <c r="J232"/>
  <c r="I234"/>
  <c r="H236"/>
  <c r="N237"/>
  <c r="M239"/>
  <c r="K241"/>
  <c r="K221"/>
  <c r="L223"/>
  <c r="K225"/>
  <c r="N219"/>
  <c r="H308"/>
  <c r="K310"/>
  <c r="H306"/>
  <c r="J290"/>
  <c r="H305"/>
  <c r="N290"/>
  <c r="J273"/>
  <c r="L258"/>
  <c r="I244"/>
  <c r="N232"/>
  <c r="I240"/>
  <c r="N221"/>
  <c r="N274"/>
  <c r="I260"/>
  <c r="J244"/>
  <c r="K234"/>
  <c r="M223"/>
  <c r="I275"/>
  <c r="K247"/>
  <c r="H224"/>
  <c r="L281"/>
  <c r="J236"/>
  <c r="N225"/>
  <c r="N281"/>
  <c r="I262"/>
  <c r="L226"/>
  <c r="I273"/>
  <c r="L232"/>
  <c r="K286"/>
  <c r="M241"/>
  <c r="K260"/>
  <c r="L234"/>
  <c r="M276"/>
  <c r="M247"/>
  <c r="H277"/>
  <c r="J249"/>
  <c r="J251"/>
  <c r="L221"/>
  <c r="H286"/>
  <c r="H242"/>
  <c r="H262"/>
  <c r="K236"/>
  <c r="J258"/>
  <c r="N239"/>
  <c r="J271"/>
  <c r="L278"/>
  <c r="K256"/>
  <c r="L249"/>
  <c r="H238"/>
  <c r="I218"/>
  <c r="I308"/>
  <c r="K271"/>
  <c r="N278"/>
  <c r="M256"/>
  <c r="I251"/>
  <c r="H231"/>
  <c r="J238"/>
  <c r="J218"/>
  <c r="L310"/>
  <c r="H226"/>
  <c r="M226"/>
  <c r="I226"/>
  <c r="L230"/>
  <c r="N270"/>
  <c r="N230"/>
  <c r="N243" s="1"/>
  <c r="H230"/>
  <c r="K227"/>
  <c r="N253"/>
  <c r="K224"/>
  <c r="L225"/>
  <c r="K230"/>
  <c r="H229"/>
  <c r="H221"/>
  <c r="H220"/>
  <c r="J223"/>
  <c r="I227"/>
  <c r="I222"/>
  <c r="K229"/>
  <c r="M229"/>
  <c r="I229"/>
  <c r="J226"/>
  <c r="L229"/>
  <c r="J230"/>
  <c r="N226"/>
  <c r="M230"/>
  <c r="N227"/>
  <c r="J227"/>
  <c r="J229"/>
  <c r="N229"/>
  <c r="K269"/>
  <c r="L269"/>
  <c r="H254"/>
  <c r="J253"/>
  <c r="K337"/>
  <c r="I337"/>
  <c r="J270"/>
  <c r="J279" s="1"/>
  <c r="M254"/>
  <c r="J269"/>
  <c r="L337"/>
  <c r="M253"/>
  <c r="M269"/>
  <c r="N337"/>
  <c r="J337"/>
  <c r="H270"/>
  <c r="I269"/>
  <c r="K254"/>
  <c r="J254"/>
  <c r="M337"/>
  <c r="I254"/>
  <c r="K270"/>
  <c r="I253"/>
  <c r="N269"/>
  <c r="H253"/>
  <c r="M270"/>
  <c r="I270"/>
  <c r="N254"/>
  <c r="L253"/>
  <c r="L254"/>
  <c r="L263" s="1"/>
  <c r="K253"/>
  <c r="L270"/>
  <c r="N342"/>
  <c r="O328"/>
  <c r="L342"/>
  <c r="K342"/>
  <c r="I342"/>
  <c r="M342"/>
  <c r="J342"/>
  <c r="J308"/>
  <c r="H203"/>
  <c r="I203"/>
  <c r="O202"/>
  <c r="O205"/>
  <c r="E173"/>
  <c r="E174" s="1"/>
  <c r="IF62" i="6"/>
  <c r="IE63"/>
  <c r="GS50"/>
  <c r="GR53"/>
  <c r="F33" i="23"/>
  <c r="F57"/>
  <c r="F48"/>
  <c r="F68"/>
  <c r="F17"/>
  <c r="F73"/>
  <c r="K46" i="13"/>
  <c r="J46"/>
  <c r="N46"/>
  <c r="L46"/>
  <c r="S77"/>
  <c r="V24"/>
  <c r="R77"/>
  <c r="Q77"/>
  <c r="U77"/>
  <c r="V77"/>
  <c r="X83"/>
  <c r="X84"/>
  <c r="X85"/>
  <c r="X86"/>
  <c r="X87"/>
  <c r="X88"/>
  <c r="X89"/>
  <c r="T77"/>
  <c r="W77"/>
  <c r="X75"/>
  <c r="X76"/>
  <c r="P77"/>
  <c r="U43"/>
  <c r="R44"/>
  <c r="R46" s="1"/>
  <c r="S44"/>
  <c r="S46" s="1"/>
  <c r="O46"/>
  <c r="W57"/>
  <c r="X95"/>
  <c r="F96" s="1"/>
  <c r="V73"/>
  <c r="Q32"/>
  <c r="W24"/>
  <c r="Q43"/>
  <c r="U73"/>
  <c r="R32"/>
  <c r="Q73"/>
  <c r="W43"/>
  <c r="R73"/>
  <c r="P73"/>
  <c r="W73"/>
  <c r="S73"/>
  <c r="T73"/>
  <c r="R43"/>
  <c r="P24"/>
  <c r="Q24"/>
  <c r="X67"/>
  <c r="X68"/>
  <c r="X69"/>
  <c r="X70"/>
  <c r="X71"/>
  <c r="X72"/>
  <c r="X74"/>
  <c r="X81"/>
  <c r="X82"/>
  <c r="X90"/>
  <c r="X91"/>
  <c r="S54"/>
  <c r="U54"/>
  <c r="P54"/>
  <c r="Q54"/>
  <c r="R54"/>
  <c r="V32"/>
  <c r="S32"/>
  <c r="T54"/>
  <c r="V54"/>
  <c r="T37"/>
  <c r="X59"/>
  <c r="Q37"/>
  <c r="X47"/>
  <c r="X12"/>
  <c r="W32"/>
  <c r="X55"/>
  <c r="T32"/>
  <c r="X61"/>
  <c r="X63"/>
  <c r="X64"/>
  <c r="X65"/>
  <c r="X66"/>
  <c r="U32"/>
  <c r="X27"/>
  <c r="X28"/>
  <c r="X29"/>
  <c r="X30"/>
  <c r="V46"/>
  <c r="U45"/>
  <c r="X45" s="1"/>
  <c r="Q46"/>
  <c r="T46"/>
  <c r="P46"/>
  <c r="W45"/>
  <c r="W44"/>
  <c r="M46"/>
  <c r="X57"/>
  <c r="W54"/>
  <c r="X48"/>
  <c r="X53"/>
  <c r="X52"/>
  <c r="X51"/>
  <c r="X50"/>
  <c r="X49"/>
  <c r="V37"/>
  <c r="W37"/>
  <c r="X36"/>
  <c r="X26"/>
  <c r="X35"/>
  <c r="X39"/>
  <c r="X41"/>
  <c r="X42"/>
  <c r="X38"/>
  <c r="X40"/>
  <c r="X31"/>
  <c r="X33"/>
  <c r="X34"/>
  <c r="X13"/>
  <c r="X11"/>
  <c r="X10"/>
  <c r="X23"/>
  <c r="X25"/>
  <c r="X17"/>
  <c r="X19"/>
  <c r="X20"/>
  <c r="X21"/>
  <c r="X22"/>
  <c r="X9"/>
  <c r="K263" i="23" l="1"/>
  <c r="K279"/>
  <c r="N252"/>
  <c r="M311"/>
  <c r="I311"/>
  <c r="O229"/>
  <c r="H337"/>
  <c r="O316"/>
  <c r="O337" s="1"/>
  <c r="K243"/>
  <c r="O238"/>
  <c r="O308"/>
  <c r="O236"/>
  <c r="O310"/>
  <c r="O244"/>
  <c r="O269"/>
  <c r="H228"/>
  <c r="O219"/>
  <c r="O240"/>
  <c r="O326"/>
  <c r="O253"/>
  <c r="J263"/>
  <c r="J243"/>
  <c r="L228"/>
  <c r="L243"/>
  <c r="O231"/>
  <c r="O242"/>
  <c r="I252"/>
  <c r="O259"/>
  <c r="O272"/>
  <c r="J252"/>
  <c r="N311"/>
  <c r="O258"/>
  <c r="O273"/>
  <c r="K311"/>
  <c r="J311"/>
  <c r="M252"/>
  <c r="O260"/>
  <c r="O275"/>
  <c r="O341"/>
  <c r="O342" s="1"/>
  <c r="H342"/>
  <c r="O321"/>
  <c r="O225"/>
  <c r="O237"/>
  <c r="O254"/>
  <c r="H263"/>
  <c r="N263"/>
  <c r="O270"/>
  <c r="H279"/>
  <c r="O322"/>
  <c r="O223"/>
  <c r="O305"/>
  <c r="K252"/>
  <c r="O276"/>
  <c r="O218"/>
  <c r="O274"/>
  <c r="O250"/>
  <c r="O233"/>
  <c r="O281"/>
  <c r="O246"/>
  <c r="O232"/>
  <c r="O262"/>
  <c r="O286"/>
  <c r="O247"/>
  <c r="O309"/>
  <c r="O235"/>
  <c r="H283"/>
  <c r="H266"/>
  <c r="H215"/>
  <c r="H264"/>
  <c r="O280"/>
  <c r="L279"/>
  <c r="I279"/>
  <c r="O315"/>
  <c r="N228"/>
  <c r="O220"/>
  <c r="K228"/>
  <c r="O226"/>
  <c r="O224"/>
  <c r="O249"/>
  <c r="M228"/>
  <c r="O234"/>
  <c r="O287"/>
  <c r="I228"/>
  <c r="O290"/>
  <c r="I243"/>
  <c r="O248"/>
  <c r="O255"/>
  <c r="N279"/>
  <c r="O340"/>
  <c r="O251"/>
  <c r="O222"/>
  <c r="O239"/>
  <c r="O227"/>
  <c r="O325"/>
  <c r="O327"/>
  <c r="M279"/>
  <c r="I263"/>
  <c r="M263"/>
  <c r="M243"/>
  <c r="O221"/>
  <c r="O230"/>
  <c r="H243"/>
  <c r="O277"/>
  <c r="H311"/>
  <c r="O306"/>
  <c r="O256"/>
  <c r="O241"/>
  <c r="O261"/>
  <c r="O257"/>
  <c r="O245"/>
  <c r="H252"/>
  <c r="O278"/>
  <c r="C283"/>
  <c r="E307"/>
  <c r="E302"/>
  <c r="C302"/>
  <c r="C307"/>
  <c r="E309"/>
  <c r="C309"/>
  <c r="E305"/>
  <c r="C305"/>
  <c r="C259"/>
  <c r="E259"/>
  <c r="E239"/>
  <c r="C239"/>
  <c r="E220"/>
  <c r="E273"/>
  <c r="E257"/>
  <c r="C300"/>
  <c r="C266"/>
  <c r="C250"/>
  <c r="C220"/>
  <c r="E289"/>
  <c r="C264"/>
  <c r="C222"/>
  <c r="E237"/>
  <c r="C261"/>
  <c r="C257"/>
  <c r="E298"/>
  <c r="E264"/>
  <c r="E248"/>
  <c r="E231"/>
  <c r="C289"/>
  <c r="C271"/>
  <c r="C255"/>
  <c r="C231"/>
  <c r="C298"/>
  <c r="E253"/>
  <c r="C296"/>
  <c r="E235"/>
  <c r="C275"/>
  <c r="E233"/>
  <c r="E224"/>
  <c r="E296"/>
  <c r="E246"/>
  <c r="E229"/>
  <c r="C286"/>
  <c r="C269"/>
  <c r="C253"/>
  <c r="C229"/>
  <c r="E271"/>
  <c r="C215"/>
  <c r="E286"/>
  <c r="C246"/>
  <c r="C294"/>
  <c r="C226"/>
  <c r="E250"/>
  <c r="C233"/>
  <c r="E222"/>
  <c r="E294"/>
  <c r="E275"/>
  <c r="E261"/>
  <c r="E244"/>
  <c r="C218"/>
  <c r="E218"/>
  <c r="E255"/>
  <c r="E241"/>
  <c r="C248"/>
  <c r="E215"/>
  <c r="E269"/>
  <c r="C224"/>
  <c r="C244"/>
  <c r="E300"/>
  <c r="E266"/>
  <c r="C273"/>
  <c r="E226"/>
  <c r="C241"/>
  <c r="C237"/>
  <c r="C235"/>
  <c r="E277"/>
  <c r="C277"/>
  <c r="O203"/>
  <c r="E179"/>
  <c r="I210"/>
  <c r="L211"/>
  <c r="J211"/>
  <c r="M211"/>
  <c r="J210"/>
  <c r="I211"/>
  <c r="N211"/>
  <c r="M210"/>
  <c r="N210"/>
  <c r="H211"/>
  <c r="L210"/>
  <c r="H210"/>
  <c r="K211"/>
  <c r="K210"/>
  <c r="L209"/>
  <c r="L208"/>
  <c r="K209"/>
  <c r="H208"/>
  <c r="I209"/>
  <c r="K208"/>
  <c r="J209"/>
  <c r="J208"/>
  <c r="I208"/>
  <c r="M209"/>
  <c r="N209"/>
  <c r="M208"/>
  <c r="N208"/>
  <c r="H209"/>
  <c r="M182"/>
  <c r="M190" s="1"/>
  <c r="N182"/>
  <c r="N190" s="1"/>
  <c r="O182"/>
  <c r="O190" s="1"/>
  <c r="K182"/>
  <c r="K190" s="1"/>
  <c r="I182"/>
  <c r="I190" s="1"/>
  <c r="L182"/>
  <c r="L190" s="1"/>
  <c r="J182"/>
  <c r="J190" s="1"/>
  <c r="IG62" i="6"/>
  <c r="IF63"/>
  <c r="GT50"/>
  <c r="GS53"/>
  <c r="F117" i="23"/>
  <c r="X14" i="13"/>
  <c r="F14" s="1"/>
  <c r="F92"/>
  <c r="F93" s="1"/>
  <c r="X44"/>
  <c r="X46" s="1"/>
  <c r="X77"/>
  <c r="W46"/>
  <c r="X73"/>
  <c r="U46"/>
  <c r="X54"/>
  <c r="X43"/>
  <c r="X37"/>
  <c r="X32"/>
  <c r="X24"/>
  <c r="H267" i="23" l="1"/>
  <c r="H284"/>
  <c r="O263"/>
  <c r="O252"/>
  <c r="O243"/>
  <c r="O228"/>
  <c r="O311"/>
  <c r="H168"/>
  <c r="I283"/>
  <c r="I284" s="1"/>
  <c r="I215"/>
  <c r="I216" s="1"/>
  <c r="I266"/>
  <c r="I267" s="1"/>
  <c r="I264"/>
  <c r="I265" s="1"/>
  <c r="H265"/>
  <c r="O279"/>
  <c r="H216"/>
  <c r="H212"/>
  <c r="L212"/>
  <c r="K212"/>
  <c r="J212"/>
  <c r="I212"/>
  <c r="N212"/>
  <c r="M212"/>
  <c r="O209"/>
  <c r="O210"/>
  <c r="O208"/>
  <c r="O211"/>
  <c r="I183"/>
  <c r="I191" s="1"/>
  <c r="J183"/>
  <c r="J191" s="1"/>
  <c r="K183"/>
  <c r="K191" s="1"/>
  <c r="F118"/>
  <c r="E340" s="1"/>
  <c r="P182"/>
  <c r="Q182" s="1"/>
  <c r="J167"/>
  <c r="IH62" i="6"/>
  <c r="IG63"/>
  <c r="GU50"/>
  <c r="GT53"/>
  <c r="F149" i="23"/>
  <c r="F98" i="13"/>
  <c r="F78"/>
  <c r="F79"/>
  <c r="X78"/>
  <c r="X199" i="2"/>
  <c r="U197"/>
  <c r="T197"/>
  <c r="S197"/>
  <c r="R197"/>
  <c r="Q197"/>
  <c r="O197"/>
  <c r="W195"/>
  <c r="O195"/>
  <c r="D195"/>
  <c r="W194"/>
  <c r="V194"/>
  <c r="U194"/>
  <c r="T194"/>
  <c r="S194"/>
  <c r="R194"/>
  <c r="Q194"/>
  <c r="P194"/>
  <c r="O194"/>
  <c r="W193"/>
  <c r="V193"/>
  <c r="U193"/>
  <c r="T193"/>
  <c r="S193"/>
  <c r="R193"/>
  <c r="Q193"/>
  <c r="P193"/>
  <c r="O193"/>
  <c r="W192"/>
  <c r="V192"/>
  <c r="U192"/>
  <c r="T192"/>
  <c r="S192"/>
  <c r="R192"/>
  <c r="Q192"/>
  <c r="P192"/>
  <c r="O192"/>
  <c r="X191"/>
  <c r="W189"/>
  <c r="O189"/>
  <c r="D189"/>
  <c r="W187"/>
  <c r="V187"/>
  <c r="U187"/>
  <c r="T187"/>
  <c r="S187"/>
  <c r="R187"/>
  <c r="Q187"/>
  <c r="P187"/>
  <c r="O187"/>
  <c r="W186"/>
  <c r="V186"/>
  <c r="U186"/>
  <c r="T186"/>
  <c r="S186"/>
  <c r="R186"/>
  <c r="Q186"/>
  <c r="P186"/>
  <c r="O186"/>
  <c r="W185"/>
  <c r="V185"/>
  <c r="U185"/>
  <c r="T185"/>
  <c r="S185"/>
  <c r="R185"/>
  <c r="Q185"/>
  <c r="P185"/>
  <c r="O185"/>
  <c r="W184"/>
  <c r="V184"/>
  <c r="U184"/>
  <c r="T184"/>
  <c r="S184"/>
  <c r="R184"/>
  <c r="Q184"/>
  <c r="P184"/>
  <c r="O184"/>
  <c r="W183"/>
  <c r="V183"/>
  <c r="U183"/>
  <c r="T183"/>
  <c r="S183"/>
  <c r="R183"/>
  <c r="Q183"/>
  <c r="P183"/>
  <c r="O183"/>
  <c r="W182"/>
  <c r="V182"/>
  <c r="U182"/>
  <c r="T182"/>
  <c r="S182"/>
  <c r="R182"/>
  <c r="Q182"/>
  <c r="P182"/>
  <c r="O182"/>
  <c r="W181"/>
  <c r="V181"/>
  <c r="U181"/>
  <c r="T181"/>
  <c r="S181"/>
  <c r="R181"/>
  <c r="Q181"/>
  <c r="P181"/>
  <c r="O181"/>
  <c r="W180"/>
  <c r="V180"/>
  <c r="U180"/>
  <c r="T180"/>
  <c r="S180"/>
  <c r="R180"/>
  <c r="Q180"/>
  <c r="P180"/>
  <c r="O180"/>
  <c r="W179"/>
  <c r="V179"/>
  <c r="U179"/>
  <c r="T179"/>
  <c r="S179"/>
  <c r="R179"/>
  <c r="Q179"/>
  <c r="P179"/>
  <c r="O179"/>
  <c r="G179"/>
  <c r="W178"/>
  <c r="V178"/>
  <c r="U178"/>
  <c r="T178"/>
  <c r="S178"/>
  <c r="R178"/>
  <c r="Q178"/>
  <c r="P178"/>
  <c r="O178"/>
  <c r="W177"/>
  <c r="V177"/>
  <c r="U177"/>
  <c r="T177"/>
  <c r="S177"/>
  <c r="R177"/>
  <c r="Q177"/>
  <c r="P177"/>
  <c r="O177"/>
  <c r="X175"/>
  <c r="U173"/>
  <c r="T173"/>
  <c r="S173"/>
  <c r="R173"/>
  <c r="Q173"/>
  <c r="O173"/>
  <c r="W171"/>
  <c r="V171"/>
  <c r="U171"/>
  <c r="T171"/>
  <c r="S171"/>
  <c r="R171"/>
  <c r="Q171"/>
  <c r="P171"/>
  <c r="O171"/>
  <c r="W170"/>
  <c r="V170"/>
  <c r="U170"/>
  <c r="T170"/>
  <c r="S170"/>
  <c r="R170"/>
  <c r="Q170"/>
  <c r="P170"/>
  <c r="O170"/>
  <c r="W169"/>
  <c r="V169"/>
  <c r="U169"/>
  <c r="T169"/>
  <c r="S169"/>
  <c r="R169"/>
  <c r="Q169"/>
  <c r="P169"/>
  <c r="O169"/>
  <c r="G169"/>
  <c r="W168"/>
  <c r="V168"/>
  <c r="U168"/>
  <c r="T168"/>
  <c r="S168"/>
  <c r="R168"/>
  <c r="Q168"/>
  <c r="P168"/>
  <c r="O168"/>
  <c r="G168"/>
  <c r="W167"/>
  <c r="V167"/>
  <c r="U167"/>
  <c r="T167"/>
  <c r="S167"/>
  <c r="R167"/>
  <c r="Q167"/>
  <c r="P167"/>
  <c r="O167"/>
  <c r="W166"/>
  <c r="V166"/>
  <c r="U166"/>
  <c r="T166"/>
  <c r="S166"/>
  <c r="R166"/>
  <c r="Q166"/>
  <c r="P166"/>
  <c r="O166"/>
  <c r="X164"/>
  <c r="W162"/>
  <c r="V162"/>
  <c r="U162"/>
  <c r="T162"/>
  <c r="S162"/>
  <c r="R162"/>
  <c r="Q162"/>
  <c r="P162"/>
  <c r="O162"/>
  <c r="W161"/>
  <c r="V161"/>
  <c r="U161"/>
  <c r="T161"/>
  <c r="S161"/>
  <c r="R161"/>
  <c r="Q161"/>
  <c r="P161"/>
  <c r="O161"/>
  <c r="W160"/>
  <c r="V160"/>
  <c r="U160"/>
  <c r="T160"/>
  <c r="S160"/>
  <c r="R160"/>
  <c r="Q160"/>
  <c r="P160"/>
  <c r="O160"/>
  <c r="W159"/>
  <c r="V159"/>
  <c r="U159"/>
  <c r="T159"/>
  <c r="S159"/>
  <c r="R159"/>
  <c r="Q159"/>
  <c r="P159"/>
  <c r="O159"/>
  <c r="W158"/>
  <c r="V158"/>
  <c r="U158"/>
  <c r="T158"/>
  <c r="S158"/>
  <c r="R158"/>
  <c r="Q158"/>
  <c r="P158"/>
  <c r="O158"/>
  <c r="W157"/>
  <c r="V157"/>
  <c r="U157"/>
  <c r="T157"/>
  <c r="S157"/>
  <c r="R157"/>
  <c r="Q157"/>
  <c r="P157"/>
  <c r="O157"/>
  <c r="W156"/>
  <c r="V156"/>
  <c r="U156"/>
  <c r="T156"/>
  <c r="S156"/>
  <c r="R156"/>
  <c r="Q156"/>
  <c r="P156"/>
  <c r="O156"/>
  <c r="N156"/>
  <c r="W155"/>
  <c r="V155"/>
  <c r="U155"/>
  <c r="T155"/>
  <c r="S155"/>
  <c r="R155"/>
  <c r="Q155"/>
  <c r="P155"/>
  <c r="O155"/>
  <c r="W154"/>
  <c r="V154"/>
  <c r="U154"/>
  <c r="T154"/>
  <c r="S154"/>
  <c r="R154"/>
  <c r="Q154"/>
  <c r="P154"/>
  <c r="O154"/>
  <c r="W153"/>
  <c r="V153"/>
  <c r="U153"/>
  <c r="T153"/>
  <c r="S153"/>
  <c r="R153"/>
  <c r="Q153"/>
  <c r="P153"/>
  <c r="O153"/>
  <c r="L153"/>
  <c r="W152"/>
  <c r="V152"/>
  <c r="U152"/>
  <c r="T152"/>
  <c r="S152"/>
  <c r="R152"/>
  <c r="Q152"/>
  <c r="P152"/>
  <c r="O152"/>
  <c r="L152"/>
  <c r="W151"/>
  <c r="V151"/>
  <c r="U151"/>
  <c r="T151"/>
  <c r="S151"/>
  <c r="R151"/>
  <c r="Q151"/>
  <c r="P151"/>
  <c r="O151"/>
  <c r="W150"/>
  <c r="V150"/>
  <c r="U150"/>
  <c r="T150"/>
  <c r="S150"/>
  <c r="R150"/>
  <c r="Q150"/>
  <c r="P150"/>
  <c r="O150"/>
  <c r="J150"/>
  <c r="W149"/>
  <c r="V149"/>
  <c r="U149"/>
  <c r="T149"/>
  <c r="S149"/>
  <c r="R149"/>
  <c r="Q149"/>
  <c r="P149"/>
  <c r="O149"/>
  <c r="W148"/>
  <c r="V148"/>
  <c r="U148"/>
  <c r="T148"/>
  <c r="S148"/>
  <c r="R148"/>
  <c r="Q148"/>
  <c r="P148"/>
  <c r="O148"/>
  <c r="I148"/>
  <c r="W147"/>
  <c r="V147"/>
  <c r="U147"/>
  <c r="T147"/>
  <c r="S147"/>
  <c r="R147"/>
  <c r="Q147"/>
  <c r="P147"/>
  <c r="O147"/>
  <c r="X146"/>
  <c r="W145"/>
  <c r="V145"/>
  <c r="U145"/>
  <c r="T145"/>
  <c r="S145"/>
  <c r="R145"/>
  <c r="Q145"/>
  <c r="P145"/>
  <c r="O145"/>
  <c r="E145"/>
  <c r="W144"/>
  <c r="V144"/>
  <c r="U144"/>
  <c r="T144"/>
  <c r="S144"/>
  <c r="R144"/>
  <c r="Q144"/>
  <c r="P144"/>
  <c r="O144"/>
  <c r="E144"/>
  <c r="W143"/>
  <c r="V143"/>
  <c r="U143"/>
  <c r="T143"/>
  <c r="S143"/>
  <c r="R143"/>
  <c r="Q143"/>
  <c r="P143"/>
  <c r="O143"/>
  <c r="E143"/>
  <c r="W142"/>
  <c r="V142"/>
  <c r="U142"/>
  <c r="T142"/>
  <c r="S142"/>
  <c r="R142"/>
  <c r="Q142"/>
  <c r="P142"/>
  <c r="O142"/>
  <c r="E142"/>
  <c r="W140"/>
  <c r="V140"/>
  <c r="U140"/>
  <c r="T140"/>
  <c r="S140"/>
  <c r="R140"/>
  <c r="Q140"/>
  <c r="P140"/>
  <c r="O140"/>
  <c r="E140"/>
  <c r="W137"/>
  <c r="V137"/>
  <c r="U137"/>
  <c r="T137"/>
  <c r="S137"/>
  <c r="R137"/>
  <c r="Q137"/>
  <c r="P137"/>
  <c r="O137"/>
  <c r="W136"/>
  <c r="V136"/>
  <c r="U136"/>
  <c r="T136"/>
  <c r="S136"/>
  <c r="R136"/>
  <c r="Q136"/>
  <c r="P136"/>
  <c r="O136"/>
  <c r="W135"/>
  <c r="V135"/>
  <c r="U135"/>
  <c r="T135"/>
  <c r="S135"/>
  <c r="R135"/>
  <c r="Q135"/>
  <c r="P135"/>
  <c r="O135"/>
  <c r="W134"/>
  <c r="V134"/>
  <c r="U134"/>
  <c r="T134"/>
  <c r="S134"/>
  <c r="R134"/>
  <c r="Q134"/>
  <c r="P134"/>
  <c r="O134"/>
  <c r="W133"/>
  <c r="V133"/>
  <c r="U133"/>
  <c r="T133"/>
  <c r="S133"/>
  <c r="R133"/>
  <c r="Q133"/>
  <c r="P133"/>
  <c r="O133"/>
  <c r="W132"/>
  <c r="V132"/>
  <c r="U132"/>
  <c r="T132"/>
  <c r="S132"/>
  <c r="R132"/>
  <c r="Q132"/>
  <c r="P132"/>
  <c r="O132"/>
  <c r="W131"/>
  <c r="V131"/>
  <c r="U131"/>
  <c r="T131"/>
  <c r="S131"/>
  <c r="R131"/>
  <c r="Q131"/>
  <c r="P131"/>
  <c r="O131"/>
  <c r="W130"/>
  <c r="V130"/>
  <c r="U130"/>
  <c r="T130"/>
  <c r="S130"/>
  <c r="R130"/>
  <c r="Q130"/>
  <c r="P130"/>
  <c r="O130"/>
  <c r="W129"/>
  <c r="V129"/>
  <c r="U129"/>
  <c r="T129"/>
  <c r="S129"/>
  <c r="R129"/>
  <c r="Q129"/>
  <c r="P129"/>
  <c r="O129"/>
  <c r="W128"/>
  <c r="V128"/>
  <c r="U128"/>
  <c r="T128"/>
  <c r="S128"/>
  <c r="R128"/>
  <c r="Q128"/>
  <c r="P128"/>
  <c r="O128"/>
  <c r="W127"/>
  <c r="V127"/>
  <c r="U127"/>
  <c r="T127"/>
  <c r="S127"/>
  <c r="R127"/>
  <c r="Q127"/>
  <c r="P127"/>
  <c r="O127"/>
  <c r="X125"/>
  <c r="W124"/>
  <c r="V124"/>
  <c r="U124"/>
  <c r="T124"/>
  <c r="S124"/>
  <c r="R124"/>
  <c r="Q124"/>
  <c r="P124"/>
  <c r="O124"/>
  <c r="E124"/>
  <c r="W123"/>
  <c r="V123"/>
  <c r="U123"/>
  <c r="T123"/>
  <c r="S123"/>
  <c r="R123"/>
  <c r="Q123"/>
  <c r="P123"/>
  <c r="O123"/>
  <c r="N123"/>
  <c r="M123"/>
  <c r="L123"/>
  <c r="K123"/>
  <c r="J123"/>
  <c r="H123"/>
  <c r="E123"/>
  <c r="X121"/>
  <c r="W120"/>
  <c r="V120"/>
  <c r="U120"/>
  <c r="T120"/>
  <c r="S120"/>
  <c r="R120"/>
  <c r="Q120"/>
  <c r="P120"/>
  <c r="O120"/>
  <c r="E120"/>
  <c r="W119"/>
  <c r="V119"/>
  <c r="U119"/>
  <c r="T119"/>
  <c r="S119"/>
  <c r="R119"/>
  <c r="Q119"/>
  <c r="P119"/>
  <c r="O119"/>
  <c r="E119"/>
  <c r="W118"/>
  <c r="V118"/>
  <c r="U118"/>
  <c r="T118"/>
  <c r="S118"/>
  <c r="R118"/>
  <c r="Q118"/>
  <c r="P118"/>
  <c r="O118"/>
  <c r="E118"/>
  <c r="X116"/>
  <c r="W115"/>
  <c r="V115"/>
  <c r="U115"/>
  <c r="T115"/>
  <c r="S115"/>
  <c r="R115"/>
  <c r="Q115"/>
  <c r="P115"/>
  <c r="O115"/>
  <c r="E115"/>
  <c r="W114"/>
  <c r="V114"/>
  <c r="U114"/>
  <c r="T114"/>
  <c r="S114"/>
  <c r="R114"/>
  <c r="Q114"/>
  <c r="P114"/>
  <c r="O114"/>
  <c r="E114"/>
  <c r="W113"/>
  <c r="V113"/>
  <c r="U113"/>
  <c r="T113"/>
  <c r="S113"/>
  <c r="R113"/>
  <c r="Q113"/>
  <c r="P113"/>
  <c r="O113"/>
  <c r="E113"/>
  <c r="W112"/>
  <c r="V112"/>
  <c r="U112"/>
  <c r="T112"/>
  <c r="S112"/>
  <c r="R112"/>
  <c r="Q112"/>
  <c r="P112"/>
  <c r="O112"/>
  <c r="E112"/>
  <c r="W111"/>
  <c r="V111"/>
  <c r="U111"/>
  <c r="T111"/>
  <c r="S111"/>
  <c r="R111"/>
  <c r="Q111"/>
  <c r="P111"/>
  <c r="O111"/>
  <c r="E111"/>
  <c r="W110"/>
  <c r="V110"/>
  <c r="U110"/>
  <c r="T110"/>
  <c r="S110"/>
  <c r="R110"/>
  <c r="Q110"/>
  <c r="P110"/>
  <c r="O110"/>
  <c r="E110"/>
  <c r="W109"/>
  <c r="V109"/>
  <c r="U109"/>
  <c r="T109"/>
  <c r="S109"/>
  <c r="R109"/>
  <c r="Q109"/>
  <c r="P109"/>
  <c r="O109"/>
  <c r="E109"/>
  <c r="X107"/>
  <c r="W106"/>
  <c r="V106"/>
  <c r="U106"/>
  <c r="T106"/>
  <c r="S106"/>
  <c r="R106"/>
  <c r="Q106"/>
  <c r="P106"/>
  <c r="O106"/>
  <c r="N106"/>
  <c r="M106"/>
  <c r="L106"/>
  <c r="K106"/>
  <c r="J106"/>
  <c r="H106"/>
  <c r="E106"/>
  <c r="W105"/>
  <c r="W173" s="1"/>
  <c r="V105"/>
  <c r="U105"/>
  <c r="T105"/>
  <c r="S105"/>
  <c r="R105"/>
  <c r="Q105"/>
  <c r="P105"/>
  <c r="P173" s="1"/>
  <c r="P197" s="1"/>
  <c r="O105"/>
  <c r="N105"/>
  <c r="M105"/>
  <c r="L105"/>
  <c r="K105"/>
  <c r="J105"/>
  <c r="H105"/>
  <c r="E105"/>
  <c r="W104"/>
  <c r="V104"/>
  <c r="U104"/>
  <c r="T104"/>
  <c r="S104"/>
  <c r="R104"/>
  <c r="Q104"/>
  <c r="P104"/>
  <c r="O104"/>
  <c r="E104"/>
  <c r="W101"/>
  <c r="V101"/>
  <c r="U101"/>
  <c r="T101"/>
  <c r="S101"/>
  <c r="R101"/>
  <c r="Q101"/>
  <c r="P101"/>
  <c r="O101"/>
  <c r="E101"/>
  <c r="W100"/>
  <c r="V100"/>
  <c r="U100"/>
  <c r="T100"/>
  <c r="S100"/>
  <c r="R100"/>
  <c r="Q100"/>
  <c r="P100"/>
  <c r="O100"/>
  <c r="E100"/>
  <c r="W99"/>
  <c r="V99"/>
  <c r="U99"/>
  <c r="T99"/>
  <c r="S99"/>
  <c r="R99"/>
  <c r="Q99"/>
  <c r="P99"/>
  <c r="O99"/>
  <c r="E99"/>
  <c r="W98"/>
  <c r="V98"/>
  <c r="U98"/>
  <c r="T98"/>
  <c r="S98"/>
  <c r="R98"/>
  <c r="Q98"/>
  <c r="P98"/>
  <c r="O98"/>
  <c r="E98"/>
  <c r="W97"/>
  <c r="V97"/>
  <c r="U97"/>
  <c r="T97"/>
  <c r="S97"/>
  <c r="R97"/>
  <c r="Q97"/>
  <c r="P97"/>
  <c r="O97"/>
  <c r="E97"/>
  <c r="W96"/>
  <c r="V96"/>
  <c r="U96"/>
  <c r="T96"/>
  <c r="S96"/>
  <c r="R96"/>
  <c r="Q96"/>
  <c r="P96"/>
  <c r="O96"/>
  <c r="E96"/>
  <c r="W95"/>
  <c r="V95"/>
  <c r="U95"/>
  <c r="T95"/>
  <c r="S95"/>
  <c r="R95"/>
  <c r="Q95"/>
  <c r="P95"/>
  <c r="O95"/>
  <c r="E95"/>
  <c r="W94"/>
  <c r="V94"/>
  <c r="U94"/>
  <c r="T94"/>
  <c r="S94"/>
  <c r="R94"/>
  <c r="Q94"/>
  <c r="P94"/>
  <c r="O94"/>
  <c r="E94"/>
  <c r="W93"/>
  <c r="V93"/>
  <c r="U93"/>
  <c r="T93"/>
  <c r="S93"/>
  <c r="R93"/>
  <c r="Q93"/>
  <c r="P93"/>
  <c r="O93"/>
  <c r="E93"/>
  <c r="W92"/>
  <c r="V92"/>
  <c r="U92"/>
  <c r="T92"/>
  <c r="S92"/>
  <c r="R92"/>
  <c r="Q92"/>
  <c r="P92"/>
  <c r="O92"/>
  <c r="E92"/>
  <c r="W91"/>
  <c r="V91"/>
  <c r="U91"/>
  <c r="T91"/>
  <c r="S91"/>
  <c r="R91"/>
  <c r="Q91"/>
  <c r="P91"/>
  <c r="O91"/>
  <c r="E91"/>
  <c r="W90"/>
  <c r="V90"/>
  <c r="U90"/>
  <c r="T90"/>
  <c r="S90"/>
  <c r="R90"/>
  <c r="Q90"/>
  <c r="P90"/>
  <c r="O90"/>
  <c r="E90"/>
  <c r="W89"/>
  <c r="V89"/>
  <c r="U89"/>
  <c r="T89"/>
  <c r="S89"/>
  <c r="R89"/>
  <c r="Q89"/>
  <c r="P89"/>
  <c r="O89"/>
  <c r="E89"/>
  <c r="W88"/>
  <c r="V88"/>
  <c r="U88"/>
  <c r="T88"/>
  <c r="S88"/>
  <c r="R88"/>
  <c r="Q88"/>
  <c r="P88"/>
  <c r="O88"/>
  <c r="E88"/>
  <c r="W87"/>
  <c r="V87"/>
  <c r="U87"/>
  <c r="T87"/>
  <c r="S87"/>
  <c r="R87"/>
  <c r="Q87"/>
  <c r="P87"/>
  <c r="O87"/>
  <c r="E87"/>
  <c r="W86"/>
  <c r="V86"/>
  <c r="U86"/>
  <c r="T86"/>
  <c r="S86"/>
  <c r="R86"/>
  <c r="Q86"/>
  <c r="P86"/>
  <c r="O86"/>
  <c r="E86"/>
  <c r="X84"/>
  <c r="W83"/>
  <c r="V83"/>
  <c r="U83"/>
  <c r="T83"/>
  <c r="S83"/>
  <c r="R83"/>
  <c r="Q83"/>
  <c r="P83"/>
  <c r="O83"/>
  <c r="E83"/>
  <c r="W82"/>
  <c r="V82"/>
  <c r="U82"/>
  <c r="T82"/>
  <c r="S82"/>
  <c r="R82"/>
  <c r="Q82"/>
  <c r="P82"/>
  <c r="O82"/>
  <c r="E82"/>
  <c r="W81"/>
  <c r="V81"/>
  <c r="U81"/>
  <c r="T81"/>
  <c r="S81"/>
  <c r="R81"/>
  <c r="Q81"/>
  <c r="P81"/>
  <c r="O81"/>
  <c r="G81"/>
  <c r="E81"/>
  <c r="W80"/>
  <c r="V80"/>
  <c r="U80"/>
  <c r="T80"/>
  <c r="S80"/>
  <c r="R80"/>
  <c r="Q80"/>
  <c r="P80"/>
  <c r="O80"/>
  <c r="N80"/>
  <c r="L80"/>
  <c r="K80"/>
  <c r="J80"/>
  <c r="I80"/>
  <c r="G80"/>
  <c r="E80"/>
  <c r="W79"/>
  <c r="V79"/>
  <c r="U79"/>
  <c r="T79"/>
  <c r="S79"/>
  <c r="R79"/>
  <c r="Q79"/>
  <c r="P79"/>
  <c r="O79"/>
  <c r="N79"/>
  <c r="L79"/>
  <c r="K79"/>
  <c r="J79"/>
  <c r="I79"/>
  <c r="E79"/>
  <c r="W78"/>
  <c r="V78"/>
  <c r="U78"/>
  <c r="T78"/>
  <c r="S78"/>
  <c r="R78"/>
  <c r="Q78"/>
  <c r="P78"/>
  <c r="O78"/>
  <c r="E78"/>
  <c r="X76"/>
  <c r="W75"/>
  <c r="V75"/>
  <c r="U75"/>
  <c r="T75"/>
  <c r="S75"/>
  <c r="R75"/>
  <c r="Q75"/>
  <c r="P75"/>
  <c r="O75"/>
  <c r="E75"/>
  <c r="W74"/>
  <c r="V74"/>
  <c r="U74"/>
  <c r="T74"/>
  <c r="S74"/>
  <c r="R74"/>
  <c r="Q74"/>
  <c r="P74"/>
  <c r="O74"/>
  <c r="L74"/>
  <c r="E74"/>
  <c r="W73"/>
  <c r="V73"/>
  <c r="U73"/>
  <c r="T73"/>
  <c r="S73"/>
  <c r="R73"/>
  <c r="Q73"/>
  <c r="P73"/>
  <c r="O73"/>
  <c r="E73"/>
  <c r="W72"/>
  <c r="V72"/>
  <c r="U72"/>
  <c r="T72"/>
  <c r="S72"/>
  <c r="R72"/>
  <c r="Q72"/>
  <c r="P72"/>
  <c r="O72"/>
  <c r="N72"/>
  <c r="E72"/>
  <c r="W71"/>
  <c r="V71"/>
  <c r="U71"/>
  <c r="T71"/>
  <c r="S71"/>
  <c r="R71"/>
  <c r="Q71"/>
  <c r="P71"/>
  <c r="O71"/>
  <c r="E71"/>
  <c r="W70"/>
  <c r="V70"/>
  <c r="U70"/>
  <c r="T70"/>
  <c r="S70"/>
  <c r="R70"/>
  <c r="Q70"/>
  <c r="P70"/>
  <c r="O70"/>
  <c r="E70"/>
  <c r="W69"/>
  <c r="V69"/>
  <c r="U69"/>
  <c r="T69"/>
  <c r="S69"/>
  <c r="R69"/>
  <c r="Q69"/>
  <c r="P69"/>
  <c r="O69"/>
  <c r="L69"/>
  <c r="J69"/>
  <c r="I69"/>
  <c r="E69"/>
  <c r="W67"/>
  <c r="V67"/>
  <c r="U67"/>
  <c r="T67"/>
  <c r="S67"/>
  <c r="R67"/>
  <c r="Q67"/>
  <c r="P67"/>
  <c r="O67"/>
  <c r="E67"/>
  <c r="W66"/>
  <c r="V66"/>
  <c r="U66"/>
  <c r="T66"/>
  <c r="S66"/>
  <c r="R66"/>
  <c r="Q66"/>
  <c r="P66"/>
  <c r="O66"/>
  <c r="E66"/>
  <c r="W65"/>
  <c r="V65"/>
  <c r="U65"/>
  <c r="T65"/>
  <c r="S65"/>
  <c r="R65"/>
  <c r="Q65"/>
  <c r="P65"/>
  <c r="O65"/>
  <c r="E65"/>
  <c r="W64"/>
  <c r="V64"/>
  <c r="U64"/>
  <c r="T64"/>
  <c r="S64"/>
  <c r="R64"/>
  <c r="Q64"/>
  <c r="P64"/>
  <c r="O64"/>
  <c r="E64"/>
  <c r="W63"/>
  <c r="V63"/>
  <c r="U63"/>
  <c r="T63"/>
  <c r="S63"/>
  <c r="R63"/>
  <c r="Q63"/>
  <c r="P63"/>
  <c r="O63"/>
  <c r="E63"/>
  <c r="W62"/>
  <c r="V62"/>
  <c r="U62"/>
  <c r="T62"/>
  <c r="S62"/>
  <c r="R62"/>
  <c r="Q62"/>
  <c r="P62"/>
  <c r="O62"/>
  <c r="E62"/>
  <c r="W61"/>
  <c r="V61"/>
  <c r="U61"/>
  <c r="T61"/>
  <c r="S61"/>
  <c r="R61"/>
  <c r="Q61"/>
  <c r="P61"/>
  <c r="O61"/>
  <c r="E61"/>
  <c r="W60"/>
  <c r="V60"/>
  <c r="U60"/>
  <c r="T60"/>
  <c r="S60"/>
  <c r="R60"/>
  <c r="Q60"/>
  <c r="P60"/>
  <c r="O60"/>
  <c r="E60"/>
  <c r="W59"/>
  <c r="V59"/>
  <c r="U59"/>
  <c r="T59"/>
  <c r="S59"/>
  <c r="R59"/>
  <c r="Q59"/>
  <c r="P59"/>
  <c r="O59"/>
  <c r="E59"/>
  <c r="W58"/>
  <c r="V58"/>
  <c r="U58"/>
  <c r="T58"/>
  <c r="S58"/>
  <c r="R58"/>
  <c r="Q58"/>
  <c r="P58"/>
  <c r="O58"/>
  <c r="E58"/>
  <c r="W57"/>
  <c r="V57"/>
  <c r="U57"/>
  <c r="T57"/>
  <c r="S57"/>
  <c r="R57"/>
  <c r="Q57"/>
  <c r="P57"/>
  <c r="O57"/>
  <c r="E57"/>
  <c r="X55"/>
  <c r="W54"/>
  <c r="V54"/>
  <c r="U54"/>
  <c r="T54"/>
  <c r="S54"/>
  <c r="R54"/>
  <c r="Q54"/>
  <c r="P54"/>
  <c r="O54"/>
  <c r="E54"/>
  <c r="W53"/>
  <c r="V53"/>
  <c r="U53"/>
  <c r="T53"/>
  <c r="S53"/>
  <c r="R53"/>
  <c r="Q53"/>
  <c r="P53"/>
  <c r="O53"/>
  <c r="E53"/>
  <c r="W52"/>
  <c r="V52"/>
  <c r="U52"/>
  <c r="T52"/>
  <c r="S52"/>
  <c r="R52"/>
  <c r="Q52"/>
  <c r="P52"/>
  <c r="O52"/>
  <c r="N52"/>
  <c r="E52"/>
  <c r="W51"/>
  <c r="V51"/>
  <c r="U51"/>
  <c r="T51"/>
  <c r="S51"/>
  <c r="R51"/>
  <c r="Q51"/>
  <c r="P51"/>
  <c r="O51"/>
  <c r="L51"/>
  <c r="E51"/>
  <c r="W50"/>
  <c r="V50"/>
  <c r="U50"/>
  <c r="T50"/>
  <c r="S50"/>
  <c r="R50"/>
  <c r="Q50"/>
  <c r="P50"/>
  <c r="O50"/>
  <c r="J50"/>
  <c r="E50"/>
  <c r="W49"/>
  <c r="V49"/>
  <c r="U49"/>
  <c r="T49"/>
  <c r="S49"/>
  <c r="R49"/>
  <c r="Q49"/>
  <c r="P49"/>
  <c r="O49"/>
  <c r="I49"/>
  <c r="E49"/>
  <c r="W48"/>
  <c r="V48"/>
  <c r="U48"/>
  <c r="T48"/>
  <c r="S48"/>
  <c r="R48"/>
  <c r="Q48"/>
  <c r="P48"/>
  <c r="O48"/>
  <c r="E48"/>
  <c r="X46"/>
  <c r="W45"/>
  <c r="V45"/>
  <c r="U45"/>
  <c r="T45"/>
  <c r="S45"/>
  <c r="R45"/>
  <c r="Q45"/>
  <c r="P45"/>
  <c r="O45"/>
  <c r="W44"/>
  <c r="V44"/>
  <c r="U44"/>
  <c r="T44"/>
  <c r="S44"/>
  <c r="R44"/>
  <c r="Q44"/>
  <c r="P44"/>
  <c r="O44"/>
  <c r="W43"/>
  <c r="V43"/>
  <c r="U43"/>
  <c r="T43"/>
  <c r="S43"/>
  <c r="R43"/>
  <c r="Q43"/>
  <c r="P43"/>
  <c r="O43"/>
  <c r="W42"/>
  <c r="V42"/>
  <c r="U42"/>
  <c r="T42"/>
  <c r="S42"/>
  <c r="R42"/>
  <c r="Q42"/>
  <c r="P42"/>
  <c r="O42"/>
  <c r="W41"/>
  <c r="V41"/>
  <c r="U41"/>
  <c r="T41"/>
  <c r="S41"/>
  <c r="R41"/>
  <c r="Q41"/>
  <c r="P41"/>
  <c r="O41"/>
  <c r="N41"/>
  <c r="M41"/>
  <c r="L41"/>
  <c r="K41"/>
  <c r="J41"/>
  <c r="I41"/>
  <c r="H41"/>
  <c r="G41"/>
  <c r="X39"/>
  <c r="W37"/>
  <c r="O37"/>
  <c r="D37"/>
  <c r="W36"/>
  <c r="V36"/>
  <c r="U36"/>
  <c r="T36"/>
  <c r="S36"/>
  <c r="R36"/>
  <c r="Q36"/>
  <c r="P36"/>
  <c r="O36"/>
  <c r="W35"/>
  <c r="V35"/>
  <c r="U35"/>
  <c r="T35"/>
  <c r="S35"/>
  <c r="R35"/>
  <c r="Q35"/>
  <c r="P35"/>
  <c r="O35"/>
  <c r="W34"/>
  <c r="V34"/>
  <c r="U34"/>
  <c r="T34"/>
  <c r="S34"/>
  <c r="R34"/>
  <c r="Q34"/>
  <c r="P34"/>
  <c r="O34"/>
  <c r="W33"/>
  <c r="V33"/>
  <c r="U33"/>
  <c r="T33"/>
  <c r="S33"/>
  <c r="R33"/>
  <c r="Q33"/>
  <c r="P33"/>
  <c r="O33"/>
  <c r="W32"/>
  <c r="V32"/>
  <c r="U32"/>
  <c r="T32"/>
  <c r="S32"/>
  <c r="R32"/>
  <c r="Q32"/>
  <c r="P32"/>
  <c r="O32"/>
  <c r="W31"/>
  <c r="V31"/>
  <c r="U31"/>
  <c r="T31"/>
  <c r="S31"/>
  <c r="R31"/>
  <c r="Q31"/>
  <c r="P31"/>
  <c r="O31"/>
  <c r="W30"/>
  <c r="V30"/>
  <c r="U30"/>
  <c r="T30"/>
  <c r="S30"/>
  <c r="R30"/>
  <c r="Q30"/>
  <c r="P30"/>
  <c r="O30"/>
  <c r="W29"/>
  <c r="V29"/>
  <c r="U29"/>
  <c r="T29"/>
  <c r="S29"/>
  <c r="R29"/>
  <c r="Q29"/>
  <c r="P29"/>
  <c r="O29"/>
  <c r="W28"/>
  <c r="V28"/>
  <c r="U28"/>
  <c r="T28"/>
  <c r="S28"/>
  <c r="R28"/>
  <c r="Q28"/>
  <c r="P28"/>
  <c r="O28"/>
  <c r="W27"/>
  <c r="V27"/>
  <c r="U27"/>
  <c r="T27"/>
  <c r="S27"/>
  <c r="R27"/>
  <c r="Q27"/>
  <c r="P27"/>
  <c r="O27"/>
  <c r="W26"/>
  <c r="V26"/>
  <c r="U26"/>
  <c r="T26"/>
  <c r="S26"/>
  <c r="R26"/>
  <c r="Q26"/>
  <c r="P26"/>
  <c r="O26"/>
  <c r="W25"/>
  <c r="V25"/>
  <c r="U25"/>
  <c r="T25"/>
  <c r="S25"/>
  <c r="R25"/>
  <c r="Q25"/>
  <c r="P25"/>
  <c r="O25"/>
  <c r="W24"/>
  <c r="V24"/>
  <c r="U24"/>
  <c r="T24"/>
  <c r="S24"/>
  <c r="R24"/>
  <c r="Q24"/>
  <c r="P24"/>
  <c r="O24"/>
  <c r="W23"/>
  <c r="V23"/>
  <c r="U23"/>
  <c r="T23"/>
  <c r="S23"/>
  <c r="R23"/>
  <c r="Q23"/>
  <c r="P23"/>
  <c r="O23"/>
  <c r="W22"/>
  <c r="V22"/>
  <c r="U22"/>
  <c r="T22"/>
  <c r="S22"/>
  <c r="R22"/>
  <c r="Q22"/>
  <c r="P22"/>
  <c r="O22"/>
  <c r="W21"/>
  <c r="V21"/>
  <c r="U21"/>
  <c r="T21"/>
  <c r="S21"/>
  <c r="R21"/>
  <c r="Q21"/>
  <c r="P21"/>
  <c r="O21"/>
  <c r="W20"/>
  <c r="V20"/>
  <c r="U20"/>
  <c r="T20"/>
  <c r="S20"/>
  <c r="R20"/>
  <c r="Q20"/>
  <c r="P20"/>
  <c r="O20"/>
  <c r="X18"/>
  <c r="U16"/>
  <c r="S16"/>
  <c r="R16"/>
  <c r="Q16"/>
  <c r="P16"/>
  <c r="N16"/>
  <c r="L16"/>
  <c r="K16"/>
  <c r="J16"/>
  <c r="I16"/>
  <c r="E13"/>
  <c r="E11"/>
  <c r="D11"/>
  <c r="D10"/>
  <c r="O9"/>
  <c r="D9"/>
  <c r="E7"/>
  <c r="O6"/>
  <c r="D6"/>
  <c r="D5"/>
  <c r="E34" s="1"/>
  <c r="D4"/>
  <c r="Z23" i="22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E20"/>
  <c r="D20"/>
  <c r="C19"/>
  <c r="X25" i="21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IX64" i="6"/>
  <c r="IX49"/>
  <c r="IX48"/>
  <c r="E46"/>
  <c r="E55" s="1"/>
  <c r="AM18" i="19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AK24" i="15"/>
  <c r="AJ24"/>
  <c r="AI24"/>
  <c r="AH24"/>
  <c r="AL24" s="1"/>
  <c r="AG24"/>
  <c r="X24"/>
  <c r="N24"/>
  <c r="L24"/>
  <c r="K24"/>
  <c r="AK11"/>
  <c r="AJ11"/>
  <c r="AI11"/>
  <c r="AH11"/>
  <c r="AL11" s="1"/>
  <c r="AG11"/>
  <c r="AA11"/>
  <c r="N11"/>
  <c r="L11"/>
  <c r="K11"/>
  <c r="H108" i="13"/>
  <c r="H107"/>
  <c r="H106"/>
  <c r="H105"/>
  <c r="H104"/>
  <c r="D22" i="5"/>
  <c r="K13"/>
  <c r="H8"/>
  <c r="K14" s="1"/>
  <c r="D8"/>
  <c r="I168" i="23" l="1"/>
  <c r="J264"/>
  <c r="J266"/>
  <c r="J267" s="1"/>
  <c r="J215"/>
  <c r="J216" s="1"/>
  <c r="J283"/>
  <c r="H268"/>
  <c r="I268"/>
  <c r="C331"/>
  <c r="C335"/>
  <c r="C340"/>
  <c r="E331"/>
  <c r="E333"/>
  <c r="C333"/>
  <c r="E335"/>
  <c r="E315"/>
  <c r="C315"/>
  <c r="E327"/>
  <c r="C323"/>
  <c r="E325"/>
  <c r="E329"/>
  <c r="C329"/>
  <c r="E323"/>
  <c r="C327"/>
  <c r="C325"/>
  <c r="E317"/>
  <c r="C317"/>
  <c r="E292"/>
  <c r="C319"/>
  <c r="E321"/>
  <c r="C321"/>
  <c r="E319"/>
  <c r="C280"/>
  <c r="E280"/>
  <c r="E283"/>
  <c r="C292"/>
  <c r="O212"/>
  <c r="J184"/>
  <c r="J192" s="1"/>
  <c r="L183"/>
  <c r="L191" s="1"/>
  <c r="K184"/>
  <c r="K192" s="1"/>
  <c r="I184"/>
  <c r="I192" s="1"/>
  <c r="N183"/>
  <c r="N191" s="1"/>
  <c r="K167"/>
  <c r="P190"/>
  <c r="II62" i="6"/>
  <c r="IH63"/>
  <c r="GV50"/>
  <c r="GU53"/>
  <c r="E60"/>
  <c r="IX56"/>
  <c r="W197" i="2"/>
  <c r="D197" s="1"/>
  <c r="E5" s="1"/>
  <c r="D173"/>
  <c r="E9"/>
  <c r="X102"/>
  <c r="X197" s="1"/>
  <c r="X200" s="1"/>
  <c r="E44"/>
  <c r="E23"/>
  <c r="E27"/>
  <c r="E31"/>
  <c r="E35"/>
  <c r="C40"/>
  <c r="C19"/>
  <c r="E41"/>
  <c r="E45"/>
  <c r="E42"/>
  <c r="E21"/>
  <c r="E25"/>
  <c r="E29"/>
  <c r="E33"/>
  <c r="E43"/>
  <c r="E20"/>
  <c r="E24"/>
  <c r="E28"/>
  <c r="E32"/>
  <c r="E36"/>
  <c r="E22"/>
  <c r="E26"/>
  <c r="E30"/>
  <c r="AM24" i="15"/>
  <c r="AF24" s="1"/>
  <c r="M24" s="1"/>
  <c r="AN24" s="1"/>
  <c r="AM11"/>
  <c r="AF11" s="1"/>
  <c r="M11" s="1"/>
  <c r="AN11" s="1"/>
  <c r="J265" i="23" l="1"/>
  <c r="J284"/>
  <c r="J168"/>
  <c r="K215"/>
  <c r="K216" s="1"/>
  <c r="K266"/>
  <c r="K267" s="1"/>
  <c r="K264"/>
  <c r="K265" s="1"/>
  <c r="K268" s="1"/>
  <c r="K283"/>
  <c r="K284" s="1"/>
  <c r="M183"/>
  <c r="M191" s="1"/>
  <c r="J185"/>
  <c r="J193" s="1"/>
  <c r="H169"/>
  <c r="I185"/>
  <c r="I193" s="1"/>
  <c r="K185"/>
  <c r="K193" s="1"/>
  <c r="L184"/>
  <c r="L192" s="1"/>
  <c r="L167"/>
  <c r="AN31" i="15"/>
  <c r="IJ62" i="6"/>
  <c r="II63"/>
  <c r="GW50"/>
  <c r="GV53"/>
  <c r="IX46"/>
  <c r="IX60" s="1"/>
  <c r="IX45"/>
  <c r="E59"/>
  <c r="H296" i="23" l="1"/>
  <c r="H298"/>
  <c r="H300"/>
  <c r="H292"/>
  <c r="H302"/>
  <c r="H294"/>
  <c r="L264"/>
  <c r="L283"/>
  <c r="L284" s="1"/>
  <c r="L266"/>
  <c r="L267" s="1"/>
  <c r="L215"/>
  <c r="L216" s="1"/>
  <c r="J268"/>
  <c r="M184"/>
  <c r="M192" s="1"/>
  <c r="O183"/>
  <c r="O191" s="1"/>
  <c r="P191" s="1"/>
  <c r="I169" s="1"/>
  <c r="J186"/>
  <c r="J194" s="1"/>
  <c r="I186"/>
  <c r="I194" s="1"/>
  <c r="L185"/>
  <c r="N184"/>
  <c r="N192" s="1"/>
  <c r="K186"/>
  <c r="K194" s="1"/>
  <c r="M167"/>
  <c r="K168"/>
  <c r="IK62" i="6"/>
  <c r="IJ63"/>
  <c r="GX50"/>
  <c r="GW53"/>
  <c r="IX55"/>
  <c r="IX51"/>
  <c r="E53"/>
  <c r="E63"/>
  <c r="IX54"/>
  <c r="IX59"/>
  <c r="IX47"/>
  <c r="I298" i="23" l="1"/>
  <c r="I292"/>
  <c r="I300"/>
  <c r="I302"/>
  <c r="I296"/>
  <c r="I294"/>
  <c r="O266"/>
  <c r="L265"/>
  <c r="M168"/>
  <c r="M266"/>
  <c r="M267" s="1"/>
  <c r="O267" s="1"/>
  <c r="M215"/>
  <c r="M216" s="1"/>
  <c r="O216" s="1"/>
  <c r="M264"/>
  <c r="M265" s="1"/>
  <c r="M268" s="1"/>
  <c r="M283"/>
  <c r="M284" s="1"/>
  <c r="O284" s="1"/>
  <c r="P183"/>
  <c r="Q183" s="1"/>
  <c r="M185"/>
  <c r="M193" s="1"/>
  <c r="J187"/>
  <c r="J195" s="1"/>
  <c r="I187"/>
  <c r="I195" s="1"/>
  <c r="L186"/>
  <c r="L194" s="1"/>
  <c r="L193"/>
  <c r="K187"/>
  <c r="K195" s="1"/>
  <c r="O184"/>
  <c r="O192" s="1"/>
  <c r="P192" s="1"/>
  <c r="N185"/>
  <c r="N193" s="1"/>
  <c r="L168"/>
  <c r="IL62" i="6"/>
  <c r="IK63"/>
  <c r="GY50"/>
  <c r="IX63"/>
  <c r="O283" i="23" l="1"/>
  <c r="L268"/>
  <c r="O265"/>
  <c r="O268" s="1"/>
  <c r="O215"/>
  <c r="O264"/>
  <c r="M186"/>
  <c r="M194" s="1"/>
  <c r="L187"/>
  <c r="L195" s="1"/>
  <c r="J169"/>
  <c r="P184"/>
  <c r="O185"/>
  <c r="O193" s="1"/>
  <c r="P193" s="1"/>
  <c r="K169" s="1"/>
  <c r="N186"/>
  <c r="N194" s="1"/>
  <c r="IM62" i="6"/>
  <c r="IL63"/>
  <c r="GX53"/>
  <c r="GZ50"/>
  <c r="GY53"/>
  <c r="K302" i="23" l="1"/>
  <c r="K292"/>
  <c r="K296"/>
  <c r="K298"/>
  <c r="K294"/>
  <c r="K300"/>
  <c r="J300"/>
  <c r="J302"/>
  <c r="J292"/>
  <c r="J294"/>
  <c r="J298"/>
  <c r="J296"/>
  <c r="M187"/>
  <c r="M195" s="1"/>
  <c r="O186"/>
  <c r="P186" s="1"/>
  <c r="Q186" s="1"/>
  <c r="P185"/>
  <c r="Q185" s="1"/>
  <c r="N187"/>
  <c r="N195" s="1"/>
  <c r="IN62" i="6"/>
  <c r="IM63"/>
  <c r="GZ53"/>
  <c r="HA50"/>
  <c r="O194" i="23" l="1"/>
  <c r="P194" s="1"/>
  <c r="L169" s="1"/>
  <c r="O187"/>
  <c r="O195" s="1"/>
  <c r="P195" s="1"/>
  <c r="IO62" i="6"/>
  <c r="IN63"/>
  <c r="HB50"/>
  <c r="L298" i="23" l="1"/>
  <c r="L294"/>
  <c r="L302"/>
  <c r="L300"/>
  <c r="L296"/>
  <c r="L292"/>
  <c r="P187"/>
  <c r="Q187" s="1"/>
  <c r="M169"/>
  <c r="Q189"/>
  <c r="IP62" i="6"/>
  <c r="IO63"/>
  <c r="HC50"/>
  <c r="HB53"/>
  <c r="HA53"/>
  <c r="M294" i="23" l="1"/>
  <c r="O294" s="1"/>
  <c r="L295" s="1"/>
  <c r="M300"/>
  <c r="O300" s="1"/>
  <c r="M298"/>
  <c r="O298" s="1"/>
  <c r="M302"/>
  <c r="O302" s="1"/>
  <c r="M296"/>
  <c r="M292"/>
  <c r="O292" s="1"/>
  <c r="IQ62" i="6"/>
  <c r="IP63"/>
  <c r="HD50"/>
  <c r="N293" i="23" l="1"/>
  <c r="H293"/>
  <c r="I293"/>
  <c r="J293"/>
  <c r="K293"/>
  <c r="L293"/>
  <c r="N301"/>
  <c r="H301"/>
  <c r="O301" s="1"/>
  <c r="I301"/>
  <c r="J301"/>
  <c r="K301"/>
  <c r="O296"/>
  <c r="M299"/>
  <c r="N295"/>
  <c r="H295"/>
  <c r="I295"/>
  <c r="J295"/>
  <c r="K295"/>
  <c r="N303"/>
  <c r="H303"/>
  <c r="I303"/>
  <c r="K303"/>
  <c r="J303"/>
  <c r="M303"/>
  <c r="M301"/>
  <c r="L301"/>
  <c r="M293"/>
  <c r="L303"/>
  <c r="N299"/>
  <c r="H299"/>
  <c r="I299"/>
  <c r="J299"/>
  <c r="K299"/>
  <c r="L299"/>
  <c r="M295"/>
  <c r="IR62" i="6"/>
  <c r="IQ63"/>
  <c r="HC53"/>
  <c r="HD53"/>
  <c r="HE50"/>
  <c r="O295" i="23" l="1"/>
  <c r="O303"/>
  <c r="N297"/>
  <c r="H297"/>
  <c r="I297"/>
  <c r="I304" s="1"/>
  <c r="I312" s="1"/>
  <c r="K297"/>
  <c r="J297"/>
  <c r="L297"/>
  <c r="L304" s="1"/>
  <c r="L312" s="1"/>
  <c r="M304"/>
  <c r="M312" s="1"/>
  <c r="M297"/>
  <c r="H304"/>
  <c r="H312" s="1"/>
  <c r="O293"/>
  <c r="O299"/>
  <c r="K304"/>
  <c r="K312" s="1"/>
  <c r="J304"/>
  <c r="J312" s="1"/>
  <c r="N304"/>
  <c r="N312" s="1"/>
  <c r="IS62" i="6"/>
  <c r="IR63"/>
  <c r="HF50"/>
  <c r="O304" i="23" l="1"/>
  <c r="O312" s="1"/>
  <c r="O297"/>
  <c r="IT62" i="6"/>
  <c r="IS63"/>
  <c r="HE53"/>
  <c r="HG50"/>
  <c r="HF53"/>
  <c r="IU62" l="1"/>
  <c r="IT63"/>
  <c r="HH50"/>
  <c r="HG53"/>
  <c r="IV62" l="1"/>
  <c r="IV63" s="1"/>
  <c r="IU63"/>
  <c r="HI50"/>
  <c r="HH53"/>
  <c r="HJ50" l="1"/>
  <c r="HI53"/>
  <c r="HK50" l="1"/>
  <c r="HJ53"/>
  <c r="HL50" l="1"/>
  <c r="HK53"/>
  <c r="HM50" l="1"/>
  <c r="HL53"/>
  <c r="HN50" l="1"/>
  <c r="HM53"/>
  <c r="HO50" l="1"/>
  <c r="HN53"/>
  <c r="HP50" l="1"/>
  <c r="HO53"/>
  <c r="HP53" l="1"/>
  <c r="HQ50"/>
  <c r="HR50" l="1"/>
  <c r="HQ53"/>
  <c r="HS50" l="1"/>
  <c r="HR53"/>
  <c r="HT50" l="1"/>
  <c r="HS53"/>
  <c r="HU50" l="1"/>
  <c r="HT53"/>
  <c r="HV50" l="1"/>
  <c r="HU53"/>
  <c r="HW50" l="1"/>
  <c r="HV53"/>
  <c r="HX50" l="1"/>
  <c r="HW53"/>
  <c r="HX53" l="1"/>
  <c r="HY50"/>
  <c r="HY53" l="1"/>
  <c r="HZ50"/>
  <c r="IA50" l="1"/>
  <c r="HZ53"/>
  <c r="IB50" l="1"/>
  <c r="IA53"/>
  <c r="IC50" l="1"/>
  <c r="IB53"/>
  <c r="ID50" l="1"/>
  <c r="IC53"/>
  <c r="IE50" l="1"/>
  <c r="ID53"/>
  <c r="IF50" l="1"/>
  <c r="IE53"/>
  <c r="IF53" l="1"/>
  <c r="IG50"/>
  <c r="IG53" l="1"/>
  <c r="IH50"/>
  <c r="II50" l="1"/>
  <c r="IH53"/>
  <c r="IJ50" l="1"/>
  <c r="II53"/>
  <c r="IJ53" l="1"/>
  <c r="IK50"/>
  <c r="IX50" s="1"/>
  <c r="IL50" l="1"/>
  <c r="IK53" l="1"/>
  <c r="IX52"/>
  <c r="IM50"/>
  <c r="IL53"/>
  <c r="IN50" l="1"/>
  <c r="IM53"/>
  <c r="IX53"/>
  <c r="IX58" s="1"/>
  <c r="IX57"/>
  <c r="IO50" l="1"/>
  <c r="IN53"/>
  <c r="IP50" l="1"/>
  <c r="IO53"/>
  <c r="IQ50" l="1"/>
  <c r="IP53"/>
  <c r="IQ53" l="1"/>
  <c r="IR50"/>
  <c r="IS50" l="1"/>
  <c r="IR53"/>
  <c r="IT50" l="1"/>
  <c r="IS53"/>
  <c r="IU50" l="1"/>
  <c r="IT53"/>
  <c r="IU53" l="1"/>
  <c r="IV53" l="1"/>
  <c r="IV50"/>
  <c r="Q184" i="23" l="1"/>
  <c r="J170" l="1"/>
  <c r="K170" l="1"/>
  <c r="L170" l="1"/>
  <c r="M170" l="1"/>
</calcChain>
</file>

<file path=xl/comments1.xml><?xml version="1.0" encoding="utf-8"?>
<comments xmlns="http://schemas.openxmlformats.org/spreadsheetml/2006/main">
  <authors>
    <author>Автор</author>
  </authors>
  <commentList>
    <comment ref="J1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Накопительная величина</t>
        </r>
      </text>
    </comment>
    <comment ref="K1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Глубина по стволу + длина пилота ГС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D1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При создании нового наименования затрат нужно будет выбрать или самому задать логику расчета КВ (капитальных вложений)
</t>
        </r>
      </text>
    </comment>
    <comment ref="C28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Проектно-изыскательные работы</t>
        </r>
      </text>
    </comment>
    <comment ref="C3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Проектно-изыскательные работы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E2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Возможность взять за основу существующую скважину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Опция поставки на другую компрессорную станцию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C1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Добавить статью расходов
</t>
        </r>
      </text>
    </comment>
  </commentList>
</comments>
</file>

<file path=xl/sharedStrings.xml><?xml version="1.0" encoding="utf-8"?>
<sst xmlns="http://schemas.openxmlformats.org/spreadsheetml/2006/main" count="1982" uniqueCount="645">
  <si>
    <t>Добывающая</t>
  </si>
  <si>
    <t>Нагнетательная</t>
  </si>
  <si>
    <t>Вид скважины</t>
  </si>
  <si>
    <t>ННС</t>
  </si>
  <si>
    <t>ГС</t>
  </si>
  <si>
    <t>Тип освоения</t>
  </si>
  <si>
    <t>Без ГРП</t>
  </si>
  <si>
    <t>ГРП</t>
  </si>
  <si>
    <t>МСГРП</t>
  </si>
  <si>
    <t>МЗС</t>
  </si>
  <si>
    <t>Конструкция скважины</t>
  </si>
  <si>
    <t>Описание работ/услуг</t>
  </si>
  <si>
    <t>Мобилизация БУ и БХ до 150 км</t>
  </si>
  <si>
    <t>Мобилизация БУ и БХ до 250 км</t>
  </si>
  <si>
    <t>Мобилизация БУ и БХ свыше 250 км</t>
  </si>
  <si>
    <t>Монтаж БУ</t>
  </si>
  <si>
    <t>Монтаж АвИЭС (с учетом транспортировки)</t>
  </si>
  <si>
    <t>Перемонтаж ЦСО</t>
  </si>
  <si>
    <t>Пуско-наладочные работы</t>
  </si>
  <si>
    <t>Водяной колодец для целей водоснабжения</t>
  </si>
  <si>
    <t>Передвижка 5 м.</t>
  </si>
  <si>
    <t>Передвижка 9 м.</t>
  </si>
  <si>
    <t>Передвижка 15 м.</t>
  </si>
  <si>
    <t>Передвижка 18 м.</t>
  </si>
  <si>
    <t>Передвижка 27 м.</t>
  </si>
  <si>
    <t>Стаскивание БУ</t>
  </si>
  <si>
    <t>Демонтаж  БУ</t>
  </si>
  <si>
    <t>Доставка СМиМ для передвижки/стаскивания (150 км)</t>
  </si>
  <si>
    <t>Демобилизация БУ и БХ до 150 км</t>
  </si>
  <si>
    <t xml:space="preserve"> Месторождение/ куст:</t>
  </si>
  <si>
    <t>ВСЕГО СТ-ТЬ</t>
  </si>
  <si>
    <t>Исходные данные</t>
  </si>
  <si>
    <t>Перед забуркой</t>
  </si>
  <si>
    <t xml:space="preserve">Направление </t>
  </si>
  <si>
    <t>Кондуктор</t>
  </si>
  <si>
    <t>Техническая колонна</t>
  </si>
  <si>
    <t>Эксплуат-ая колонна</t>
  </si>
  <si>
    <t>Крепление колонн</t>
  </si>
  <si>
    <t>Хвостовик</t>
  </si>
  <si>
    <t>ВСЕГО БУРЕНИЕ</t>
  </si>
  <si>
    <t>ВСЕГО ОСВОЕНИЕ</t>
  </si>
  <si>
    <t xml:space="preserve"> Подрядчик по бурению:</t>
  </si>
  <si>
    <t>Тип буровой установки:</t>
  </si>
  <si>
    <t>Всего ВМР</t>
  </si>
  <si>
    <t>Время бурения секции, сут:</t>
  </si>
  <si>
    <t>Время освоения, сут:</t>
  </si>
  <si>
    <t xml:space="preserve"> Тип скважины:</t>
  </si>
  <si>
    <t>Горизонтальная на Юру с МСГРП и пилотным стволом</t>
  </si>
  <si>
    <t>Глубина (по стволу), м:</t>
  </si>
  <si>
    <t>ВСЕГО ПРОХОДКА</t>
  </si>
  <si>
    <t>В т.ч.время работы бригад КРС</t>
  </si>
  <si>
    <t>Проходка всего (м):</t>
  </si>
  <si>
    <t>Всего Бурение</t>
  </si>
  <si>
    <t>Диаметр долота, мм:</t>
  </si>
  <si>
    <t xml:space="preserve"> - ПЗР к ГРП/МСГРП, сут.</t>
  </si>
  <si>
    <t>Наличие СВП:</t>
  </si>
  <si>
    <t>Диаметр колонны, мм:</t>
  </si>
  <si>
    <t xml:space="preserve"> - проведение ГРП/МСГРП, сут.</t>
  </si>
  <si>
    <t>Наличие АИЭС:</t>
  </si>
  <si>
    <t>Всего Освоение</t>
  </si>
  <si>
    <t>Отход</t>
  </si>
  <si>
    <t>Пилот ГС</t>
  </si>
  <si>
    <t>Перебур</t>
  </si>
  <si>
    <t>Гориз.уч. 1</t>
  </si>
  <si>
    <t>Гориз.уч. 2</t>
  </si>
  <si>
    <t>Керн</t>
  </si>
  <si>
    <t>ГЛУБИНА ПО ВЕРТ-ЛИ</t>
  </si>
  <si>
    <t xml:space="preserve"> - проведение ГНКТ, сут.</t>
  </si>
  <si>
    <t>Наличие автономности:</t>
  </si>
  <si>
    <t>Отдельные стволы, керн, м:</t>
  </si>
  <si>
    <t xml:space="preserve"> - кол-во стадий МСГРП, шт.</t>
  </si>
  <si>
    <t>Кол-во обсадных колонн (включая направл.):</t>
  </si>
  <si>
    <t>Обор-ие устья</t>
  </si>
  <si>
    <t>Примечание:</t>
  </si>
  <si>
    <t>Прочие существенные условия:</t>
  </si>
  <si>
    <t>МСГРП, Юра, РУС</t>
  </si>
  <si>
    <t xml:space="preserve"> ОПИСАНИЕ РАБОТ И УСЛУГ</t>
  </si>
  <si>
    <t>КОЛИЧЕСТВО</t>
  </si>
  <si>
    <t>СТОИМОСТЬ</t>
  </si>
  <si>
    <t>ВСЕГО</t>
  </si>
  <si>
    <t>СТАТЬЯ ЗАТРАТ</t>
  </si>
  <si>
    <t>ОПИСАНИЕ</t>
  </si>
  <si>
    <t>Подрядчик</t>
  </si>
  <si>
    <t>Единица измерения</t>
  </si>
  <si>
    <t>Руб. / Ед.изм.</t>
  </si>
  <si>
    <t>ПЗР (в т.ч. ВМР и осв.)</t>
  </si>
  <si>
    <t xml:space="preserve">Количество </t>
  </si>
  <si>
    <t>Стоимость (руб)</t>
  </si>
  <si>
    <t>ВСЕГО СТОИМОСТЬ</t>
  </si>
  <si>
    <t xml:space="preserve"> </t>
  </si>
  <si>
    <t>1. ЭТАП ВМР</t>
  </si>
  <si>
    <t>операция</t>
  </si>
  <si>
    <t>ОБЩАЯ СТОИМОСТЬ ВМР</t>
  </si>
  <si>
    <t>2. ЭТАП БУРЕНИЯ:</t>
  </si>
  <si>
    <t>(технико-технологичексие особенности)</t>
  </si>
  <si>
    <t xml:space="preserve">Суточная ставка работы буровой бригады </t>
  </si>
  <si>
    <t>сут.</t>
  </si>
  <si>
    <t>Монт/демонт ПВО и ФА, доп.работы</t>
  </si>
  <si>
    <t xml:space="preserve">Оплата по резервной ставке </t>
  </si>
  <si>
    <t>Оплата по ставке дежурства</t>
  </si>
  <si>
    <t xml:space="preserve">Прочее </t>
  </si>
  <si>
    <t>ПОДРЯДЧИК ПО ДОЛОТАМ:</t>
  </si>
  <si>
    <t>ООО НПП "Буринтех"</t>
  </si>
  <si>
    <t>550 мм долото для бурения под направление (долото+сервис)</t>
  </si>
  <si>
    <t xml:space="preserve">м </t>
  </si>
  <si>
    <t>393,7 мм долото для бурения под направление (долото+сервис)</t>
  </si>
  <si>
    <t>295,3 мм долото для бурения под кондуктор (долото+сервис)</t>
  </si>
  <si>
    <t>220,7 мм долото для бурения эксплуатационную колонну (долото+сервис)</t>
  </si>
  <si>
    <t>155,6 мм долото для бурения под хвостовик (долото+сервис)</t>
  </si>
  <si>
    <t>_________  мм долото для бурения (долото+сервис)</t>
  </si>
  <si>
    <t>Расширитель раздвижной</t>
  </si>
  <si>
    <t>ПОДРЯДЧИК ПО ТЕХНОЛОГИЧЕСКОМУ И ТЕЛЕМЕТРИЧЕСКОМУ СОПРОВОЖДЕНИЮ:</t>
  </si>
  <si>
    <t>Ставка работы по ННБ для секции скважин диаметром 393,7 мм.</t>
  </si>
  <si>
    <t>сут</t>
  </si>
  <si>
    <t>Резервная ставка по ННБ для секций скважин диаметром 393,7 мм.</t>
  </si>
  <si>
    <t>Ставка работы по ННБ для секции скважин диаметром 295,3  мм.</t>
  </si>
  <si>
    <t>Резервная ставка по ННБ для секций скважин диаметром 295,3  мм.</t>
  </si>
  <si>
    <t>Ставка работы по ННБ для секции скважин диаметром 220,7  мм.</t>
  </si>
  <si>
    <t>Резервная ставка по ННБ для секций скважин диаметром 220,7  мм.</t>
  </si>
  <si>
    <t>Ставка работы по ННБ для секции скважин диаметром 220,7  мм.+ГК</t>
  </si>
  <si>
    <t>Ставка работы по ННБ для секции скважин диаметром 155,6  мм.</t>
  </si>
  <si>
    <t>Резервная ставка по ННБ для секций скважин диаметром 155,6  мм.</t>
  </si>
  <si>
    <t xml:space="preserve">Мобилизация на объект работ </t>
  </si>
  <si>
    <t>опер.</t>
  </si>
  <si>
    <t xml:space="preserve">Демобилизация </t>
  </si>
  <si>
    <t>ТИС</t>
  </si>
  <si>
    <t>Операционная ставка в режиме работы</t>
  </si>
  <si>
    <t>Операционная ставка в режиме ожидания</t>
  </si>
  <si>
    <t>Гамма -каротаж и сопротивление в режиме реального времени или записи</t>
  </si>
  <si>
    <t>Операционная ставка в режиме работы РУС 121-143 мм</t>
  </si>
  <si>
    <t>Операционная ставка в режиме ожидания РУС 121-143 мм</t>
  </si>
  <si>
    <t>Гамма -каротаж в режиме реального времени</t>
  </si>
  <si>
    <t>Услуги персонала телеметрического и технологического сопровождения</t>
  </si>
  <si>
    <t>ПОДРЯДЧИК ПО БУРОВЫМ РАСТВОРАМ:</t>
  </si>
  <si>
    <t>Биотехальянс</t>
  </si>
  <si>
    <t>Фиксированная ставка ННС</t>
  </si>
  <si>
    <t>скв.</t>
  </si>
  <si>
    <t>Фиксированная ставка ГС</t>
  </si>
  <si>
    <t>Резерв 10 % на ГО для ГС</t>
  </si>
  <si>
    <t>Резерв 10 % на ГО для ННС</t>
  </si>
  <si>
    <t>Ст-ть инженерного сопровождения</t>
  </si>
  <si>
    <t>Ст-ть сеток для вибросит</t>
  </si>
  <si>
    <t xml:space="preserve"> ПОДРЯДЧИК ПО ЦЕМЕНТИРОВАНИЮ:</t>
  </si>
  <si>
    <t>ООО "СТК"; ООО "МТУ"</t>
  </si>
  <si>
    <t>Цементирование направления Гор/НН 426 мм (услуги, цемент, материалы)</t>
  </si>
  <si>
    <t>опер</t>
  </si>
  <si>
    <t>Цементирование кондуктора Гор/НН 324 мм (услуги, цемент, материалы)</t>
  </si>
  <si>
    <t>Цементирование технической колонны Гор 245 мм (услуги, цемент, материалы)</t>
  </si>
  <si>
    <t>Цементирование эксплуатационной колонны Гор 178мм (услуги, цемент, материалы)</t>
  </si>
  <si>
    <t>Цементирование направления НН 324 мм (услуги, цемент, материалы)</t>
  </si>
  <si>
    <t>Цементирование кондуктора НН 245 мм (услуги, цемент, материалы)</t>
  </si>
  <si>
    <t>Цементирование эксплуатационной колонны НН 178мм (услуги, цемент, материалы)</t>
  </si>
  <si>
    <t>Цементирование хвостовика НН 127мм (услуги, цемент, материалы)</t>
  </si>
  <si>
    <t>Цементирование технической колонны НН 245 мм (услуги, цемент, материалы)</t>
  </si>
  <si>
    <t>Цементирование эксплуатационной колонны НН 168мм (услуги, цемент, материалы)</t>
  </si>
  <si>
    <t>Стоимость услуг цементировочного флота</t>
  </si>
  <si>
    <t>Стоимость оснастки</t>
  </si>
  <si>
    <t>Стоимость услуг инженерного сопровождения</t>
  </si>
  <si>
    <t>Установка цем моста в пилотном стволе</t>
  </si>
  <si>
    <t>СТАНЦИЯ  ГТИ:</t>
  </si>
  <si>
    <t>ННГГФ</t>
  </si>
  <si>
    <t>Передвижка</t>
  </si>
  <si>
    <t>Суточная ставка работы станции ГТИ</t>
  </si>
  <si>
    <t>Петровайзер + ННГС</t>
  </si>
  <si>
    <t>ПОДРЯДЧИК ПО ГИС:</t>
  </si>
  <si>
    <t>Направление (АКЦ, ЦМ, инкл)</t>
  </si>
  <si>
    <t>Кондуктор, тех.колонна (АКЦ, ЦМ, инкл)</t>
  </si>
  <si>
    <t>Пилот (ок. кар на трубах)</t>
  </si>
  <si>
    <t>Эксплуатационная колонна (РК, СГДТ, АКЦ, ок. кар) гор.скв.</t>
  </si>
  <si>
    <t>Эксплуатационная колонна (РК, СГДТ, АКЦ, ок. кар) НН скв.</t>
  </si>
  <si>
    <t xml:space="preserve">операция </t>
  </si>
  <si>
    <t>Хвостовик (ок.кар., РК, СГДТ) НН скв.</t>
  </si>
  <si>
    <t>Хвостовик (ок.кар. В гор, каверн) гор. МСГРП скв.</t>
  </si>
  <si>
    <t>ОТБОР КЕРНА</t>
  </si>
  <si>
    <t>Отбор неизолированного керна</t>
  </si>
  <si>
    <t>м</t>
  </si>
  <si>
    <t>Отбор изолированного керна</t>
  </si>
  <si>
    <t>Прочее</t>
  </si>
  <si>
    <t>СУПЕРВАЙЗИНГ:</t>
  </si>
  <si>
    <t>НТ-сервис</t>
  </si>
  <si>
    <t>Супервайзер по бурению с вагон-домом</t>
  </si>
  <si>
    <t xml:space="preserve"> ДРУГИЕ УСЛУГИ:</t>
  </si>
  <si>
    <t>Нефтемашвнедрение</t>
  </si>
  <si>
    <t>Противофонтанный лифт</t>
  </si>
  <si>
    <t>ЗАО НМВ</t>
  </si>
  <si>
    <t>Прочие</t>
  </si>
  <si>
    <t>СЕРВИС ПО ПОДВЕСКЕ ХВОСТОВИКА</t>
  </si>
  <si>
    <t>Везерфорд</t>
  </si>
  <si>
    <t>МСГРП 8 стадий</t>
  </si>
  <si>
    <t>нецементируемые хвостовики 114 мм.</t>
  </si>
  <si>
    <t>ЗЭРС</t>
  </si>
  <si>
    <t>хвостовик 102, 114 мм. С прямым цементированием</t>
  </si>
  <si>
    <t>хвостовик 127 мм. С прямым цементированием</t>
  </si>
  <si>
    <t>хвостовик 114 мм. Не цементируемый</t>
  </si>
  <si>
    <t>Хвостовик 114, 102 с ступенчатым цементированием</t>
  </si>
  <si>
    <t>МАТЕРИАЛЫ ПРЕДОСТАВЛЯЕМЫЕ ЗАКАЗЧИКОМ:</t>
  </si>
  <si>
    <t>Обсадные трубы 426х11 Д НОРМКБ</t>
  </si>
  <si>
    <t>Обсадные трубы 324х9,5 Д ОТТМ</t>
  </si>
  <si>
    <t>Обсадные трубы 245х8,9 Е ОТТГ</t>
  </si>
  <si>
    <t>Обсадные трубы 245х7,9 Д ОТТМ</t>
  </si>
  <si>
    <t>Обсадные трубы 178х9,2 Е ОТТГ</t>
  </si>
  <si>
    <t>Обсадные трубы 178х9,2 Д ОТТМ</t>
  </si>
  <si>
    <t>Обсадные трубы 178х9,2 Е ОТТМ</t>
  </si>
  <si>
    <t>Обсадные трубы 168х8,9 Д ОТТМ</t>
  </si>
  <si>
    <t>Обсадные трубы 127х9,2 Е ОТТМ</t>
  </si>
  <si>
    <t>шт.</t>
  </si>
  <si>
    <t>Труба ОТТМ-114х7,4 Е ОТТМ</t>
  </si>
  <si>
    <t>Обсадные трубы 168х10,6 Д ОТТМ</t>
  </si>
  <si>
    <t>ФИЛЬТР ФС 168.12Х25Х8000</t>
  </si>
  <si>
    <t>ФИЛЬТР ФБ-102</t>
  </si>
  <si>
    <t>ФИЛЬТР ФБ-114-01 / ФИЛЬТР ФС 114.30Х20Х6400 БЕЗ ЗАГЛУШЕК</t>
  </si>
  <si>
    <t>Материалы для раствора глушения</t>
  </si>
  <si>
    <t xml:space="preserve">Допускные трубы для обсадных колонн </t>
  </si>
  <si>
    <t>ДРУГИЕ РАСХОДЫ</t>
  </si>
  <si>
    <t>Услуги НТЦ (лаб.анализ растворов, авторский надзор и пр.)</t>
  </si>
  <si>
    <t>ПИР + гос.экспертиза</t>
  </si>
  <si>
    <t>К-т</t>
  </si>
  <si>
    <t>Услуги УМТС (10,45% от ТМЦ, включая опрессовку труб)</t>
  </si>
  <si>
    <t>Комплектация обсадных колонн</t>
  </si>
  <si>
    <t>т</t>
  </si>
  <si>
    <t>Плата за буровые отходы, вывоз и утилизацию шлама</t>
  </si>
  <si>
    <t>ОБЩАЯ СТОИМОСТЬ БУРЕНИЯ СКВАЖИНЫ</t>
  </si>
  <si>
    <t>3. ЭТАП ОСВОЕНИЯ:</t>
  </si>
  <si>
    <t>Услуги по гидроразрыву пластов</t>
  </si>
  <si>
    <t>Услуги колтюбинга и азотной установки</t>
  </si>
  <si>
    <t>Услуги бригад по капитальному ремонту скважин</t>
  </si>
  <si>
    <t>бр.час.</t>
  </si>
  <si>
    <t>Услуги бригад по подземному ремонту скважин</t>
  </si>
  <si>
    <t>Прочие услуги по ремонту скважин</t>
  </si>
  <si>
    <t>Проппант</t>
  </si>
  <si>
    <t>тн.</t>
  </si>
  <si>
    <t>Жидкий азот</t>
  </si>
  <si>
    <t>м3</t>
  </si>
  <si>
    <t>Технологическая жидкость глушения</t>
  </si>
  <si>
    <t>Перфорация и прочие геофиз.работы.</t>
  </si>
  <si>
    <t>Супервайзинг</t>
  </si>
  <si>
    <t>Супервайзинг собст</t>
  </si>
  <si>
    <t>ОБЩАЯ СТОИМОСТЬ ОСВОЕНИЯ СКВАЖИНЫ</t>
  </si>
  <si>
    <t>4. ОБОРУДОВАНИЕ УСТЬЯ СКВАЖИНЫ</t>
  </si>
  <si>
    <t xml:space="preserve">Колонная головка </t>
  </si>
  <si>
    <t>шт</t>
  </si>
  <si>
    <t xml:space="preserve">Фонтанная арматура </t>
  </si>
  <si>
    <t>ОБЩАЯ СТОИМОСТЬ ОБОРУДОВАНИЯ</t>
  </si>
  <si>
    <t>ВСЕГО СТОИМОСТЬ СКВАЖИНЫ</t>
  </si>
  <si>
    <t>Расчет стоимости скважины</t>
  </si>
  <si>
    <t>Бурение</t>
  </si>
  <si>
    <t>Построение графика бурения</t>
  </si>
  <si>
    <t>Начало мобилизации</t>
  </si>
  <si>
    <t>Начало бурения скважины №1</t>
  </si>
  <si>
    <t>Начало передвижки №1</t>
  </si>
  <si>
    <t>Начало бурения скважины №2</t>
  </si>
  <si>
    <t>Начало передвижки №2</t>
  </si>
  <si>
    <t>…</t>
  </si>
  <si>
    <t>Начало бурения скважины №n</t>
  </si>
  <si>
    <t>Начало демонтажа буровой</t>
  </si>
  <si>
    <t>Дата</t>
  </si>
  <si>
    <t>Календарь</t>
  </si>
  <si>
    <t>Конец демонтажа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</si>
  <si>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</si>
  <si>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</si>
  <si>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</si>
  <si>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</si>
  <si>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</si>
  <si>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</si>
  <si>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</si>
  <si>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</si>
  <si>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</si>
  <si>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</si>
  <si>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</si>
  <si>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</si>
  <si>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МС ГРП</t>
  </si>
  <si>
    <t>Месторождение</t>
  </si>
  <si>
    <t>Куст</t>
  </si>
  <si>
    <t>Номер скважины</t>
  </si>
  <si>
    <t>Выбор из словаря</t>
  </si>
  <si>
    <t>Модуль</t>
  </si>
  <si>
    <t>n</t>
  </si>
  <si>
    <t>Буровая установка</t>
  </si>
  <si>
    <t>БУ-5000</t>
  </si>
  <si>
    <t>Вынгапуровское</t>
  </si>
  <si>
    <t>Создание новой скважины</t>
  </si>
  <si>
    <t>ОК</t>
  </si>
  <si>
    <t>ОТМЕНА</t>
  </si>
  <si>
    <t>Пласт</t>
  </si>
  <si>
    <t>Кол-во/НЕТ</t>
  </si>
  <si>
    <t>Пилотный ствол</t>
  </si>
  <si>
    <t>БВ-8</t>
  </si>
  <si>
    <t>Проходка</t>
  </si>
  <si>
    <t>В метрах</t>
  </si>
  <si>
    <t>Дело скважины</t>
  </si>
  <si>
    <t>Подрядчик по бурению</t>
  </si>
  <si>
    <t>Тип буровой установки</t>
  </si>
  <si>
    <t>Тип скважины</t>
  </si>
  <si>
    <t>Проходка всего (м)</t>
  </si>
  <si>
    <t>тендер</t>
  </si>
  <si>
    <t>Словарь</t>
  </si>
  <si>
    <t>Ввод</t>
  </si>
  <si>
    <t>Добыча нефти</t>
  </si>
  <si>
    <t>Добыча жидкости</t>
  </si>
  <si>
    <t>Коэффициенты перевода</t>
  </si>
  <si>
    <t>Закачка</t>
  </si>
  <si>
    <t>Добыча газа</t>
  </si>
  <si>
    <t>ГФ</t>
  </si>
  <si>
    <t>% воды</t>
  </si>
  <si>
    <t>Стартовые дебиты</t>
  </si>
  <si>
    <t>График ввода скважин</t>
  </si>
  <si>
    <t>Перевод под закачку</t>
  </si>
  <si>
    <t>Должно быть поле для ввода</t>
  </si>
  <si>
    <t>Для загрузки данных используется экселевский загрузчик</t>
  </si>
  <si>
    <t>Обвязка скважины</t>
  </si>
  <si>
    <t>Дороги</t>
  </si>
  <si>
    <t>км</t>
  </si>
  <si>
    <t>Кол-во</t>
  </si>
  <si>
    <t>Кэ</t>
  </si>
  <si>
    <t>Оборудование, не входящее в смету строительства</t>
  </si>
  <si>
    <t>Кабель</t>
  </si>
  <si>
    <t>СДФ добыв</t>
  </si>
  <si>
    <t>СДФ нагнет</t>
  </si>
  <si>
    <t>Скважиносутки</t>
  </si>
  <si>
    <t>Данные загружаются поскважинно, не скопом на все!</t>
  </si>
  <si>
    <t>Этап</t>
  </si>
  <si>
    <t>Вышко-монтажные работы (ВМР)</t>
  </si>
  <si>
    <t>Освоение</t>
  </si>
  <si>
    <t>Оборудование устья скважины</t>
  </si>
  <si>
    <t>Долота</t>
  </si>
  <si>
    <t>Цементирование</t>
  </si>
  <si>
    <t>Отбор керна</t>
  </si>
  <si>
    <t>Другие услуги</t>
  </si>
  <si>
    <t>Другие расходы</t>
  </si>
  <si>
    <t>Статья расходов</t>
  </si>
  <si>
    <t>+</t>
  </si>
  <si>
    <t>Вид затрат</t>
  </si>
  <si>
    <t>Ед.изм.</t>
  </si>
  <si>
    <t>Руб./ед.изм.</t>
  </si>
  <si>
    <t>Количество</t>
  </si>
  <si>
    <t>Стоимость</t>
  </si>
  <si>
    <t>метры</t>
  </si>
  <si>
    <t>Всего лимитировано временем общего бурения данной скважины</t>
  </si>
  <si>
    <t>Равно проходке всего (м)</t>
  </si>
  <si>
    <t>Кол-во стадий МСГРП, шт</t>
  </si>
  <si>
    <t>да/нет/МС ГРП</t>
  </si>
  <si>
    <t>Появляется строка только в случае МСГРП</t>
  </si>
  <si>
    <t>Глубина по вертикали (м)</t>
  </si>
  <si>
    <t>Наименование</t>
  </si>
  <si>
    <t>ЭЦН</t>
  </si>
  <si>
    <t>НКТ</t>
  </si>
  <si>
    <t>Станция управления</t>
  </si>
  <si>
    <t>Кабель погружной</t>
  </si>
  <si>
    <t>Затраты всего</t>
  </si>
  <si>
    <t>Стоимость за ед.</t>
  </si>
  <si>
    <t>р/шт</t>
  </si>
  <si>
    <t>р/м</t>
  </si>
  <si>
    <t>Смета строительства скважины</t>
  </si>
  <si>
    <t>руб</t>
  </si>
  <si>
    <t>Смета обустройства</t>
  </si>
  <si>
    <t>Трубопроводы</t>
  </si>
  <si>
    <t>Отсыпка кустовой площадки</t>
  </si>
  <si>
    <t>Энергохозяйство</t>
  </si>
  <si>
    <t>Объекты поверхностного обустройства</t>
  </si>
  <si>
    <t>ПИР</t>
  </si>
  <si>
    <t>Тип затрат</t>
  </si>
  <si>
    <t>Нефтесборный</t>
  </si>
  <si>
    <t>Водовод</t>
  </si>
  <si>
    <t>Характеристика физ.показателей</t>
  </si>
  <si>
    <t>219*8</t>
  </si>
  <si>
    <t>168*14</t>
  </si>
  <si>
    <t>сталь</t>
  </si>
  <si>
    <t>Вид</t>
  </si>
  <si>
    <t>Начало строительства</t>
  </si>
  <si>
    <t>Окончание строительства</t>
  </si>
  <si>
    <t>Мощность</t>
  </si>
  <si>
    <t>ед.изм.</t>
  </si>
  <si>
    <t>кол-во</t>
  </si>
  <si>
    <t>СМР</t>
  </si>
  <si>
    <t>КВ</t>
  </si>
  <si>
    <t>Оборудование</t>
  </si>
  <si>
    <t>затраты связанные с ПОС</t>
  </si>
  <si>
    <t>ОХР</t>
  </si>
  <si>
    <t>Рентабельность</t>
  </si>
  <si>
    <t>Всего</t>
  </si>
  <si>
    <t>обустройство</t>
  </si>
  <si>
    <t>подготовительные работы</t>
  </si>
  <si>
    <t>Реконструкция</t>
  </si>
  <si>
    <t>Новое</t>
  </si>
  <si>
    <t>Землеустроительные работы</t>
  </si>
  <si>
    <t>Технический надзор</t>
  </si>
  <si>
    <t>Вознаграждение оператора</t>
  </si>
  <si>
    <t>об-во кустов</t>
  </si>
  <si>
    <t>мощн.</t>
  </si>
  <si>
    <t>подгот. работы в т.ч. гидроизол.</t>
  </si>
  <si>
    <t xml:space="preserve"> КВ гидроиз.</t>
  </si>
  <si>
    <t>ВЛ-6кв</t>
  </si>
  <si>
    <t>Рекультивация</t>
  </si>
  <si>
    <t>матер. зак-ка (справ.)</t>
  </si>
  <si>
    <t>в т.ч.:</t>
  </si>
  <si>
    <t>гидронамыв</t>
  </si>
  <si>
    <t>ВЛ-6 кВ</t>
  </si>
  <si>
    <t>КВ без ОХР и рентабельности</t>
  </si>
  <si>
    <t>Как совместить ковер бурения и ввод скважины?</t>
  </si>
  <si>
    <r>
      <t xml:space="preserve">С помощью ковра освоения! Дата конца бурения=датаначала освоения, </t>
    </r>
    <r>
      <rPr>
        <sz val="11"/>
        <color rgb="FFFF0000"/>
        <rFont val="Calibri"/>
        <family val="2"/>
        <charset val="204"/>
        <scheme val="minor"/>
      </rPr>
      <t>дата конца освоения=дата ввода скважины!?</t>
    </r>
  </si>
  <si>
    <t>Дата ввода</t>
  </si>
  <si>
    <t>Период эксплуатации</t>
  </si>
  <si>
    <t>КЭ</t>
  </si>
  <si>
    <t>Перевод в ППД</t>
  </si>
  <si>
    <t>Потери из-за выбытия</t>
  </si>
  <si>
    <t>Остановочный дебит</t>
  </si>
  <si>
    <t>Выбытие в б/д</t>
  </si>
  <si>
    <t>Приемистость</t>
  </si>
  <si>
    <t>руб/м</t>
  </si>
  <si>
    <t>тн/сут</t>
  </si>
  <si>
    <t>м3/сут</t>
  </si>
  <si>
    <t>Выбытие</t>
  </si>
  <si>
    <t>да</t>
  </si>
  <si>
    <t>нет</t>
  </si>
  <si>
    <t>Дата выбытия</t>
  </si>
  <si>
    <t>в ППД</t>
  </si>
  <si>
    <t>в б/д</t>
  </si>
  <si>
    <t>bbl/тн</t>
  </si>
  <si>
    <t>тн/м3</t>
  </si>
  <si>
    <t>Обводненость</t>
  </si>
  <si>
    <t>Скважина номер</t>
  </si>
  <si>
    <t>Аналог</t>
  </si>
  <si>
    <t>Lifting Costs</t>
  </si>
  <si>
    <t>руб/м3</t>
  </si>
  <si>
    <t xml:space="preserve">Удельные по мехдобыче жидкости </t>
  </si>
  <si>
    <t>Удельные по закачке</t>
  </si>
  <si>
    <t>Удельные по сбору и транспортировке жидкости</t>
  </si>
  <si>
    <t>Удельные по подготовке нефти</t>
  </si>
  <si>
    <t>Удельные базовые на нефтяную скважину</t>
  </si>
  <si>
    <t>Удельные базовые на газовую скважину</t>
  </si>
  <si>
    <t>Удельные затраты по подъему ПГ</t>
  </si>
  <si>
    <t>Базовые затраты на ПНГ</t>
  </si>
  <si>
    <t>руб/тн</t>
  </si>
  <si>
    <t>руб/т.м3</t>
  </si>
  <si>
    <t>тыс.руб/скв</t>
  </si>
  <si>
    <t>и т.д.</t>
  </si>
  <si>
    <t>*выбор из словаря (для каждого месторождения свои операционные затраты)</t>
  </si>
  <si>
    <t>Постоянные затраты не зависящие от фонда</t>
  </si>
  <si>
    <t>тыс.руб.</t>
  </si>
  <si>
    <t>Средняя стоимость ПРС</t>
  </si>
  <si>
    <t>Удельные затраты по ОНМ на действующем фонде</t>
  </si>
  <si>
    <t>Средняя стоимость КРС</t>
  </si>
  <si>
    <t>1 - добывающая</t>
  </si>
  <si>
    <t>2 - нагнетательная</t>
  </si>
  <si>
    <t>3 - оба типа</t>
  </si>
  <si>
    <t>Стартовый дебит нефти</t>
  </si>
  <si>
    <t>Стартовый дебит жид</t>
  </si>
  <si>
    <t>Дни работы доб.скв.</t>
  </si>
  <si>
    <t>Дни работы нагн.скв.</t>
  </si>
  <si>
    <t>1*</t>
  </si>
  <si>
    <t>Функция темпа падения профиля</t>
  </si>
  <si>
    <t>ИТОГО</t>
  </si>
  <si>
    <t>скв</t>
  </si>
  <si>
    <t>тыс.тн</t>
  </si>
  <si>
    <t>%</t>
  </si>
  <si>
    <t>тыс.м3</t>
  </si>
  <si>
    <t>Добыча ПНГ</t>
  </si>
  <si>
    <t>м3/тн</t>
  </si>
  <si>
    <t>Добыча ПГ</t>
  </si>
  <si>
    <t>4 - газовая</t>
  </si>
  <si>
    <t>Дебит нефти</t>
  </si>
  <si>
    <t>СДФ доб.скв</t>
  </si>
  <si>
    <t>СДФ нагн.скв</t>
  </si>
  <si>
    <t>Стоимость ремонтов</t>
  </si>
  <si>
    <t>*к какому типу скважины относится параметр, например, ГФ - 1, т.е. газовый фактор есть только на добывающей скважине</t>
  </si>
  <si>
    <t>График бурения</t>
  </si>
  <si>
    <t>нажимая на скважину из ковра бурения, выбираем ее для просмотра/правки профиля добычи.</t>
  </si>
  <si>
    <t>Цена Brent</t>
  </si>
  <si>
    <t>$/bbl</t>
  </si>
  <si>
    <t>Spread</t>
  </si>
  <si>
    <t>Цена Urals</t>
  </si>
  <si>
    <t>Netback</t>
  </si>
  <si>
    <t>НДПИ (на нефть)</t>
  </si>
  <si>
    <t>НДПИ (на газ)</t>
  </si>
  <si>
    <t>Цена на природный газ</t>
  </si>
  <si>
    <t>Цена на попутный газ Вынгаяхинская КС</t>
  </si>
  <si>
    <t>Цена на попутный газ Холмогорская КС</t>
  </si>
  <si>
    <t>Обменный курс доллара</t>
  </si>
  <si>
    <t>руб/тыс.м3</t>
  </si>
  <si>
    <t>руб/$</t>
  </si>
  <si>
    <t>НАЛОГИ</t>
  </si>
  <si>
    <t>Ставка налога на прибыль</t>
  </si>
  <si>
    <t>Ставка налога на имущество</t>
  </si>
  <si>
    <t>Ставка дисконтирования</t>
  </si>
  <si>
    <t>АМОРТИЗАЦИЯ</t>
  </si>
  <si>
    <t>Годовые нормы амортизации для:</t>
  </si>
  <si>
    <t>скважин</t>
  </si>
  <si>
    <t>объектов обустройства и общепромысловой инфраструктуры</t>
  </si>
  <si>
    <t>оборудования (ОНВСС)</t>
  </si>
  <si>
    <t>ЦЕНЫ НА ПРОДУКТ</t>
  </si>
  <si>
    <t>Коэффициент перевода для объемов добычи нефти</t>
  </si>
  <si>
    <t>ВСПОМОГАТЕЛЬНЫЕ ПАРАМЕТРЫ</t>
  </si>
  <si>
    <t>Местородения</t>
  </si>
  <si>
    <t>ВОРГЕНСКОЕ</t>
  </si>
  <si>
    <t>ВЫНГАПУРОВСКОЕ</t>
  </si>
  <si>
    <t>ЗАПАДНО-НОЯБРЬСКОЕ</t>
  </si>
  <si>
    <t>КАРАМОВСКОЕ</t>
  </si>
  <si>
    <t>ЛИМБАЯХСКОЕ</t>
  </si>
  <si>
    <t>НОВОГОДНЕЕ</t>
  </si>
  <si>
    <t>ПОГРАНИЧНОЕ</t>
  </si>
  <si>
    <t>РАВНИННОЕ</t>
  </si>
  <si>
    <t>СПОРЫШЕВСКОЕ</t>
  </si>
  <si>
    <t>СРЕДНЕ-ИТУРСКОЕ</t>
  </si>
  <si>
    <t>ХОЛМИСТОЕ</t>
  </si>
  <si>
    <t>ХОЛМОГОРСКОЕ</t>
  </si>
  <si>
    <t>ЧАТЫЛЬКИНСКОЕ</t>
  </si>
  <si>
    <t>ЯРАЙНЕРСКОЕ</t>
  </si>
  <si>
    <t>начальные извлекаемые запасы</t>
  </si>
  <si>
    <t>добыча нефти</t>
  </si>
  <si>
    <t>накопленная добыча</t>
  </si>
  <si>
    <t>Степень выработк</t>
  </si>
  <si>
    <t>Коэффициент выработки</t>
  </si>
  <si>
    <t>Запасы</t>
  </si>
  <si>
    <t>Накопленная добыча на 01.01.2013</t>
  </si>
  <si>
    <t>Накопленная добыча на 01.01.2011</t>
  </si>
  <si>
    <t>Добыча за 2011 год (факт)</t>
  </si>
  <si>
    <t>Добыча за 2012 год (факт)</t>
  </si>
  <si>
    <t>С2</t>
  </si>
  <si>
    <t>тыс.т.</t>
  </si>
  <si>
    <t>Процент потерь при добычи</t>
  </si>
  <si>
    <t>Начальные извлекаемые запасы (А, В, С1, С2)*</t>
  </si>
  <si>
    <t xml:space="preserve"> * - начальные извлекаемые запасы нефти, утвержденные в установленном порядке с учетом прироста и списания запасов нефти (за исключением списания запасов добытой нефти и потерь при добыче) и определяемые как сумма запасов категорий А, В, С1 и С2 по конкретному участку недр в соответствии с данными государственного баланса запасов полезных ископаемых на 1 января 2006 года.</t>
  </si>
  <si>
    <t xml:space="preserve"> ** - сумма накопленной добычи нефти на конкретном участке недр (включая потери при добыче).</t>
  </si>
  <si>
    <t>Льгота БАЗА</t>
  </si>
  <si>
    <t>Комментарий к модулю:</t>
  </si>
  <si>
    <t>Данный модуль носит не только информационный характер, но и расчет льготы на НДПИ для конкретного месторождения.</t>
  </si>
  <si>
    <t>ВМР</t>
  </si>
  <si>
    <t>Вспомогательные</t>
  </si>
  <si>
    <t>ИТОГО по ВМР</t>
  </si>
  <si>
    <t>ИТОГО по Долотам</t>
  </si>
  <si>
    <t>Телемерия</t>
  </si>
  <si>
    <t>ИТОГО по Телеметрии</t>
  </si>
  <si>
    <t>Буровой раствор</t>
  </si>
  <si>
    <t>ИТОГО по Буровым растворам</t>
  </si>
  <si>
    <t>ИТОГО по Цементированию</t>
  </si>
  <si>
    <t>Станция ГТИ</t>
  </si>
  <si>
    <t>ИТОГО по ГТИ</t>
  </si>
  <si>
    <t>ГИС</t>
  </si>
  <si>
    <t>ИТОГО по ГИС</t>
  </si>
  <si>
    <t>Сервис по подвески хвостовика</t>
  </si>
  <si>
    <t>Материалы заказчика</t>
  </si>
  <si>
    <t>ИТОГО по Материалам заказчика</t>
  </si>
  <si>
    <t>Общая стоимость этапа БУРЕНИЕ</t>
  </si>
  <si>
    <t>ИТОГО по Оборудованию устья скважины</t>
  </si>
  <si>
    <t>Общая стоимость этапа Освоение</t>
  </si>
  <si>
    <t>Общая стоимость скважины</t>
  </si>
  <si>
    <t>руб/операцию</t>
  </si>
  <si>
    <t>руб/скв</t>
  </si>
  <si>
    <t>руб/сут</t>
  </si>
  <si>
    <t>руб/опер</t>
  </si>
  <si>
    <t>руб/бр.час.</t>
  </si>
  <si>
    <t>руб/тн.</t>
  </si>
  <si>
    <t>руб/шт</t>
  </si>
  <si>
    <t>Конструкция</t>
  </si>
  <si>
    <t>Удельная стоимость</t>
  </si>
  <si>
    <t>Общая стоимость Оборудования, не входящему в смету строительства</t>
  </si>
  <si>
    <t>20 лет</t>
  </si>
  <si>
    <t>Ввод скважины</t>
  </si>
  <si>
    <t>Кол-во дней в периоде</t>
  </si>
  <si>
    <t>ГС с МСГРП</t>
  </si>
  <si>
    <t>Газовая</t>
  </si>
  <si>
    <t>Скважина</t>
  </si>
  <si>
    <t>Темп падения жидкости</t>
  </si>
  <si>
    <t>Дебит жидкости</t>
  </si>
  <si>
    <t>Межремонтный период (МРП)</t>
  </si>
  <si>
    <t>Зависимость процессов бурения</t>
  </si>
  <si>
    <t>ФС (финиш-старт) - как только 1 процесс заканчивается, начинается следующий.</t>
  </si>
  <si>
    <t>Процесс</t>
  </si>
  <si>
    <t>Точка начала</t>
  </si>
  <si>
    <t>Точка завершения</t>
  </si>
  <si>
    <t>Доставка и сборка буровой установки на месте бурения</t>
  </si>
  <si>
    <t>Бурение 1 скважины</t>
  </si>
  <si>
    <t>Начало бурения</t>
  </si>
  <si>
    <t>Начало передвижки</t>
  </si>
  <si>
    <t>Бурение 2 скважины</t>
  </si>
  <si>
    <t>Конец монтажа</t>
  </si>
  <si>
    <t>Конец бурения</t>
  </si>
  <si>
    <t>Конец передвижки</t>
  </si>
  <si>
    <t>Передвижка 1</t>
  </si>
  <si>
    <t>Бурение n скважины</t>
  </si>
  <si>
    <t>n+1</t>
  </si>
  <si>
    <t>Демонтаж буровой установки</t>
  </si>
  <si>
    <t>Начало демонтажа</t>
  </si>
  <si>
    <t>УСС</t>
  </si>
  <si>
    <t>Когда проводится оплата</t>
  </si>
  <si>
    <t>Вехи в ковре для 1 скважины</t>
  </si>
  <si>
    <t>Конец мобилизации</t>
  </si>
  <si>
    <t>Начало бурения скважины</t>
  </si>
  <si>
    <t>Конец бурения скважины</t>
  </si>
  <si>
    <t>Конец демонтажа буровой</t>
  </si>
  <si>
    <t>УКС</t>
  </si>
  <si>
    <t>Вехи строительства</t>
  </si>
  <si>
    <t>Проведение ПИР</t>
  </si>
  <si>
    <t>Закуп МТО</t>
  </si>
  <si>
    <t>Поставка МТО</t>
  </si>
  <si>
    <t>Конец строительства</t>
  </si>
  <si>
    <t>Начало освоения</t>
  </si>
  <si>
    <t>Конец освоения</t>
  </si>
  <si>
    <t>Ввод объекта</t>
  </si>
  <si>
    <t>Сдача объекта</t>
  </si>
  <si>
    <t>Этапы строительства скважины</t>
  </si>
  <si>
    <t>Начало передвижки (оплачивается передвижка, следующая после бурения скважины)</t>
  </si>
  <si>
    <t>По окончанию передвижки</t>
  </si>
  <si>
    <t>Оплата происходит за завершенный объем по завершению календарного месяца</t>
  </si>
  <si>
    <t>Объем завершенный определяется:</t>
  </si>
  <si>
    <t>по проходке (факт/полный объем)</t>
  </si>
  <si>
    <t>по завершению бурения</t>
  </si>
  <si>
    <t>Начало освоения скважины</t>
  </si>
  <si>
    <t>Начало демонтажа БУ</t>
  </si>
  <si>
    <t>Общее время БУ на скважину</t>
  </si>
  <si>
    <t>Расчет проходки помесячно</t>
  </si>
  <si>
    <t>накопленный</t>
  </si>
  <si>
    <t>Сутки</t>
  </si>
  <si>
    <t>Бурение по суточной ставке, суток</t>
  </si>
  <si>
    <t>Супервайзинг при бурении, суток</t>
  </si>
  <si>
    <t>Проходка, м</t>
  </si>
  <si>
    <t>проходка</t>
  </si>
  <si>
    <t>сутки</t>
  </si>
  <si>
    <t>Проверка</t>
  </si>
  <si>
    <t>Распределение затрат во времени и по конструкциям</t>
  </si>
  <si>
    <t>Сумма</t>
  </si>
  <si>
    <t>Начало монтажа БУ</t>
  </si>
  <si>
    <t>Конец монтажа БУ</t>
  </si>
  <si>
    <t>2. ЭТАП Бурения</t>
  </si>
  <si>
    <t>ИТОГО по Бурению</t>
  </si>
  <si>
    <t>Сут.ставка</t>
  </si>
  <si>
    <t>ИТОГО по Станции ГТИ</t>
  </si>
  <si>
    <t>ИТОГО по Другим расходам</t>
  </si>
  <si>
    <t>3. ЭТАП Освоения</t>
  </si>
  <si>
    <t>по Материалам заказчика</t>
  </si>
  <si>
    <t>ИТОГО по Освоению</t>
  </si>
  <si>
    <t>4. ЭТАП Оборудования устья скважины</t>
  </si>
  <si>
    <t>ИТОГО по Оборудования устья скважины</t>
  </si>
  <si>
    <t>По окончанию календарного месяца</t>
  </si>
  <si>
    <t>Здесь может быть несколько видов оплат: по окончанию календарного месяца (сутки), по окончанию бурения скважины (сдача скважины).</t>
  </si>
  <si>
    <t>В примере 1 вариант</t>
  </si>
  <si>
    <t>Когда оплата:</t>
  </si>
  <si>
    <t>По окончанию календарного месяца (по проходке)</t>
  </si>
  <si>
    <t>?????</t>
  </si>
  <si>
    <t>????</t>
  </si>
  <si>
    <t>Конец освоения скважины</t>
  </si>
  <si>
    <t>Общее время бурения+освоения</t>
  </si>
  <si>
    <t>Освоение, бригадо-суток</t>
  </si>
  <si>
    <t>Супервайзинг при освоении, суток</t>
  </si>
  <si>
    <t>ВСЕГО по Бурение + Освоение</t>
  </si>
</sst>
</file>

<file path=xl/styles.xml><?xml version="1.0" encoding="utf-8"?>
<styleSheet xmlns="http://schemas.openxmlformats.org/spreadsheetml/2006/main">
  <numFmts count="13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(&quot;$&quot;* #,##0_);_(&quot;$&quot;* \(#,##0\);_(&quot;$&quot;* &quot;-&quot;_);_(@_)"/>
    <numFmt numFmtId="165" formatCode="[$$-409]#,##0"/>
    <numFmt numFmtId="166" formatCode="#,##0&quot;р.&quot;"/>
    <numFmt numFmtId="167" formatCode="0.0"/>
    <numFmt numFmtId="168" formatCode="#,##0.0"/>
    <numFmt numFmtId="169" formatCode="#,##0.00&quot;р.&quot;"/>
    <numFmt numFmtId="170" formatCode="_-* #,##0_р_._-;\-* #,##0_р_._-;_-* &quot;-&quot;??_р_._-;_-@_-"/>
    <numFmt numFmtId="171" formatCode="yyyy"/>
    <numFmt numFmtId="172" formatCode="0.0%"/>
    <numFmt numFmtId="173" formatCode="mmm/yyyy"/>
    <numFmt numFmtId="174" formatCode="_-* #,##0.0_р_._-;\-* #,##0.0_р_._-;_-* &quot;-&quot;??_р_._-;_-@_-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u/>
      <sz val="1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indexed="12"/>
      <name val="Calibri"/>
      <family val="2"/>
      <charset val="204"/>
      <scheme val="minor"/>
    </font>
    <font>
      <b/>
      <u/>
      <sz val="9"/>
      <name val="Calibri"/>
      <family val="2"/>
      <charset val="204"/>
      <scheme val="minor"/>
    </font>
    <font>
      <b/>
      <sz val="9"/>
      <color indexed="10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2"/>
      <color theme="1"/>
      <name val="Comic Sans MS"/>
      <family val="4"/>
      <charset val="204"/>
    </font>
    <font>
      <b/>
      <sz val="11"/>
      <color rgb="FF3F3F3F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10"/>
      <name val="FreeSetCTT"/>
      <charset val="204"/>
    </font>
    <font>
      <sz val="10"/>
      <name val="Helv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sz val="10"/>
      <name val="Arial Cyr"/>
      <charset val="204"/>
    </font>
    <font>
      <b/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9"/>
      <color indexed="12"/>
      <name val="Arial"/>
      <family val="2"/>
      <charset val="204"/>
    </font>
    <font>
      <sz val="8"/>
      <name val="Arial Cyr"/>
      <charset val="204"/>
    </font>
    <font>
      <sz val="11"/>
      <color theme="3" tint="-0.499984740745262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b/>
      <sz val="12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8"/>
      <color rgb="FFFFFF00"/>
      <name val="Calibri"/>
      <family val="2"/>
      <charset val="204"/>
      <scheme val="minor"/>
    </font>
    <font>
      <b/>
      <sz val="16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4"/>
      <color theme="3" tint="-0.249977111117893"/>
      <name val="Calibri"/>
      <family val="2"/>
      <charset val="204"/>
      <scheme val="minor"/>
    </font>
    <font>
      <b/>
      <sz val="12"/>
      <color rgb="FFFFFF00"/>
      <name val="Calibri"/>
      <family val="2"/>
      <scheme val="minor"/>
    </font>
    <font>
      <b/>
      <sz val="12"/>
      <color theme="3" tint="-0.249977111117893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i/>
      <sz val="11"/>
      <color theme="3" tint="0.39997558519241921"/>
      <name val="Calibri"/>
      <family val="2"/>
      <charset val="204"/>
      <scheme val="minor"/>
    </font>
    <font>
      <i/>
      <sz val="14"/>
      <color theme="3" tint="0.3999755851924192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6"/>
      <color rgb="FFFFFF00"/>
      <name val="Calibri"/>
      <family val="2"/>
      <charset val="204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4ABE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double">
        <color theme="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theme="0"/>
      </left>
      <right style="double">
        <color rgb="FF3F3F3F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rgb="FF3F3F3F"/>
      </right>
      <top/>
      <bottom style="thin">
        <color theme="0"/>
      </bottom>
      <diagonal/>
    </border>
    <border>
      <left style="double">
        <color rgb="FF3F3F3F"/>
      </left>
      <right style="double">
        <color theme="0"/>
      </right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 style="thin">
        <color theme="0"/>
      </left>
      <right style="double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3">
    <xf numFmtId="0" fontId="0" fillId="0" borderId="0"/>
    <xf numFmtId="44" fontId="5" fillId="0" borderId="0" applyFont="0" applyFill="0" applyBorder="0" applyAlignment="0" applyProtection="0"/>
    <xf numFmtId="0" fontId="10" fillId="0" borderId="0"/>
    <xf numFmtId="0" fontId="6" fillId="17" borderId="59" applyNumberFormat="0" applyAlignment="0" applyProtection="0"/>
    <xf numFmtId="0" fontId="28" fillId="20" borderId="60" applyNumberFormat="0" applyAlignment="0" applyProtection="0"/>
    <xf numFmtId="43" fontId="5" fillId="0" borderId="0" applyFont="0" applyFill="0" applyBorder="0" applyAlignment="0" applyProtection="0"/>
    <xf numFmtId="0" fontId="35" fillId="0" borderId="0"/>
    <xf numFmtId="0" fontId="38" fillId="0" borderId="0"/>
    <xf numFmtId="0" fontId="41" fillId="31" borderId="0" applyNumberFormat="0" applyBorder="0" applyAlignment="0" applyProtection="0"/>
    <xf numFmtId="9" fontId="5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0" fontId="43" fillId="32" borderId="0" applyNumberFormat="0" applyBorder="0" applyAlignment="0" applyProtection="0"/>
  </cellStyleXfs>
  <cellXfs count="639">
    <xf numFmtId="0" fontId="0" fillId="0" borderId="0" xfId="0"/>
    <xf numFmtId="0" fontId="0" fillId="0" borderId="1" xfId="0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Fill="1" applyBorder="1" applyAlignment="1" applyProtection="1">
      <alignment vertical="center"/>
      <protection locked="0"/>
    </xf>
    <xf numFmtId="164" fontId="12" fillId="0" borderId="0" xfId="0" applyNumberFormat="1" applyFont="1" applyFill="1" applyBorder="1" applyAlignment="1" applyProtection="1">
      <alignment horizontal="center" vertical="center"/>
      <protection locked="0"/>
    </xf>
    <xf numFmtId="164" fontId="12" fillId="0" borderId="9" xfId="0" applyNumberFormat="1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Protection="1">
      <protection locked="0"/>
    </xf>
    <xf numFmtId="0" fontId="12" fillId="5" borderId="0" xfId="0" applyFont="1" applyFill="1" applyBorder="1" applyAlignment="1" applyProtection="1">
      <alignment horizontal="left" vertical="center"/>
      <protection locked="0"/>
    </xf>
    <xf numFmtId="0" fontId="12" fillId="5" borderId="2" xfId="0" applyNumberFormat="1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>
      <alignment horizontal="center" vertical="center"/>
    </xf>
    <xf numFmtId="0" fontId="14" fillId="3" borderId="3" xfId="0" applyFont="1" applyFill="1" applyBorder="1" applyAlignment="1" applyProtection="1">
      <alignment horizontal="center" vertical="center" wrapText="1"/>
      <protection locked="0"/>
    </xf>
    <xf numFmtId="3" fontId="14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 applyProtection="1">
      <alignment horizontal="center"/>
      <protection locked="0"/>
    </xf>
    <xf numFmtId="0" fontId="15" fillId="6" borderId="1" xfId="0" applyNumberFormat="1" applyFont="1" applyFill="1" applyBorder="1" applyAlignment="1" applyProtection="1">
      <alignment horizontal="center" vertical="center"/>
      <protection locked="0"/>
    </xf>
    <xf numFmtId="0" fontId="12" fillId="6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3" fontId="12" fillId="7" borderId="3" xfId="0" applyNumberFormat="1" applyFont="1" applyFill="1" applyBorder="1" applyAlignment="1" applyProtection="1">
      <alignment horizontal="center"/>
      <protection locked="0"/>
    </xf>
    <xf numFmtId="1" fontId="15" fillId="6" borderId="1" xfId="0" applyNumberFormat="1" applyFont="1" applyFill="1" applyBorder="1" applyAlignment="1" applyProtection="1">
      <alignment horizontal="center" vertical="center"/>
      <protection locked="0"/>
    </xf>
    <xf numFmtId="1" fontId="12" fillId="6" borderId="1" xfId="0" applyNumberFormat="1" applyFont="1" applyFill="1" applyBorder="1" applyAlignment="1" applyProtection="1">
      <alignment horizontal="center" vertical="center"/>
      <protection locked="0"/>
    </xf>
    <xf numFmtId="164" fontId="12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164" fontId="1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6" borderId="1" xfId="0" applyFont="1" applyFill="1" applyBorder="1" applyAlignment="1">
      <alignment vertical="center" wrapText="1"/>
    </xf>
    <xf numFmtId="0" fontId="4" fillId="6" borderId="10" xfId="0" applyFont="1" applyFill="1" applyBorder="1" applyAlignment="1">
      <alignment vertical="center" wrapText="1"/>
    </xf>
    <xf numFmtId="0" fontId="4" fillId="6" borderId="15" xfId="0" applyFont="1" applyFill="1" applyBorder="1" applyAlignment="1">
      <alignment vertical="center" wrapText="1"/>
    </xf>
    <xf numFmtId="0" fontId="12" fillId="8" borderId="0" xfId="0" applyFont="1" applyFill="1" applyBorder="1" applyAlignment="1" applyProtection="1">
      <alignment horizontal="center" vertical="center" wrapText="1"/>
      <protection locked="0"/>
    </xf>
    <xf numFmtId="0" fontId="12" fillId="5" borderId="1" xfId="0" applyNumberFormat="1" applyFont="1" applyFill="1" applyBorder="1" applyAlignment="1" applyProtection="1">
      <alignment horizontal="left" vertical="center"/>
      <protection locked="0"/>
    </xf>
    <xf numFmtId="14" fontId="12" fillId="6" borderId="1" xfId="0" applyNumberFormat="1" applyFont="1" applyFill="1" applyBorder="1" applyAlignment="1" applyProtection="1">
      <alignment horizontal="center" vertical="center"/>
      <protection locked="0"/>
    </xf>
    <xf numFmtId="3" fontId="12" fillId="7" borderId="1" xfId="0" applyNumberFormat="1" applyFont="1" applyFill="1" applyBorder="1" applyAlignment="1" applyProtection="1">
      <alignment horizontal="center"/>
      <protection locked="0"/>
    </xf>
    <xf numFmtId="0" fontId="4" fillId="6" borderId="12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vertical="center" wrapText="1"/>
    </xf>
    <xf numFmtId="0" fontId="11" fillId="0" borderId="0" xfId="0" applyFont="1" applyBorder="1" applyAlignment="1"/>
    <xf numFmtId="164" fontId="11" fillId="0" borderId="0" xfId="0" applyNumberFormat="1" applyFont="1" applyFill="1" applyBorder="1" applyAlignment="1" applyProtection="1">
      <alignment horizontal="center" vertical="center"/>
      <protection locked="0"/>
    </xf>
    <xf numFmtId="1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center"/>
    </xf>
    <xf numFmtId="1" fontId="12" fillId="10" borderId="21" xfId="0" applyNumberFormat="1" applyFont="1" applyFill="1" applyBorder="1" applyAlignment="1" applyProtection="1">
      <alignment horizontal="center" vertical="center" wrapText="1"/>
      <protection locked="0"/>
    </xf>
    <xf numFmtId="1" fontId="12" fillId="10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10" borderId="4" xfId="0" applyNumberFormat="1" applyFont="1" applyFill="1" applyBorder="1" applyAlignment="1" applyProtection="1">
      <alignment horizontal="center" vertical="center" wrapText="1"/>
      <protection locked="0"/>
    </xf>
    <xf numFmtId="165" fontId="12" fillId="10" borderId="4" xfId="0" applyNumberFormat="1" applyFont="1" applyFill="1" applyBorder="1" applyAlignment="1" applyProtection="1">
      <alignment horizontal="center" vertical="center" wrapText="1"/>
      <protection locked="0"/>
    </xf>
    <xf numFmtId="164" fontId="12" fillId="10" borderId="10" xfId="0" applyNumberFormat="1" applyFont="1" applyFill="1" applyBorder="1" applyAlignment="1" applyProtection="1">
      <alignment horizontal="center" vertical="center" wrapText="1"/>
      <protection locked="0"/>
    </xf>
    <xf numFmtId="164" fontId="12" fillId="10" borderId="21" xfId="0" applyNumberFormat="1" applyFont="1" applyFill="1" applyBorder="1" applyAlignment="1" applyProtection="1">
      <alignment horizontal="center" vertical="center" wrapText="1"/>
      <protection locked="0"/>
    </xf>
    <xf numFmtId="164" fontId="12" fillId="10" borderId="4" xfId="0" applyNumberFormat="1" applyFont="1" applyFill="1" applyBorder="1" applyAlignment="1" applyProtection="1">
      <alignment horizontal="center" vertical="center" wrapText="1"/>
      <protection locked="0"/>
    </xf>
    <xf numFmtId="164" fontId="12" fillId="10" borderId="22" xfId="0" applyNumberFormat="1" applyFont="1" applyFill="1" applyBorder="1" applyAlignment="1" applyProtection="1">
      <alignment horizontal="center" vertical="center" wrapText="1"/>
      <protection locked="0"/>
    </xf>
    <xf numFmtId="164" fontId="12" fillId="10" borderId="11" xfId="0" applyNumberFormat="1" applyFont="1" applyFill="1" applyBorder="1" applyAlignment="1" applyProtection="1">
      <alignment horizontal="center" vertical="center" wrapText="1"/>
      <protection locked="0"/>
    </xf>
    <xf numFmtId="0" fontId="12" fillId="10" borderId="21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  <xf numFmtId="0" fontId="12" fillId="7" borderId="23" xfId="0" applyFont="1" applyFill="1" applyBorder="1" applyAlignment="1">
      <alignment horizontal="center" wrapText="1"/>
    </xf>
    <xf numFmtId="1" fontId="17" fillId="0" borderId="24" xfId="0" applyNumberFormat="1" applyFont="1" applyFill="1" applyBorder="1" applyAlignment="1" applyProtection="1">
      <alignment horizontal="center" vertical="center"/>
      <protection locked="0"/>
    </xf>
    <xf numFmtId="1" fontId="17" fillId="0" borderId="25" xfId="0" applyNumberFormat="1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/>
    <xf numFmtId="0" fontId="18" fillId="8" borderId="1" xfId="0" applyFont="1" applyFill="1" applyBorder="1" applyAlignment="1" applyProtection="1">
      <alignment horizontal="center" vertical="center"/>
      <protection locked="0"/>
    </xf>
    <xf numFmtId="166" fontId="18" fillId="8" borderId="1" xfId="1" applyNumberFormat="1" applyFont="1" applyFill="1" applyBorder="1" applyAlignment="1" applyProtection="1">
      <alignment horizontal="center" vertical="center"/>
      <protection locked="0"/>
    </xf>
    <xf numFmtId="167" fontId="18" fillId="8" borderId="1" xfId="0" applyNumberFormat="1" applyFont="1" applyFill="1" applyBorder="1" applyAlignment="1" applyProtection="1">
      <alignment horizontal="center" vertical="center"/>
      <protection locked="0"/>
    </xf>
    <xf numFmtId="168" fontId="18" fillId="8" borderId="1" xfId="1" applyNumberFormat="1" applyFont="1" applyFill="1" applyBorder="1" applyAlignment="1" applyProtection="1">
      <alignment horizontal="center" vertical="center"/>
      <protection locked="0"/>
    </xf>
    <xf numFmtId="168" fontId="18" fillId="8" borderId="1" xfId="0" applyNumberFormat="1" applyFont="1" applyFill="1" applyBorder="1" applyAlignment="1" applyProtection="1">
      <alignment horizontal="center" vertical="center"/>
      <protection locked="0"/>
    </xf>
    <xf numFmtId="168" fontId="18" fillId="8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23" xfId="0" applyFont="1" applyFill="1" applyBorder="1" applyAlignment="1">
      <alignment horizontal="center"/>
    </xf>
    <xf numFmtId="166" fontId="12" fillId="7" borderId="23" xfId="0" applyNumberFormat="1" applyFont="1" applyFill="1" applyBorder="1" applyAlignment="1">
      <alignment horizontal="center"/>
    </xf>
    <xf numFmtId="1" fontId="17" fillId="0" borderId="26" xfId="0" applyNumberFormat="1" applyFont="1" applyFill="1" applyBorder="1" applyAlignment="1" applyProtection="1">
      <alignment horizontal="center" vertical="center"/>
      <protection locked="0"/>
    </xf>
    <xf numFmtId="1" fontId="17" fillId="0" borderId="27" xfId="0" applyNumberFormat="1" applyFont="1" applyFill="1" applyBorder="1" applyAlignment="1" applyProtection="1">
      <alignment horizontal="center" vertical="center"/>
      <protection locked="0"/>
    </xf>
    <xf numFmtId="1" fontId="11" fillId="4" borderId="1" xfId="0" applyNumberFormat="1" applyFont="1" applyFill="1" applyBorder="1"/>
    <xf numFmtId="0" fontId="12" fillId="4" borderId="4" xfId="0" applyFont="1" applyFill="1" applyBorder="1" applyAlignment="1">
      <alignment horizontal="center"/>
    </xf>
    <xf numFmtId="0" fontId="11" fillId="4" borderId="1" xfId="0" applyFont="1" applyFill="1" applyBorder="1"/>
    <xf numFmtId="0" fontId="11" fillId="4" borderId="4" xfId="0" applyFont="1" applyFill="1" applyBorder="1"/>
    <xf numFmtId="0" fontId="11" fillId="4" borderId="2" xfId="0" applyFont="1" applyFill="1" applyBorder="1"/>
    <xf numFmtId="169" fontId="12" fillId="7" borderId="28" xfId="0" applyNumberFormat="1" applyFont="1" applyFill="1" applyBorder="1" applyAlignment="1">
      <alignment horizontal="center"/>
    </xf>
    <xf numFmtId="0" fontId="11" fillId="8" borderId="2" xfId="0" applyFont="1" applyFill="1" applyBorder="1"/>
    <xf numFmtId="0" fontId="4" fillId="11" borderId="29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center" vertical="center"/>
    </xf>
    <xf numFmtId="0" fontId="4" fillId="11" borderId="29" xfId="0" applyFont="1" applyFill="1" applyBorder="1" applyAlignment="1">
      <alignment horizontal="center" vertical="center"/>
    </xf>
    <xf numFmtId="166" fontId="20" fillId="11" borderId="29" xfId="0" applyNumberFormat="1" applyFont="1" applyFill="1" applyBorder="1" applyAlignment="1" applyProtection="1">
      <alignment horizontal="center" vertical="center"/>
      <protection locked="0"/>
    </xf>
    <xf numFmtId="1" fontId="18" fillId="12" borderId="3" xfId="0" applyNumberFormat="1" applyFont="1" applyFill="1" applyBorder="1" applyAlignment="1" applyProtection="1">
      <alignment horizontal="center" vertical="center"/>
      <protection locked="0"/>
    </xf>
    <xf numFmtId="1" fontId="12" fillId="13" borderId="1" xfId="0" applyNumberFormat="1" applyFont="1" applyFill="1" applyBorder="1" applyAlignment="1" applyProtection="1">
      <alignment horizontal="center"/>
    </xf>
    <xf numFmtId="3" fontId="18" fillId="14" borderId="1" xfId="1" applyNumberFormat="1" applyFont="1" applyFill="1" applyBorder="1" applyAlignment="1" applyProtection="1">
      <alignment horizontal="center" vertical="center"/>
      <protection locked="0"/>
    </xf>
    <xf numFmtId="3" fontId="18" fillId="14" borderId="1" xfId="0" applyNumberFormat="1" applyFont="1" applyFill="1" applyBorder="1" applyAlignment="1" applyProtection="1">
      <alignment horizontal="center" vertical="center"/>
      <protection locked="0"/>
    </xf>
    <xf numFmtId="3" fontId="18" fillId="14" borderId="2" xfId="0" applyNumberFormat="1" applyFont="1" applyFill="1" applyBorder="1" applyAlignment="1" applyProtection="1">
      <alignment horizontal="center" vertical="center"/>
      <protection locked="0"/>
    </xf>
    <xf numFmtId="0" fontId="17" fillId="8" borderId="2" xfId="0" applyFont="1" applyFill="1" applyBorder="1" applyAlignment="1" applyProtection="1">
      <alignment horizontal="left" vertical="center" wrapText="1"/>
      <protection locked="0"/>
    </xf>
    <xf numFmtId="0" fontId="4" fillId="11" borderId="30" xfId="0" applyFont="1" applyFill="1" applyBorder="1" applyAlignment="1">
      <alignment horizontal="left" vertical="center"/>
    </xf>
    <xf numFmtId="0" fontId="4" fillId="11" borderId="30" xfId="0" applyFont="1" applyFill="1" applyBorder="1" applyAlignment="1">
      <alignment horizontal="center" vertical="center"/>
    </xf>
    <xf numFmtId="166" fontId="20" fillId="11" borderId="30" xfId="0" applyNumberFormat="1" applyFont="1" applyFill="1" applyBorder="1" applyAlignment="1" applyProtection="1">
      <alignment horizontal="center" vertical="center"/>
      <protection locked="0"/>
    </xf>
    <xf numFmtId="1" fontId="21" fillId="12" borderId="3" xfId="0" applyNumberFormat="1" applyFont="1" applyFill="1" applyBorder="1" applyAlignment="1" applyProtection="1">
      <alignment horizontal="center" vertical="center"/>
      <protection locked="0"/>
    </xf>
    <xf numFmtId="1" fontId="22" fillId="0" borderId="26" xfId="0" applyNumberFormat="1" applyFont="1" applyFill="1" applyBorder="1" applyAlignment="1" applyProtection="1">
      <alignment horizontal="center" vertical="center"/>
      <protection locked="0"/>
    </xf>
    <xf numFmtId="1" fontId="22" fillId="0" borderId="27" xfId="0" applyNumberFormat="1" applyFont="1" applyFill="1" applyBorder="1" applyAlignment="1" applyProtection="1">
      <alignment horizontal="center" vertical="center"/>
      <protection locked="0"/>
    </xf>
    <xf numFmtId="1" fontId="22" fillId="0" borderId="31" xfId="0" applyNumberFormat="1" applyFont="1" applyFill="1" applyBorder="1" applyAlignment="1" applyProtection="1">
      <alignment horizontal="center" vertical="center"/>
      <protection locked="0"/>
    </xf>
    <xf numFmtId="1" fontId="22" fillId="0" borderId="32" xfId="0" applyNumberFormat="1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horizontal="left" vertical="center" wrapText="1"/>
      <protection locked="0"/>
    </xf>
    <xf numFmtId="0" fontId="4" fillId="11" borderId="33" xfId="0" applyFont="1" applyFill="1" applyBorder="1" applyAlignment="1">
      <alignment horizontal="left" vertical="center"/>
    </xf>
    <xf numFmtId="0" fontId="4" fillId="11" borderId="33" xfId="0" applyFont="1" applyFill="1" applyBorder="1" applyAlignment="1">
      <alignment horizontal="center" vertical="center"/>
    </xf>
    <xf numFmtId="166" fontId="20" fillId="11" borderId="33" xfId="0" applyNumberFormat="1" applyFont="1" applyFill="1" applyBorder="1" applyAlignment="1" applyProtection="1">
      <alignment horizontal="center" vertical="center"/>
      <protection locked="0"/>
    </xf>
    <xf numFmtId="0" fontId="11" fillId="0" borderId="34" xfId="0" applyFont="1" applyBorder="1"/>
    <xf numFmtId="0" fontId="11" fillId="0" borderId="35" xfId="0" applyFont="1" applyBorder="1"/>
    <xf numFmtId="0" fontId="12" fillId="4" borderId="1" xfId="0" applyFont="1" applyFill="1" applyBorder="1"/>
    <xf numFmtId="166" fontId="17" fillId="4" borderId="16" xfId="0" applyNumberFormat="1" applyFont="1" applyFill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/>
    <xf numFmtId="1" fontId="11" fillId="4" borderId="2" xfId="0" applyNumberFormat="1" applyFont="1" applyFill="1" applyBorder="1" applyAlignment="1"/>
    <xf numFmtId="3" fontId="12" fillId="4" borderId="1" xfId="0" applyNumberFormat="1" applyFont="1" applyFill="1" applyBorder="1" applyAlignment="1">
      <alignment horizontal="center"/>
    </xf>
    <xf numFmtId="3" fontId="12" fillId="4" borderId="2" xfId="0" applyNumberFormat="1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/>
    </xf>
    <xf numFmtId="0" fontId="11" fillId="8" borderId="34" xfId="0" applyFont="1" applyFill="1" applyBorder="1"/>
    <xf numFmtId="0" fontId="11" fillId="8" borderId="35" xfId="0" applyFont="1" applyFill="1" applyBorder="1"/>
    <xf numFmtId="0" fontId="12" fillId="8" borderId="1" xfId="0" applyFont="1" applyFill="1" applyBorder="1"/>
    <xf numFmtId="166" fontId="18" fillId="8" borderId="1" xfId="0" applyNumberFormat="1" applyFont="1" applyFill="1" applyBorder="1" applyAlignment="1" applyProtection="1">
      <alignment horizontal="center" vertical="center"/>
      <protection locked="0"/>
    </xf>
    <xf numFmtId="0" fontId="11" fillId="8" borderId="1" xfId="0" applyFont="1" applyFill="1" applyBorder="1" applyAlignment="1">
      <alignment horizontal="center"/>
    </xf>
    <xf numFmtId="0" fontId="4" fillId="8" borderId="1" xfId="0" applyFont="1" applyFill="1" applyBorder="1" applyAlignment="1"/>
    <xf numFmtId="168" fontId="11" fillId="8" borderId="1" xfId="0" applyNumberFormat="1" applyFont="1" applyFill="1" applyBorder="1" applyAlignment="1">
      <alignment horizontal="center"/>
    </xf>
    <xf numFmtId="168" fontId="11" fillId="8" borderId="2" xfId="0" applyNumberFormat="1" applyFont="1" applyFill="1" applyBorder="1" applyAlignment="1">
      <alignment horizontal="center"/>
    </xf>
    <xf numFmtId="0" fontId="11" fillId="8" borderId="0" xfId="0" applyFont="1" applyFill="1"/>
    <xf numFmtId="1" fontId="17" fillId="0" borderId="36" xfId="0" applyNumberFormat="1" applyFont="1" applyFill="1" applyBorder="1" applyAlignment="1" applyProtection="1">
      <alignment horizontal="center" vertical="center"/>
      <protection locked="0"/>
    </xf>
    <xf numFmtId="1" fontId="18" fillId="0" borderId="6" xfId="0" applyNumberFormat="1" applyFont="1" applyFill="1" applyBorder="1" applyAlignment="1" applyProtection="1">
      <alignment horizontal="center" vertical="center"/>
      <protection locked="0"/>
    </xf>
    <xf numFmtId="166" fontId="12" fillId="7" borderId="36" xfId="0" applyNumberFormat="1" applyFont="1" applyFill="1" applyBorder="1" applyAlignment="1">
      <alignment horizontal="center"/>
    </xf>
    <xf numFmtId="1" fontId="17" fillId="0" borderId="37" xfId="0" applyNumberFormat="1" applyFont="1" applyFill="1" applyBorder="1" applyAlignment="1" applyProtection="1">
      <alignment horizontal="center" vertical="center"/>
      <protection locked="0"/>
    </xf>
    <xf numFmtId="1" fontId="18" fillId="0" borderId="38" xfId="0" applyNumberFormat="1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 wrapText="1"/>
      <protection locked="0"/>
    </xf>
    <xf numFmtId="0" fontId="17" fillId="4" borderId="1" xfId="0" applyFont="1" applyFill="1" applyBorder="1" applyAlignment="1" applyProtection="1">
      <alignment horizontal="left" vertical="center" wrapText="1"/>
      <protection locked="0"/>
    </xf>
    <xf numFmtId="0" fontId="17" fillId="4" borderId="2" xfId="0" applyFont="1" applyFill="1" applyBorder="1" applyAlignment="1" applyProtection="1">
      <alignment horizontal="left" vertical="center" wrapText="1"/>
      <protection locked="0"/>
    </xf>
    <xf numFmtId="1" fontId="22" fillId="0" borderId="37" xfId="0" applyNumberFormat="1" applyFont="1" applyFill="1" applyBorder="1" applyAlignment="1" applyProtection="1">
      <alignment horizontal="center" vertical="center"/>
      <protection locked="0"/>
    </xf>
    <xf numFmtId="1" fontId="22" fillId="0" borderId="39" xfId="0" applyNumberFormat="1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167" fontId="18" fillId="12" borderId="3" xfId="0" applyNumberFormat="1" applyFont="1" applyFill="1" applyBorder="1" applyAlignment="1" applyProtection="1">
      <alignment horizontal="center" vertical="center"/>
      <protection locked="0"/>
    </xf>
    <xf numFmtId="167" fontId="18" fillId="12" borderId="1" xfId="0" applyNumberFormat="1" applyFont="1" applyFill="1" applyBorder="1" applyAlignment="1" applyProtection="1">
      <alignment horizontal="center" vertical="center"/>
      <protection locked="0"/>
    </xf>
    <xf numFmtId="1" fontId="22" fillId="0" borderId="40" xfId="0" applyNumberFormat="1" applyFont="1" applyFill="1" applyBorder="1" applyAlignment="1" applyProtection="1">
      <alignment horizontal="center" vertical="center"/>
      <protection locked="0"/>
    </xf>
    <xf numFmtId="1" fontId="22" fillId="0" borderId="41" xfId="0" applyNumberFormat="1" applyFont="1" applyFill="1" applyBorder="1" applyAlignment="1" applyProtection="1">
      <alignment horizontal="center" vertical="center"/>
      <protection locked="0"/>
    </xf>
    <xf numFmtId="1" fontId="22" fillId="0" borderId="42" xfId="0" applyNumberFormat="1" applyFont="1" applyFill="1" applyBorder="1" applyAlignment="1" applyProtection="1">
      <alignment horizontal="center" vertical="center"/>
      <protection locked="0"/>
    </xf>
    <xf numFmtId="0" fontId="16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169" fontId="18" fillId="4" borderId="1" xfId="1" applyNumberFormat="1" applyFont="1" applyFill="1" applyBorder="1" applyAlignment="1" applyProtection="1">
      <alignment horizontal="center" vertical="center"/>
      <protection locked="0"/>
    </xf>
    <xf numFmtId="167" fontId="18" fillId="4" borderId="1" xfId="0" applyNumberFormat="1" applyFont="1" applyFill="1" applyBorder="1" applyAlignment="1" applyProtection="1">
      <alignment horizontal="center" vertical="center"/>
      <protection locked="0"/>
    </xf>
    <xf numFmtId="168" fontId="18" fillId="4" borderId="1" xfId="1" applyNumberFormat="1" applyFont="1" applyFill="1" applyBorder="1" applyAlignment="1" applyProtection="1">
      <alignment horizontal="center" vertical="center"/>
      <protection locked="0"/>
    </xf>
    <xf numFmtId="168" fontId="18" fillId="4" borderId="1" xfId="0" applyNumberFormat="1" applyFont="1" applyFill="1" applyBorder="1" applyAlignment="1" applyProtection="1">
      <alignment horizontal="center" vertical="center"/>
      <protection locked="0"/>
    </xf>
    <xf numFmtId="168" fontId="18" fillId="4" borderId="2" xfId="0" applyNumberFormat="1" applyFont="1" applyFill="1" applyBorder="1" applyAlignment="1" applyProtection="1">
      <alignment horizontal="center" vertical="center"/>
      <protection locked="0"/>
    </xf>
    <xf numFmtId="1" fontId="18" fillId="12" borderId="1" xfId="0" applyNumberFormat="1" applyFont="1" applyFill="1" applyBorder="1" applyAlignment="1" applyProtection="1">
      <alignment horizontal="center" vertical="center"/>
      <protection locked="0"/>
    </xf>
    <xf numFmtId="1" fontId="18" fillId="14" borderId="1" xfId="1" applyNumberFormat="1" applyFont="1" applyFill="1" applyBorder="1" applyAlignment="1" applyProtection="1">
      <alignment horizontal="center" vertical="center"/>
      <protection locked="0"/>
    </xf>
    <xf numFmtId="1" fontId="18" fillId="14" borderId="1" xfId="0" applyNumberFormat="1" applyFont="1" applyFill="1" applyBorder="1" applyAlignment="1" applyProtection="1">
      <alignment horizontal="center" vertical="center"/>
      <protection locked="0"/>
    </xf>
    <xf numFmtId="1" fontId="18" fillId="14" borderId="2" xfId="0" applyNumberFormat="1" applyFont="1" applyFill="1" applyBorder="1" applyAlignment="1" applyProtection="1">
      <alignment horizontal="center" vertical="center"/>
      <protection locked="0"/>
    </xf>
    <xf numFmtId="0" fontId="4" fillId="8" borderId="2" xfId="0" applyFont="1" applyFill="1" applyBorder="1" applyAlignment="1">
      <alignment horizontal="center" vertical="center"/>
    </xf>
    <xf numFmtId="1" fontId="21" fillId="12" borderId="1" xfId="0" applyNumberFormat="1" applyFont="1" applyFill="1" applyBorder="1" applyAlignment="1" applyProtection="1">
      <alignment horizontal="center" vertical="center"/>
      <protection locked="0"/>
    </xf>
    <xf numFmtId="1" fontId="22" fillId="0" borderId="43" xfId="0" applyNumberFormat="1" applyFont="1" applyFill="1" applyBorder="1" applyAlignment="1" applyProtection="1">
      <alignment horizontal="center" vertical="center"/>
      <protection locked="0"/>
    </xf>
    <xf numFmtId="1" fontId="22" fillId="0" borderId="6" xfId="0" applyNumberFormat="1" applyFont="1" applyFill="1" applyBorder="1" applyAlignment="1" applyProtection="1">
      <alignment horizontal="center" vertical="center"/>
      <protection locked="0"/>
    </xf>
    <xf numFmtId="1" fontId="22" fillId="0" borderId="25" xfId="0" applyNumberFormat="1" applyFont="1" applyFill="1" applyBorder="1" applyAlignment="1" applyProtection="1">
      <alignment horizontal="center" vertical="center"/>
      <protection locked="0"/>
    </xf>
    <xf numFmtId="1" fontId="22" fillId="0" borderId="34" xfId="0" applyNumberFormat="1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left" vertical="center"/>
      <protection locked="0"/>
    </xf>
    <xf numFmtId="0" fontId="18" fillId="4" borderId="4" xfId="0" applyFont="1" applyFill="1" applyBorder="1" applyAlignment="1" applyProtection="1">
      <alignment horizontal="center" vertical="center"/>
      <protection locked="0"/>
    </xf>
    <xf numFmtId="166" fontId="18" fillId="4" borderId="4" xfId="0" applyNumberFormat="1" applyFont="1" applyFill="1" applyBorder="1" applyAlignment="1" applyProtection="1">
      <alignment horizontal="center" vertical="center"/>
      <protection locked="0"/>
    </xf>
    <xf numFmtId="0" fontId="4" fillId="11" borderId="45" xfId="0" applyFont="1" applyFill="1" applyBorder="1" applyAlignment="1">
      <alignment horizontal="center" vertical="center"/>
    </xf>
    <xf numFmtId="166" fontId="20" fillId="11" borderId="46" xfId="0" applyNumberFormat="1" applyFont="1" applyFill="1" applyBorder="1" applyAlignment="1" applyProtection="1">
      <alignment horizontal="center" vertical="center"/>
      <protection locked="0"/>
    </xf>
    <xf numFmtId="167" fontId="21" fillId="12" borderId="1" xfId="0" applyNumberFormat="1" applyFont="1" applyFill="1" applyBorder="1" applyAlignment="1" applyProtection="1">
      <alignment horizontal="center" vertical="center"/>
      <protection locked="0"/>
    </xf>
    <xf numFmtId="0" fontId="4" fillId="11" borderId="47" xfId="0" applyFont="1" applyFill="1" applyBorder="1" applyAlignment="1">
      <alignment horizontal="center" vertical="center"/>
    </xf>
    <xf numFmtId="166" fontId="20" fillId="11" borderId="48" xfId="0" applyNumberFormat="1" applyFont="1" applyFill="1" applyBorder="1" applyAlignment="1" applyProtection="1">
      <alignment horizontal="center" vertical="center"/>
      <protection locked="0"/>
    </xf>
    <xf numFmtId="0" fontId="4" fillId="11" borderId="49" xfId="0" applyFont="1" applyFill="1" applyBorder="1" applyAlignment="1">
      <alignment horizontal="center" vertical="center"/>
    </xf>
    <xf numFmtId="166" fontId="20" fillId="11" borderId="50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>
      <alignment horizontal="center"/>
    </xf>
    <xf numFmtId="0" fontId="18" fillId="4" borderId="39" xfId="0" applyFont="1" applyFill="1" applyBorder="1" applyAlignment="1" applyProtection="1">
      <alignment horizontal="center" vertical="center"/>
      <protection locked="0"/>
    </xf>
    <xf numFmtId="166" fontId="18" fillId="4" borderId="39" xfId="0" applyNumberFormat="1" applyFont="1" applyFill="1" applyBorder="1" applyAlignment="1" applyProtection="1">
      <alignment horizontal="center" vertical="center"/>
      <protection locked="0"/>
    </xf>
    <xf numFmtId="166" fontId="17" fillId="11" borderId="50" xfId="0" applyNumberFormat="1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left" vertical="center" wrapText="1"/>
      <protection locked="0"/>
    </xf>
    <xf numFmtId="0" fontId="11" fillId="0" borderId="27" xfId="0" applyFont="1" applyBorder="1"/>
    <xf numFmtId="1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4" fillId="11" borderId="29" xfId="0" applyFont="1" applyFill="1" applyBorder="1" applyAlignment="1">
      <alignment horizontal="left" vertical="center" wrapText="1"/>
    </xf>
    <xf numFmtId="0" fontId="4" fillId="11" borderId="30" xfId="0" applyFont="1" applyFill="1" applyBorder="1" applyAlignment="1">
      <alignment horizontal="left" vertical="center" wrapText="1"/>
    </xf>
    <xf numFmtId="1" fontId="22" fillId="0" borderId="51" xfId="0" applyNumberFormat="1" applyFont="1" applyFill="1" applyBorder="1" applyAlignment="1" applyProtection="1">
      <alignment horizontal="center" vertical="center"/>
      <protection locked="0"/>
    </xf>
    <xf numFmtId="0" fontId="4" fillId="11" borderId="33" xfId="0" applyFont="1" applyFill="1" applyBorder="1" applyAlignment="1">
      <alignment horizontal="left" vertical="center" wrapText="1"/>
    </xf>
    <xf numFmtId="0" fontId="24" fillId="4" borderId="4" xfId="0" applyFont="1" applyFill="1" applyBorder="1" applyAlignment="1" applyProtection="1">
      <alignment horizontal="center" vertical="center"/>
      <protection locked="0"/>
    </xf>
    <xf numFmtId="164" fontId="18" fillId="4" borderId="4" xfId="1" applyNumberFormat="1" applyFont="1" applyFill="1" applyBorder="1" applyAlignment="1" applyProtection="1">
      <alignment horizontal="left" vertical="center"/>
      <protection locked="0"/>
    </xf>
    <xf numFmtId="3" fontId="21" fillId="12" borderId="3" xfId="0" applyNumberFormat="1" applyFont="1" applyFill="1" applyBorder="1" applyAlignment="1" applyProtection="1">
      <alignment horizontal="center" vertical="center"/>
      <protection locked="0"/>
    </xf>
    <xf numFmtId="3" fontId="18" fillId="12" borderId="3" xfId="0" applyNumberFormat="1" applyFont="1" applyFill="1" applyBorder="1" applyAlignment="1" applyProtection="1">
      <alignment horizontal="center" vertical="center"/>
      <protection locked="0"/>
    </xf>
    <xf numFmtId="3" fontId="18" fillId="12" borderId="1" xfId="0" applyNumberFormat="1" applyFont="1" applyFill="1" applyBorder="1" applyAlignment="1" applyProtection="1">
      <alignment horizontal="center" vertical="center"/>
      <protection locked="0"/>
    </xf>
    <xf numFmtId="166" fontId="17" fillId="11" borderId="46" xfId="0" applyNumberFormat="1" applyFont="1" applyFill="1" applyBorder="1" applyAlignment="1" applyProtection="1">
      <alignment horizontal="center" vertical="center"/>
      <protection locked="0"/>
    </xf>
    <xf numFmtId="166" fontId="17" fillId="11" borderId="48" xfId="0" applyNumberFormat="1" applyFont="1" applyFill="1" applyBorder="1" applyAlignment="1" applyProtection="1">
      <alignment horizontal="center" vertical="center"/>
      <protection locked="0"/>
    </xf>
    <xf numFmtId="0" fontId="12" fillId="4" borderId="16" xfId="0" applyFont="1" applyFill="1" applyBorder="1" applyAlignment="1">
      <alignment horizontal="center"/>
    </xf>
    <xf numFmtId="0" fontId="18" fillId="4" borderId="16" xfId="0" applyFont="1" applyFill="1" applyBorder="1" applyAlignment="1" applyProtection="1">
      <alignment horizontal="center" vertical="center"/>
      <protection locked="0"/>
    </xf>
    <xf numFmtId="166" fontId="18" fillId="4" borderId="16" xfId="0" applyNumberFormat="1" applyFont="1" applyFill="1" applyBorder="1" applyAlignment="1" applyProtection="1">
      <alignment horizontal="center" vertical="center"/>
      <protection locked="0"/>
    </xf>
    <xf numFmtId="3" fontId="18" fillId="4" borderId="1" xfId="0" applyNumberFormat="1" applyFont="1" applyFill="1" applyBorder="1" applyAlignment="1" applyProtection="1">
      <alignment horizontal="center" vertical="center"/>
      <protection locked="0"/>
    </xf>
    <xf numFmtId="3" fontId="18" fillId="4" borderId="1" xfId="1" applyNumberFormat="1" applyFont="1" applyFill="1" applyBorder="1" applyAlignment="1" applyProtection="1">
      <alignment horizontal="center" vertical="center"/>
      <protection locked="0"/>
    </xf>
    <xf numFmtId="3" fontId="18" fillId="4" borderId="2" xfId="0" applyNumberFormat="1" applyFont="1" applyFill="1" applyBorder="1" applyAlignment="1" applyProtection="1">
      <alignment horizontal="center" vertical="center"/>
      <protection locked="0"/>
    </xf>
    <xf numFmtId="0" fontId="4" fillId="11" borderId="52" xfId="0" applyFont="1" applyFill="1" applyBorder="1" applyAlignment="1">
      <alignment horizontal="left" vertical="center" wrapText="1"/>
    </xf>
    <xf numFmtId="0" fontId="4" fillId="11" borderId="53" xfId="0" applyFont="1" applyFill="1" applyBorder="1" applyAlignment="1">
      <alignment horizontal="center" vertical="center"/>
    </xf>
    <xf numFmtId="166" fontId="20" fillId="11" borderId="54" xfId="0" applyNumberFormat="1" applyFont="1" applyFill="1" applyBorder="1" applyAlignment="1" applyProtection="1">
      <alignment horizontal="center" vertical="center"/>
      <protection locked="0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1" fontId="17" fillId="0" borderId="6" xfId="0" applyNumberFormat="1" applyFont="1" applyFill="1" applyBorder="1" applyAlignment="1" applyProtection="1">
      <alignment horizontal="center" vertical="center"/>
      <protection locked="0"/>
    </xf>
    <xf numFmtId="1" fontId="18" fillId="0" borderId="25" xfId="0" applyNumberFormat="1" applyFont="1" applyFill="1" applyBorder="1" applyAlignment="1" applyProtection="1">
      <alignment horizontal="center" vertical="center"/>
      <protection locked="0"/>
    </xf>
    <xf numFmtId="166" fontId="4" fillId="8" borderId="5" xfId="0" applyNumberFormat="1" applyFont="1" applyFill="1" applyBorder="1" applyAlignment="1">
      <alignment horizontal="center" vertical="center"/>
    </xf>
    <xf numFmtId="166" fontId="11" fillId="0" borderId="0" xfId="0" applyNumberFormat="1" applyFont="1"/>
    <xf numFmtId="169" fontId="11" fillId="0" borderId="0" xfId="0" applyNumberFormat="1" applyFont="1"/>
    <xf numFmtId="0" fontId="18" fillId="8" borderId="9" xfId="0" applyFont="1" applyFill="1" applyBorder="1" applyAlignment="1" applyProtection="1">
      <alignment horizontal="left" vertical="center"/>
      <protection locked="0"/>
    </xf>
    <xf numFmtId="0" fontId="18" fillId="8" borderId="5" xfId="0" applyFont="1" applyFill="1" applyBorder="1" applyAlignment="1" applyProtection="1">
      <alignment horizontal="center" vertical="center"/>
      <protection locked="0"/>
    </xf>
    <xf numFmtId="0" fontId="18" fillId="8" borderId="9" xfId="0" applyFont="1" applyFill="1" applyBorder="1" applyAlignment="1" applyProtection="1">
      <alignment horizontal="center" vertical="center"/>
      <protection locked="0"/>
    </xf>
    <xf numFmtId="166" fontId="18" fillId="8" borderId="9" xfId="0" applyNumberFormat="1" applyFont="1" applyFill="1" applyBorder="1" applyAlignment="1" applyProtection="1">
      <alignment horizontal="center" vertical="center"/>
      <protection locked="0"/>
    </xf>
    <xf numFmtId="1" fontId="18" fillId="8" borderId="5" xfId="0" applyNumberFormat="1" applyFont="1" applyFill="1" applyBorder="1" applyAlignment="1" applyProtection="1">
      <alignment horizontal="center" vertical="center"/>
      <protection locked="0"/>
    </xf>
    <xf numFmtId="1" fontId="18" fillId="8" borderId="5" xfId="1" applyNumberFormat="1" applyFont="1" applyFill="1" applyBorder="1" applyAlignment="1" applyProtection="1">
      <alignment horizontal="center" vertical="center"/>
      <protection locked="0"/>
    </xf>
    <xf numFmtId="167" fontId="18" fillId="4" borderId="2" xfId="0" applyNumberFormat="1" applyFont="1" applyFill="1" applyBorder="1" applyAlignment="1" applyProtection="1">
      <alignment horizontal="center" vertical="center"/>
      <protection locked="0"/>
    </xf>
    <xf numFmtId="1" fontId="22" fillId="8" borderId="37" xfId="0" applyNumberFormat="1" applyFont="1" applyFill="1" applyBorder="1" applyAlignment="1" applyProtection="1">
      <alignment horizontal="center" vertical="center"/>
      <protection locked="0"/>
    </xf>
    <xf numFmtId="1" fontId="22" fillId="8" borderId="0" xfId="0" applyNumberFormat="1" applyFont="1" applyFill="1" applyBorder="1" applyAlignment="1" applyProtection="1">
      <alignment horizontal="center" vertical="center"/>
      <protection locked="0"/>
    </xf>
    <xf numFmtId="0" fontId="17" fillId="8" borderId="1" xfId="0" applyFont="1" applyFill="1" applyBorder="1" applyAlignment="1" applyProtection="1">
      <alignment horizontal="left" vertical="center" wrapText="1"/>
      <protection locked="0"/>
    </xf>
    <xf numFmtId="0" fontId="18" fillId="8" borderId="16" xfId="2" applyFont="1" applyFill="1" applyBorder="1" applyAlignment="1" applyProtection="1">
      <alignment horizontal="left" vertical="center"/>
      <protection locked="0"/>
    </xf>
    <xf numFmtId="0" fontId="18" fillId="8" borderId="1" xfId="2" applyFont="1" applyFill="1" applyBorder="1" applyAlignment="1" applyProtection="1">
      <alignment horizontal="center" vertical="center"/>
      <protection locked="0"/>
    </xf>
    <xf numFmtId="0" fontId="18" fillId="8" borderId="16" xfId="2" applyFont="1" applyFill="1" applyBorder="1" applyAlignment="1" applyProtection="1">
      <alignment horizontal="center" vertical="center"/>
      <protection locked="0"/>
    </xf>
    <xf numFmtId="166" fontId="18" fillId="8" borderId="16" xfId="2" applyNumberFormat="1" applyFont="1" applyFill="1" applyBorder="1" applyAlignment="1" applyProtection="1">
      <alignment horizontal="center" vertical="center"/>
      <protection locked="0"/>
    </xf>
    <xf numFmtId="3" fontId="18" fillId="8" borderId="1" xfId="1" applyNumberFormat="1" applyFont="1" applyFill="1" applyBorder="1" applyAlignment="1" applyProtection="1">
      <alignment horizontal="center" vertical="center"/>
      <protection locked="0"/>
    </xf>
    <xf numFmtId="3" fontId="18" fillId="8" borderId="1" xfId="0" applyNumberFormat="1" applyFont="1" applyFill="1" applyBorder="1" applyAlignment="1" applyProtection="1">
      <alignment horizontal="center" vertical="center"/>
      <protection locked="0"/>
    </xf>
    <xf numFmtId="3" fontId="18" fillId="8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34" xfId="0" applyFont="1" applyBorder="1"/>
    <xf numFmtId="0" fontId="12" fillId="0" borderId="35" xfId="0" applyFont="1" applyBorder="1"/>
    <xf numFmtId="166" fontId="17" fillId="4" borderId="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/>
    <xf numFmtId="168" fontId="11" fillId="0" borderId="0" xfId="0" applyNumberFormat="1" applyFont="1"/>
    <xf numFmtId="0" fontId="12" fillId="4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166" fontId="20" fillId="6" borderId="1" xfId="0" applyNumberFormat="1" applyFont="1" applyFill="1" applyBorder="1" applyAlignment="1" applyProtection="1">
      <alignment horizontal="center" vertical="center"/>
      <protection locked="0"/>
    </xf>
    <xf numFmtId="3" fontId="18" fillId="13" borderId="1" xfId="0" applyNumberFormat="1" applyFont="1" applyFill="1" applyBorder="1" applyAlignment="1" applyProtection="1">
      <alignment horizontal="center" vertical="center"/>
      <protection locked="0"/>
    </xf>
    <xf numFmtId="0" fontId="18" fillId="8" borderId="16" xfId="0" applyFont="1" applyFill="1" applyBorder="1" applyAlignment="1" applyProtection="1">
      <alignment horizontal="center" vertical="center"/>
      <protection locked="0"/>
    </xf>
    <xf numFmtId="166" fontId="18" fillId="8" borderId="16" xfId="0" applyNumberFormat="1" applyFont="1" applyFill="1" applyBorder="1" applyAlignment="1" applyProtection="1">
      <alignment horizontal="center" vertical="center"/>
      <protection locked="0"/>
    </xf>
    <xf numFmtId="3" fontId="11" fillId="0" borderId="0" xfId="0" applyNumberFormat="1" applyFont="1"/>
    <xf numFmtId="1" fontId="18" fillId="13" borderId="1" xfId="0" applyNumberFormat="1" applyFont="1" applyFill="1" applyBorder="1" applyAlignment="1" applyProtection="1">
      <alignment horizontal="center" vertical="center"/>
      <protection locked="0"/>
    </xf>
    <xf numFmtId="1" fontId="21" fillId="13" borderId="1" xfId="0" applyNumberFormat="1" applyFont="1" applyFill="1" applyBorder="1" applyAlignment="1" applyProtection="1">
      <alignment horizontal="center" vertical="center"/>
      <protection locked="0"/>
    </xf>
    <xf numFmtId="1" fontId="25" fillId="0" borderId="0" xfId="0" applyNumberFormat="1" applyFont="1" applyFill="1" applyBorder="1" applyAlignment="1" applyProtection="1">
      <alignment horizontal="center" vertical="center"/>
      <protection locked="0"/>
    </xf>
    <xf numFmtId="166" fontId="12" fillId="0" borderId="0" xfId="0" applyNumberFormat="1" applyFont="1" applyAlignment="1">
      <alignment horizontal="center"/>
    </xf>
    <xf numFmtId="0" fontId="0" fillId="0" borderId="35" xfId="0" applyBorder="1"/>
    <xf numFmtId="0" fontId="0" fillId="0" borderId="56" xfId="0" applyBorder="1"/>
    <xf numFmtId="0" fontId="0" fillId="0" borderId="0" xfId="0" applyBorder="1"/>
    <xf numFmtId="0" fontId="0" fillId="0" borderId="57" xfId="0" applyBorder="1"/>
    <xf numFmtId="0" fontId="0" fillId="0" borderId="55" xfId="0" applyBorder="1"/>
    <xf numFmtId="0" fontId="0" fillId="0" borderId="58" xfId="0" applyBorder="1"/>
    <xf numFmtId="0" fontId="0" fillId="0" borderId="15" xfId="0" applyBorder="1"/>
    <xf numFmtId="0" fontId="0" fillId="0" borderId="11" xfId="0" applyBorder="1"/>
    <xf numFmtId="0" fontId="0" fillId="0" borderId="27" xfId="0" applyBorder="1"/>
    <xf numFmtId="0" fontId="0" fillId="0" borderId="14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0" xfId="0" applyFill="1" applyBorder="1"/>
    <xf numFmtId="0" fontId="7" fillId="0" borderId="0" xfId="0" applyFont="1" applyBorder="1"/>
    <xf numFmtId="0" fontId="27" fillId="0" borderId="10" xfId="0" applyFont="1" applyBorder="1"/>
    <xf numFmtId="0" fontId="0" fillId="2" borderId="6" xfId="0" applyFill="1" applyBorder="1"/>
    <xf numFmtId="0" fontId="0" fillId="18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19" borderId="7" xfId="0" applyFill="1" applyBorder="1"/>
    <xf numFmtId="0" fontId="8" fillId="0" borderId="0" xfId="0" applyFont="1" applyBorder="1"/>
    <xf numFmtId="14" fontId="6" fillId="17" borderId="59" xfId="3" applyNumberFormat="1"/>
    <xf numFmtId="0" fontId="6" fillId="17" borderId="59" xfId="3"/>
    <xf numFmtId="0" fontId="6" fillId="17" borderId="59" xfId="3" applyNumberFormat="1"/>
    <xf numFmtId="0" fontId="7" fillId="0" borderId="0" xfId="0" applyFont="1"/>
    <xf numFmtId="0" fontId="12" fillId="0" borderId="1" xfId="0" applyFont="1" applyBorder="1"/>
    <xf numFmtId="0" fontId="12" fillId="0" borderId="2" xfId="0" applyFont="1" applyFill="1" applyBorder="1" applyAlignment="1" applyProtection="1">
      <alignment vertical="center" wrapText="1"/>
      <protection locked="0"/>
    </xf>
    <xf numFmtId="0" fontId="12" fillId="3" borderId="2" xfId="0" applyFont="1" applyFill="1" applyBorder="1" applyAlignment="1" applyProtection="1">
      <alignment vertical="center" wrapText="1"/>
      <protection locked="0"/>
    </xf>
    <xf numFmtId="0" fontId="12" fillId="3" borderId="10" xfId="0" applyFont="1" applyFill="1" applyBorder="1" applyAlignment="1" applyProtection="1">
      <alignment vertical="center" wrapText="1"/>
      <protection locked="0"/>
    </xf>
    <xf numFmtId="0" fontId="4" fillId="3" borderId="12" xfId="0" applyFont="1" applyFill="1" applyBorder="1" applyAlignment="1">
      <alignment vertical="center" wrapText="1"/>
    </xf>
    <xf numFmtId="0" fontId="16" fillId="6" borderId="4" xfId="0" applyFont="1" applyFill="1" applyBorder="1" applyAlignment="1">
      <alignment vertical="center" wrapText="1"/>
    </xf>
    <xf numFmtId="0" fontId="6" fillId="17" borderId="59" xfId="3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7" xfId="0" applyBorder="1"/>
    <xf numFmtId="0" fontId="6" fillId="17" borderId="59" xfId="3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0" fillId="21" borderId="0" xfId="0" applyFill="1" applyBorder="1"/>
    <xf numFmtId="0" fontId="8" fillId="0" borderId="0" xfId="0" applyFont="1"/>
    <xf numFmtId="1" fontId="0" fillId="0" borderId="0" xfId="0" applyNumberFormat="1"/>
    <xf numFmtId="0" fontId="31" fillId="5" borderId="1" xfId="0" applyNumberFormat="1" applyFont="1" applyFill="1" applyBorder="1" applyAlignment="1" applyProtection="1">
      <alignment horizontal="left" vertical="center"/>
      <protection locked="0"/>
    </xf>
    <xf numFmtId="0" fontId="32" fillId="0" borderId="1" xfId="0" applyFont="1" applyBorder="1"/>
    <xf numFmtId="0" fontId="26" fillId="25" borderId="0" xfId="0" applyFont="1" applyFill="1"/>
    <xf numFmtId="0" fontId="6" fillId="25" borderId="0" xfId="0" applyFont="1" applyFill="1"/>
    <xf numFmtId="170" fontId="0" fillId="0" borderId="0" xfId="5" applyNumberFormat="1" applyFont="1"/>
    <xf numFmtId="170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/>
    <xf numFmtId="0" fontId="33" fillId="0" borderId="1" xfId="0" applyFont="1" applyBorder="1" applyAlignment="1">
      <alignment wrapText="1"/>
    </xf>
    <xf numFmtId="0" fontId="33" fillId="0" borderId="1" xfId="0" applyFont="1" applyBorder="1"/>
    <xf numFmtId="4" fontId="37" fillId="0" borderId="1" xfId="6" applyNumberFormat="1" applyFont="1" applyFill="1" applyBorder="1" applyAlignment="1">
      <alignment horizontal="center" vertical="center" textRotation="90" wrapText="1"/>
    </xf>
    <xf numFmtId="0" fontId="37" fillId="0" borderId="1" xfId="6" applyFont="1" applyFill="1" applyBorder="1" applyAlignment="1">
      <alignment horizontal="center" vertical="center" wrapText="1"/>
    </xf>
    <xf numFmtId="43" fontId="37" fillId="0" borderId="1" xfId="5" applyFont="1" applyFill="1" applyBorder="1" applyAlignment="1">
      <alignment horizontal="center" vertical="center" textRotation="90" wrapText="1"/>
    </xf>
    <xf numFmtId="170" fontId="34" fillId="0" borderId="0" xfId="5" applyNumberFormat="1" applyFont="1" applyFill="1" applyAlignment="1">
      <alignment horizontal="center" vertical="center"/>
    </xf>
    <xf numFmtId="170" fontId="34" fillId="0" borderId="0" xfId="5" applyNumberFormat="1" applyFont="1" applyFill="1" applyAlignment="1" applyProtection="1">
      <alignment horizontal="center" vertical="center" wrapText="1"/>
      <protection hidden="1"/>
    </xf>
    <xf numFmtId="170" fontId="34" fillId="0" borderId="0" xfId="5" applyNumberFormat="1" applyFont="1" applyFill="1" applyBorder="1" applyAlignment="1" applyProtection="1">
      <alignment horizontal="center" vertical="center" wrapText="1"/>
      <protection hidden="1"/>
    </xf>
    <xf numFmtId="0" fontId="26" fillId="26" borderId="0" xfId="0" applyFont="1" applyFill="1"/>
    <xf numFmtId="0" fontId="0" fillId="26" borderId="0" xfId="0" applyFill="1"/>
    <xf numFmtId="0" fontId="33" fillId="0" borderId="1" xfId="0" applyFont="1" applyBorder="1" applyAlignment="1"/>
    <xf numFmtId="0" fontId="36" fillId="7" borderId="1" xfId="6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wrapText="1"/>
    </xf>
    <xf numFmtId="0" fontId="9" fillId="26" borderId="0" xfId="0" applyFont="1" applyFill="1"/>
    <xf numFmtId="170" fontId="9" fillId="26" borderId="0" xfId="5" applyNumberFormat="1" applyFont="1" applyFill="1"/>
    <xf numFmtId="0" fontId="0" fillId="0" borderId="0" xfId="0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14" fontId="0" fillId="0" borderId="0" xfId="0" applyNumberFormat="1"/>
    <xf numFmtId="0" fontId="3" fillId="11" borderId="29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31" xfId="0" applyBorder="1"/>
    <xf numFmtId="0" fontId="0" fillId="0" borderId="61" xfId="0" applyBorder="1"/>
    <xf numFmtId="0" fontId="0" fillId="0" borderId="34" xfId="0" applyBorder="1"/>
    <xf numFmtId="0" fontId="28" fillId="20" borderId="60" xfId="4"/>
    <xf numFmtId="0" fontId="28" fillId="20" borderId="62" xfId="4" applyBorder="1"/>
    <xf numFmtId="0" fontId="28" fillId="20" borderId="63" xfId="4" applyBorder="1"/>
    <xf numFmtId="0" fontId="28" fillId="20" borderId="64" xfId="4" applyBorder="1"/>
    <xf numFmtId="0" fontId="28" fillId="20" borderId="65" xfId="4" applyBorder="1"/>
    <xf numFmtId="0" fontId="0" fillId="0" borderId="55" xfId="0" applyBorder="1" applyAlignment="1">
      <alignment horizontal="center" vertical="center"/>
    </xf>
    <xf numFmtId="14" fontId="28" fillId="20" borderId="60" xfId="4" applyNumberFormat="1"/>
    <xf numFmtId="0" fontId="28" fillId="20" borderId="60" xfId="4" applyBorder="1"/>
    <xf numFmtId="14" fontId="28" fillId="20" borderId="62" xfId="4" applyNumberFormat="1" applyBorder="1"/>
    <xf numFmtId="0" fontId="41" fillId="31" borderId="0" xfId="8"/>
    <xf numFmtId="0" fontId="42" fillId="0" borderId="0" xfId="0" applyFont="1"/>
    <xf numFmtId="0" fontId="0" fillId="0" borderId="1" xfId="0" applyNumberFormat="1" applyBorder="1"/>
    <xf numFmtId="0" fontId="0" fillId="0" borderId="0" xfId="0" applyNumberFormat="1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171" fontId="0" fillId="0" borderId="0" xfId="0" applyNumberFormat="1"/>
    <xf numFmtId="0" fontId="28" fillId="20" borderId="70" xfId="4" applyBorder="1"/>
    <xf numFmtId="171" fontId="9" fillId="26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0" fillId="22" borderId="0" xfId="0" applyFill="1"/>
    <xf numFmtId="0" fontId="0" fillId="22" borderId="55" xfId="0" applyFill="1" applyBorder="1"/>
    <xf numFmtId="0" fontId="33" fillId="0" borderId="0" xfId="0" applyNumberFormat="1" applyFont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7" fontId="0" fillId="16" borderId="0" xfId="0" applyNumberFormat="1" applyFill="1" applyAlignment="1">
      <alignment horizontal="center" vertical="center"/>
    </xf>
    <xf numFmtId="9" fontId="0" fillId="16" borderId="0" xfId="9" applyFont="1" applyFill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68" fontId="0" fillId="0" borderId="67" xfId="0" applyNumberFormat="1" applyBorder="1"/>
    <xf numFmtId="168" fontId="0" fillId="0" borderId="1" xfId="0" applyNumberFormat="1" applyBorder="1"/>
    <xf numFmtId="168" fontId="0" fillId="0" borderId="0" xfId="0" applyNumberFormat="1" applyBorder="1"/>
    <xf numFmtId="168" fontId="0" fillId="0" borderId="61" xfId="0" applyNumberFormat="1" applyBorder="1"/>
    <xf numFmtId="168" fontId="0" fillId="0" borderId="0" xfId="0" applyNumberFormat="1"/>
    <xf numFmtId="3" fontId="0" fillId="0" borderId="1" xfId="0" applyNumberFormat="1" applyBorder="1"/>
    <xf numFmtId="0" fontId="7" fillId="0" borderId="11" xfId="0" applyFont="1" applyBorder="1"/>
    <xf numFmtId="0" fontId="41" fillId="29" borderId="14" xfId="0" applyFont="1" applyFill="1" applyBorder="1"/>
    <xf numFmtId="0" fontId="38" fillId="0" borderId="14" xfId="10" applyBorder="1"/>
    <xf numFmtId="0" fontId="7" fillId="0" borderId="4" xfId="0" applyFont="1" applyBorder="1"/>
    <xf numFmtId="0" fontId="0" fillId="0" borderId="39" xfId="0" applyBorder="1" applyAlignment="1">
      <alignment wrapText="1"/>
    </xf>
    <xf numFmtId="0" fontId="6" fillId="29" borderId="39" xfId="0" applyFont="1" applyFill="1" applyBorder="1" applyAlignment="1">
      <alignment wrapText="1"/>
    </xf>
    <xf numFmtId="0" fontId="8" fillId="0" borderId="39" xfId="0" applyFont="1" applyBorder="1" applyAlignment="1">
      <alignment wrapText="1"/>
    </xf>
    <xf numFmtId="0" fontId="0" fillId="0" borderId="16" xfId="0" applyBorder="1" applyAlignment="1">
      <alignment wrapText="1"/>
    </xf>
    <xf numFmtId="9" fontId="0" fillId="0" borderId="14" xfId="9" applyFont="1" applyBorder="1"/>
    <xf numFmtId="3" fontId="0" fillId="0" borderId="14" xfId="0" applyNumberFormat="1" applyBorder="1"/>
    <xf numFmtId="172" fontId="0" fillId="0" borderId="14" xfId="9" applyNumberFormat="1" applyFont="1" applyBorder="1"/>
    <xf numFmtId="0" fontId="7" fillId="0" borderId="5" xfId="0" applyFont="1" applyBorder="1"/>
    <xf numFmtId="0" fontId="6" fillId="25" borderId="6" xfId="0" applyFont="1" applyFill="1" applyBorder="1" applyAlignment="1"/>
    <xf numFmtId="0" fontId="6" fillId="25" borderId="7" xfId="0" applyFont="1" applyFill="1" applyBorder="1" applyAlignment="1"/>
    <xf numFmtId="0" fontId="44" fillId="7" borderId="2" xfId="0" applyFont="1" applyFill="1" applyBorder="1" applyAlignment="1">
      <alignment horizontal="left" vertical="center" indent="2"/>
    </xf>
    <xf numFmtId="0" fontId="0" fillId="7" borderId="5" xfId="0" applyFill="1" applyBorder="1"/>
    <xf numFmtId="0" fontId="0" fillId="7" borderId="3" xfId="0" applyFill="1" applyBorder="1"/>
    <xf numFmtId="0" fontId="43" fillId="32" borderId="2" xfId="12" applyBorder="1"/>
    <xf numFmtId="0" fontId="43" fillId="32" borderId="5" xfId="12" applyBorder="1"/>
    <xf numFmtId="0" fontId="43" fillId="32" borderId="3" xfId="12" applyBorder="1"/>
    <xf numFmtId="0" fontId="0" fillId="33" borderId="0" xfId="0" applyFill="1"/>
    <xf numFmtId="0" fontId="42" fillId="33" borderId="0" xfId="0" applyFont="1" applyFill="1"/>
    <xf numFmtId="0" fontId="0" fillId="22" borderId="34" xfId="0" applyFill="1" applyBorder="1" applyAlignment="1">
      <alignment wrapText="1"/>
    </xf>
    <xf numFmtId="0" fontId="0" fillId="22" borderId="37" xfId="0" applyFill="1" applyBorder="1" applyAlignment="1">
      <alignment wrapText="1"/>
    </xf>
    <xf numFmtId="0" fontId="0" fillId="22" borderId="31" xfId="0" applyFill="1" applyBorder="1" applyAlignment="1">
      <alignment wrapText="1"/>
    </xf>
    <xf numFmtId="168" fontId="0" fillId="23" borderId="56" xfId="0" applyNumberFormat="1" applyFill="1" applyBorder="1"/>
    <xf numFmtId="168" fontId="0" fillId="23" borderId="57" xfId="0" applyNumberFormat="1" applyFill="1" applyBorder="1"/>
    <xf numFmtId="172" fontId="0" fillId="23" borderId="57" xfId="9" applyNumberFormat="1" applyFont="1" applyFill="1" applyBorder="1"/>
    <xf numFmtId="168" fontId="0" fillId="23" borderId="58" xfId="0" applyNumberFormat="1" applyFill="1" applyBorder="1"/>
    <xf numFmtId="0" fontId="0" fillId="34" borderId="35" xfId="0" applyFill="1" applyBorder="1"/>
    <xf numFmtId="0" fontId="0" fillId="34" borderId="0" xfId="0" applyFill="1" applyBorder="1"/>
    <xf numFmtId="0" fontId="0" fillId="34" borderId="55" xfId="0" applyFill="1" applyBorder="1"/>
    <xf numFmtId="0" fontId="0" fillId="0" borderId="4" xfId="0" applyBorder="1"/>
    <xf numFmtId="0" fontId="46" fillId="0" borderId="1" xfId="0" applyFont="1" applyBorder="1"/>
    <xf numFmtId="4" fontId="0" fillId="0" borderId="1" xfId="0" applyNumberFormat="1" applyBorder="1"/>
    <xf numFmtId="0" fontId="45" fillId="0" borderId="1" xfId="0" applyFont="1" applyBorder="1"/>
    <xf numFmtId="0" fontId="46" fillId="0" borderId="0" xfId="0" applyFont="1" applyFill="1" applyBorder="1"/>
    <xf numFmtId="0" fontId="47" fillId="29" borderId="0" xfId="0" applyFont="1" applyFill="1"/>
    <xf numFmtId="0" fontId="48" fillId="29" borderId="0" xfId="0" applyFont="1" applyFill="1"/>
    <xf numFmtId="0" fontId="0" fillId="30" borderId="0" xfId="0" applyFill="1"/>
    <xf numFmtId="0" fontId="0" fillId="30" borderId="71" xfId="0" applyFill="1" applyBorder="1"/>
    <xf numFmtId="170" fontId="0" fillId="30" borderId="72" xfId="5" applyNumberFormat="1" applyFont="1" applyFill="1" applyBorder="1"/>
    <xf numFmtId="170" fontId="8" fillId="30" borderId="71" xfId="5" applyNumberFormat="1" applyFont="1" applyFill="1" applyBorder="1"/>
    <xf numFmtId="170" fontId="8" fillId="30" borderId="72" xfId="5" applyNumberFormat="1" applyFont="1" applyFill="1" applyBorder="1"/>
    <xf numFmtId="170" fontId="7" fillId="30" borderId="71" xfId="5" applyNumberFormat="1" applyFont="1" applyFill="1" applyBorder="1"/>
    <xf numFmtId="0" fontId="7" fillId="30" borderId="71" xfId="0" applyFont="1" applyFill="1" applyBorder="1"/>
    <xf numFmtId="0" fontId="7" fillId="30" borderId="72" xfId="0" applyFont="1" applyFill="1" applyBorder="1"/>
    <xf numFmtId="170" fontId="49" fillId="30" borderId="0" xfId="5" applyNumberFormat="1" applyFont="1" applyFill="1"/>
    <xf numFmtId="0" fontId="7" fillId="30" borderId="71" xfId="0" applyFont="1" applyFill="1" applyBorder="1" applyAlignment="1">
      <alignment horizontal="left" indent="2"/>
    </xf>
    <xf numFmtId="0" fontId="0" fillId="30" borderId="0" xfId="0" applyFill="1" applyBorder="1" applyAlignment="1">
      <alignment horizontal="center" vertical="center"/>
    </xf>
    <xf numFmtId="0" fontId="0" fillId="28" borderId="0" xfId="0" applyFill="1"/>
    <xf numFmtId="0" fontId="0" fillId="28" borderId="71" xfId="0" applyFill="1" applyBorder="1"/>
    <xf numFmtId="0" fontId="7" fillId="28" borderId="71" xfId="0" applyFont="1" applyFill="1" applyBorder="1" applyAlignment="1">
      <alignment horizontal="left" indent="2"/>
    </xf>
    <xf numFmtId="0" fontId="0" fillId="28" borderId="0" xfId="0" applyFill="1" applyBorder="1" applyAlignment="1">
      <alignment horizontal="center" vertical="center"/>
    </xf>
    <xf numFmtId="170" fontId="0" fillId="28" borderId="72" xfId="5" applyNumberFormat="1" applyFont="1" applyFill="1" applyBorder="1"/>
    <xf numFmtId="0" fontId="7" fillId="28" borderId="71" xfId="0" applyFont="1" applyFill="1" applyBorder="1"/>
    <xf numFmtId="0" fontId="7" fillId="28" borderId="72" xfId="0" applyFont="1" applyFill="1" applyBorder="1"/>
    <xf numFmtId="170" fontId="8" fillId="28" borderId="71" xfId="5" applyNumberFormat="1" applyFont="1" applyFill="1" applyBorder="1"/>
    <xf numFmtId="170" fontId="8" fillId="28" borderId="72" xfId="5" applyNumberFormat="1" applyFont="1" applyFill="1" applyBorder="1"/>
    <xf numFmtId="170" fontId="7" fillId="28" borderId="71" xfId="5" applyNumberFormat="1" applyFont="1" applyFill="1" applyBorder="1"/>
    <xf numFmtId="170" fontId="49" fillId="28" borderId="0" xfId="5" applyNumberFormat="1" applyFont="1" applyFill="1"/>
    <xf numFmtId="0" fontId="9" fillId="35" borderId="0" xfId="0" applyFont="1" applyFill="1"/>
    <xf numFmtId="0" fontId="9" fillId="35" borderId="0" xfId="0" applyFont="1" applyFill="1" applyBorder="1" applyAlignment="1">
      <alignment horizontal="center" vertical="center"/>
    </xf>
    <xf numFmtId="0" fontId="50" fillId="35" borderId="0" xfId="0" applyFont="1" applyFill="1" applyBorder="1" applyAlignment="1">
      <alignment horizontal="left" indent="2"/>
    </xf>
    <xf numFmtId="0" fontId="50" fillId="35" borderId="0" xfId="0" applyFont="1" applyFill="1" applyBorder="1"/>
    <xf numFmtId="0" fontId="9" fillId="35" borderId="0" xfId="0" applyFont="1" applyFill="1" applyBorder="1"/>
    <xf numFmtId="170" fontId="9" fillId="35" borderId="0" xfId="5" applyNumberFormat="1" applyFont="1" applyFill="1" applyBorder="1"/>
    <xf numFmtId="170" fontId="51" fillId="35" borderId="0" xfId="5" applyNumberFormat="1" applyFont="1" applyFill="1" applyBorder="1"/>
    <xf numFmtId="170" fontId="50" fillId="35" borderId="0" xfId="5" applyNumberFormat="1" applyFont="1" applyFill="1" applyBorder="1"/>
    <xf numFmtId="170" fontId="52" fillId="35" borderId="0" xfId="5" applyNumberFormat="1" applyFont="1" applyFill="1" applyBorder="1"/>
    <xf numFmtId="0" fontId="26" fillId="35" borderId="0" xfId="0" applyFont="1" applyFill="1" applyBorder="1"/>
    <xf numFmtId="170" fontId="50" fillId="35" borderId="0" xfId="0" applyNumberFormat="1" applyFont="1" applyFill="1" applyBorder="1"/>
    <xf numFmtId="2" fontId="7" fillId="30" borderId="71" xfId="0" applyNumberFormat="1" applyFont="1" applyFill="1" applyBorder="1"/>
    <xf numFmtId="2" fontId="7" fillId="28" borderId="71" xfId="0" applyNumberFormat="1" applyFont="1" applyFill="1" applyBorder="1"/>
    <xf numFmtId="0" fontId="9" fillId="36" borderId="0" xfId="0" applyFont="1" applyFill="1"/>
    <xf numFmtId="0" fontId="50" fillId="36" borderId="0" xfId="0" applyFont="1" applyFill="1" applyBorder="1" applyAlignment="1">
      <alignment horizontal="left" indent="2"/>
    </xf>
    <xf numFmtId="0" fontId="9" fillId="36" borderId="0" xfId="0" applyFont="1" applyFill="1" applyBorder="1" applyAlignment="1">
      <alignment horizontal="center" vertical="center"/>
    </xf>
    <xf numFmtId="0" fontId="9" fillId="36" borderId="0" xfId="0" applyFont="1" applyFill="1" applyBorder="1"/>
    <xf numFmtId="170" fontId="9" fillId="36" borderId="0" xfId="5" applyNumberFormat="1" applyFont="1" applyFill="1" applyBorder="1"/>
    <xf numFmtId="0" fontId="50" fillId="36" borderId="0" xfId="0" applyFont="1" applyFill="1" applyBorder="1"/>
    <xf numFmtId="170" fontId="51" fillId="36" borderId="0" xfId="5" applyNumberFormat="1" applyFont="1" applyFill="1" applyBorder="1"/>
    <xf numFmtId="170" fontId="50" fillId="36" borderId="0" xfId="5" applyNumberFormat="1" applyFont="1" applyFill="1" applyBorder="1"/>
    <xf numFmtId="170" fontId="52" fillId="36" borderId="0" xfId="5" applyNumberFormat="1" applyFont="1" applyFill="1" applyBorder="1"/>
    <xf numFmtId="0" fontId="53" fillId="36" borderId="0" xfId="0" applyFont="1" applyFill="1" applyBorder="1"/>
    <xf numFmtId="170" fontId="54" fillId="36" borderId="0" xfId="0" applyNumberFormat="1" applyFont="1" applyFill="1" applyBorder="1"/>
    <xf numFmtId="0" fontId="7" fillId="30" borderId="71" xfId="0" applyFont="1" applyFill="1" applyBorder="1" applyAlignment="1">
      <alignment horizontal="center"/>
    </xf>
    <xf numFmtId="170" fontId="0" fillId="30" borderId="72" xfId="5" applyNumberFormat="1" applyFont="1" applyFill="1" applyBorder="1" applyAlignment="1">
      <alignment vertical="center"/>
    </xf>
    <xf numFmtId="0" fontId="0" fillId="30" borderId="0" xfId="0" applyFill="1" applyBorder="1"/>
    <xf numFmtId="0" fontId="0" fillId="30" borderId="77" xfId="0" applyFill="1" applyBorder="1"/>
    <xf numFmtId="0" fontId="0" fillId="30" borderId="78" xfId="0" applyFill="1" applyBorder="1"/>
    <xf numFmtId="0" fontId="0" fillId="30" borderId="81" xfId="0" applyFill="1" applyBorder="1" applyAlignment="1">
      <alignment vertical="center"/>
    </xf>
    <xf numFmtId="170" fontId="0" fillId="30" borderId="82" xfId="5" applyNumberFormat="1" applyFont="1" applyFill="1" applyBorder="1" applyAlignment="1">
      <alignment vertical="center"/>
    </xf>
    <xf numFmtId="170" fontId="8" fillId="30" borderId="78" xfId="5" applyNumberFormat="1" applyFont="1" applyFill="1" applyBorder="1"/>
    <xf numFmtId="170" fontId="8" fillId="30" borderId="83" xfId="5" applyNumberFormat="1" applyFont="1" applyFill="1" applyBorder="1"/>
    <xf numFmtId="170" fontId="8" fillId="30" borderId="77" xfId="5" applyNumberFormat="1" applyFont="1" applyFill="1" applyBorder="1"/>
    <xf numFmtId="170" fontId="0" fillId="37" borderId="81" xfId="5" applyNumberFormat="1" applyFont="1" applyFill="1" applyBorder="1" applyAlignment="1">
      <alignment vertical="center"/>
    </xf>
    <xf numFmtId="0" fontId="7" fillId="30" borderId="72" xfId="0" applyFont="1" applyFill="1" applyBorder="1" applyAlignment="1">
      <alignment horizontal="center"/>
    </xf>
    <xf numFmtId="0" fontId="7" fillId="30" borderId="0" xfId="0" applyFont="1" applyFill="1" applyBorder="1" applyAlignment="1">
      <alignment horizontal="center"/>
    </xf>
    <xf numFmtId="170" fontId="55" fillId="36" borderId="0" xfId="0" applyNumberFormat="1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30" borderId="86" xfId="0" applyFill="1" applyBorder="1"/>
    <xf numFmtId="0" fontId="0" fillId="30" borderId="84" xfId="0" applyFill="1" applyBorder="1"/>
    <xf numFmtId="170" fontId="8" fillId="30" borderId="84" xfId="5" applyNumberFormat="1" applyFont="1" applyFill="1" applyBorder="1" applyAlignment="1">
      <alignment vertical="center"/>
    </xf>
    <xf numFmtId="0" fontId="7" fillId="30" borderId="84" xfId="0" applyFont="1" applyFill="1" applyBorder="1" applyAlignment="1">
      <alignment horizontal="center" vertical="center"/>
    </xf>
    <xf numFmtId="0" fontId="2" fillId="30" borderId="84" xfId="0" applyFont="1" applyFill="1" applyBorder="1" applyAlignment="1">
      <alignment horizontal="center" vertical="center"/>
    </xf>
    <xf numFmtId="0" fontId="56" fillId="40" borderId="84" xfId="0" applyFont="1" applyFill="1" applyBorder="1" applyAlignment="1">
      <alignment horizontal="center" vertical="center" wrapText="1"/>
    </xf>
    <xf numFmtId="0" fontId="56" fillId="40" borderId="79" xfId="0" applyFont="1" applyFill="1" applyBorder="1" applyAlignment="1">
      <alignment horizontal="center" vertical="center" wrapText="1"/>
    </xf>
    <xf numFmtId="0" fontId="59" fillId="40" borderId="79" xfId="0" applyFont="1" applyFill="1" applyBorder="1" applyAlignment="1">
      <alignment horizontal="center" vertical="center" wrapText="1"/>
    </xf>
    <xf numFmtId="0" fontId="58" fillId="40" borderId="79" xfId="0" applyFont="1" applyFill="1" applyBorder="1" applyAlignment="1">
      <alignment horizontal="center" vertical="center" wrapText="1"/>
    </xf>
    <xf numFmtId="0" fontId="58" fillId="40" borderId="87" xfId="0" applyFont="1" applyFill="1" applyBorder="1" applyAlignment="1">
      <alignment horizontal="center" vertical="center" wrapText="1"/>
    </xf>
    <xf numFmtId="0" fontId="0" fillId="28" borderId="0" xfId="0" applyFill="1" applyBorder="1"/>
    <xf numFmtId="170" fontId="0" fillId="28" borderId="88" xfId="5" applyNumberFormat="1" applyFont="1" applyFill="1" applyBorder="1"/>
    <xf numFmtId="170" fontId="7" fillId="28" borderId="89" xfId="5" applyNumberFormat="1" applyFont="1" applyFill="1" applyBorder="1"/>
    <xf numFmtId="0" fontId="7" fillId="28" borderId="88" xfId="0" applyFont="1" applyFill="1" applyBorder="1" applyAlignment="1">
      <alignment horizontal="left" indent="2"/>
    </xf>
    <xf numFmtId="173" fontId="9" fillId="26" borderId="0" xfId="0" applyNumberFormat="1" applyFont="1" applyFill="1" applyAlignment="1">
      <alignment horizontal="center" vertical="center"/>
    </xf>
    <xf numFmtId="170" fontId="7" fillId="16" borderId="0" xfId="5" applyNumberFormat="1" applyFont="1" applyFill="1" applyAlignment="1">
      <alignment horizontal="center" vertical="center"/>
    </xf>
    <xf numFmtId="170" fontId="1" fillId="16" borderId="0" xfId="5" applyNumberFormat="1" applyFont="1" applyFill="1" applyAlignment="1">
      <alignment horizontal="center" vertical="center"/>
    </xf>
    <xf numFmtId="174" fontId="1" fillId="16" borderId="0" xfId="5" applyNumberFormat="1" applyFont="1" applyFill="1" applyAlignment="1">
      <alignment horizontal="center" vertical="center"/>
    </xf>
    <xf numFmtId="170" fontId="1" fillId="15" borderId="0" xfId="5" applyNumberFormat="1" applyFont="1" applyFill="1" applyAlignment="1">
      <alignment horizontal="center" vertical="center"/>
    </xf>
    <xf numFmtId="174" fontId="0" fillId="16" borderId="0" xfId="5" applyNumberFormat="1" applyFont="1" applyFill="1" applyAlignment="1">
      <alignment horizontal="center" vertical="center"/>
    </xf>
    <xf numFmtId="174" fontId="1" fillId="15" borderId="0" xfId="5" applyNumberFormat="1" applyFont="1" applyFill="1" applyAlignment="1">
      <alignment horizontal="center" vertical="center"/>
    </xf>
    <xf numFmtId="43" fontId="1" fillId="15" borderId="0" xfId="5" applyNumberFormat="1" applyFont="1" applyFill="1" applyAlignment="1">
      <alignment horizontal="center" vertical="center"/>
    </xf>
    <xf numFmtId="0" fontId="7" fillId="16" borderId="0" xfId="0" applyFont="1" applyFill="1" applyAlignment="1">
      <alignment vertical="top"/>
    </xf>
    <xf numFmtId="0" fontId="7" fillId="15" borderId="0" xfId="0" applyFont="1" applyFill="1" applyAlignment="1">
      <alignment vertical="top"/>
    </xf>
    <xf numFmtId="0" fontId="0" fillId="0" borderId="0" xfId="0" applyAlignment="1"/>
    <xf numFmtId="0" fontId="1" fillId="15" borderId="0" xfId="0" applyFont="1" applyFill="1" applyAlignment="1">
      <alignment vertical="top"/>
    </xf>
    <xf numFmtId="0" fontId="1" fillId="16" borderId="0" xfId="0" applyFont="1" applyFill="1" applyAlignment="1">
      <alignment vertical="top"/>
    </xf>
    <xf numFmtId="168" fontId="0" fillId="0" borderId="0" xfId="0" applyNumberFormat="1" applyFill="1" applyBorder="1"/>
    <xf numFmtId="0" fontId="0" fillId="13" borderId="39" xfId="0" applyFill="1" applyBorder="1" applyAlignment="1">
      <alignment wrapText="1"/>
    </xf>
    <xf numFmtId="0" fontId="0" fillId="13" borderId="14" xfId="0" applyFill="1" applyBorder="1"/>
    <xf numFmtId="3" fontId="0" fillId="13" borderId="14" xfId="0" applyNumberFormat="1" applyFill="1" applyBorder="1"/>
    <xf numFmtId="2" fontId="0" fillId="16" borderId="0" xfId="0" applyNumberFormat="1" applyFill="1" applyAlignment="1">
      <alignment horizontal="center" vertical="center"/>
    </xf>
    <xf numFmtId="170" fontId="9" fillId="26" borderId="0" xfId="0" applyNumberFormat="1" applyFont="1" applyFill="1"/>
    <xf numFmtId="0" fontId="59" fillId="0" borderId="0" xfId="0" applyFont="1"/>
    <xf numFmtId="0" fontId="61" fillId="0" borderId="0" xfId="0" applyFont="1"/>
    <xf numFmtId="0" fontId="56" fillId="0" borderId="0" xfId="0" applyFont="1"/>
    <xf numFmtId="0" fontId="62" fillId="0" borderId="0" xfId="0" applyFont="1"/>
    <xf numFmtId="0" fontId="0" fillId="0" borderId="0" xfId="0" applyAlignment="1">
      <alignment horizontal="right"/>
    </xf>
    <xf numFmtId="0" fontId="59" fillId="0" borderId="0" xfId="0" applyFont="1" applyAlignment="1">
      <alignment horizontal="right"/>
    </xf>
    <xf numFmtId="170" fontId="7" fillId="28" borderId="92" xfId="5" applyNumberFormat="1" applyFont="1" applyFill="1" applyBorder="1"/>
    <xf numFmtId="0" fontId="63" fillId="41" borderId="0" xfId="0" applyFont="1" applyFill="1"/>
    <xf numFmtId="0" fontId="64" fillId="41" borderId="0" xfId="0" applyFont="1" applyFill="1"/>
    <xf numFmtId="14" fontId="63" fillId="41" borderId="0" xfId="0" applyNumberFormat="1" applyFont="1" applyFill="1"/>
    <xf numFmtId="0" fontId="0" fillId="42" borderId="84" xfId="0" applyFill="1" applyBorder="1"/>
    <xf numFmtId="14" fontId="0" fillId="42" borderId="84" xfId="0" applyNumberFormat="1" applyFill="1" applyBorder="1"/>
    <xf numFmtId="0" fontId="0" fillId="43" borderId="0" xfId="0" applyFill="1"/>
    <xf numFmtId="0" fontId="7" fillId="43" borderId="0" xfId="0" applyFont="1" applyFill="1"/>
    <xf numFmtId="0" fontId="58" fillId="40" borderId="76" xfId="0" applyFont="1" applyFill="1" applyBorder="1" applyAlignment="1">
      <alignment horizontal="center" vertical="center" wrapText="1"/>
    </xf>
    <xf numFmtId="0" fontId="58" fillId="40" borderId="93" xfId="0" applyFont="1" applyFill="1" applyBorder="1" applyAlignment="1">
      <alignment horizontal="center" vertical="center" wrapText="1"/>
    </xf>
    <xf numFmtId="0" fontId="0" fillId="21" borderId="84" xfId="0" applyFill="1" applyBorder="1" applyAlignment="1">
      <alignment horizontal="left"/>
    </xf>
    <xf numFmtId="0" fontId="0" fillId="21" borderId="84" xfId="0" applyFill="1" applyBorder="1"/>
    <xf numFmtId="0" fontId="0" fillId="28" borderId="84" xfId="0" applyFill="1" applyBorder="1"/>
    <xf numFmtId="17" fontId="0" fillId="28" borderId="84" xfId="0" applyNumberFormat="1" applyFill="1" applyBorder="1" applyAlignment="1">
      <alignment horizontal="left"/>
    </xf>
    <xf numFmtId="3" fontId="0" fillId="6" borderId="84" xfId="0" applyNumberFormat="1" applyFill="1" applyBorder="1"/>
    <xf numFmtId="3" fontId="0" fillId="45" borderId="84" xfId="0" applyNumberFormat="1" applyFill="1" applyBorder="1"/>
    <xf numFmtId="3" fontId="0" fillId="44" borderId="84" xfId="0" applyNumberFormat="1" applyFill="1" applyBorder="1"/>
    <xf numFmtId="3" fontId="0" fillId="0" borderId="0" xfId="0" applyNumberFormat="1"/>
    <xf numFmtId="0" fontId="56" fillId="40" borderId="86" xfId="0" applyFont="1" applyFill="1" applyBorder="1" applyAlignment="1">
      <alignment vertical="center" wrapText="1"/>
    </xf>
    <xf numFmtId="0" fontId="0" fillId="25" borderId="0" xfId="0" applyFill="1"/>
    <xf numFmtId="170" fontId="57" fillId="36" borderId="0" xfId="0" applyNumberFormat="1" applyFont="1" applyFill="1" applyBorder="1"/>
    <xf numFmtId="17" fontId="0" fillId="34" borderId="84" xfId="0" applyNumberFormat="1" applyFill="1" applyBorder="1"/>
    <xf numFmtId="0" fontId="0" fillId="34" borderId="84" xfId="0" applyFill="1" applyBorder="1"/>
    <xf numFmtId="0" fontId="0" fillId="46" borderId="84" xfId="0" applyFill="1" applyBorder="1"/>
    <xf numFmtId="3" fontId="0" fillId="46" borderId="84" xfId="0" applyNumberFormat="1" applyFill="1" applyBorder="1"/>
    <xf numFmtId="0" fontId="7" fillId="46" borderId="84" xfId="0" applyFont="1" applyFill="1" applyBorder="1"/>
    <xf numFmtId="0" fontId="0" fillId="47" borderId="84" xfId="0" applyFill="1" applyBorder="1"/>
    <xf numFmtId="0" fontId="0" fillId="47" borderId="84" xfId="0" applyFill="1" applyBorder="1" applyAlignment="1">
      <alignment horizontal="right"/>
    </xf>
    <xf numFmtId="0" fontId="0" fillId="40" borderId="0" xfId="0" applyFill="1"/>
    <xf numFmtId="0" fontId="42" fillId="40" borderId="0" xfId="0" applyFont="1" applyFill="1"/>
    <xf numFmtId="3" fontId="66" fillId="40" borderId="0" xfId="0" applyNumberFormat="1" applyFont="1" applyFill="1"/>
    <xf numFmtId="0" fontId="67" fillId="47" borderId="84" xfId="0" applyFont="1" applyFill="1" applyBorder="1"/>
    <xf numFmtId="0" fontId="42" fillId="47" borderId="84" xfId="0" applyFont="1" applyFill="1" applyBorder="1"/>
    <xf numFmtId="0" fontId="9" fillId="30" borderId="71" xfId="0" applyFont="1" applyFill="1" applyBorder="1"/>
    <xf numFmtId="0" fontId="68" fillId="40" borderId="0" xfId="0" applyFont="1" applyFill="1"/>
    <xf numFmtId="0" fontId="42" fillId="40" borderId="0" xfId="0" applyFont="1" applyFill="1" applyAlignment="1">
      <alignment horizontal="right"/>
    </xf>
    <xf numFmtId="3" fontId="7" fillId="30" borderId="71" xfId="0" applyNumberFormat="1" applyFont="1" applyFill="1" applyBorder="1" applyAlignment="1">
      <alignment horizontal="center"/>
    </xf>
    <xf numFmtId="10" fontId="0" fillId="37" borderId="81" xfId="9" applyNumberFormat="1" applyFont="1" applyFill="1" applyBorder="1" applyAlignment="1">
      <alignment vertical="center"/>
    </xf>
    <xf numFmtId="0" fontId="69" fillId="40" borderId="0" xfId="0" applyFont="1" applyFill="1"/>
    <xf numFmtId="0" fontId="7" fillId="0" borderId="0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6" fillId="17" borderId="59" xfId="3" applyNumberFormat="1" applyAlignment="1">
      <alignment horizontal="center"/>
    </xf>
    <xf numFmtId="0" fontId="28" fillId="20" borderId="60" xfId="4" applyAlignment="1">
      <alignment horizontal="center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11" xfId="0" applyFont="1" applyFill="1" applyBorder="1" applyAlignment="1" applyProtection="1">
      <alignment horizontal="center" vertical="center" wrapText="1"/>
      <protection locked="0"/>
    </xf>
    <xf numFmtId="0" fontId="12" fillId="3" borderId="13" xfId="0" applyFont="1" applyFill="1" applyBorder="1" applyAlignment="1" applyProtection="1">
      <alignment horizontal="center" vertical="center" wrapText="1"/>
      <protection locked="0"/>
    </xf>
    <xf numFmtId="0" fontId="12" fillId="3" borderId="4" xfId="0" applyFont="1" applyFill="1" applyBorder="1" applyAlignment="1" applyProtection="1">
      <alignment horizontal="center" vertical="center" wrapText="1"/>
      <protection locked="0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0" fillId="42" borderId="94" xfId="0" applyFill="1" applyBorder="1" applyAlignment="1">
      <alignment horizontal="center" vertical="center"/>
    </xf>
    <xf numFmtId="0" fontId="0" fillId="42" borderId="79" xfId="0" applyFill="1" applyBorder="1" applyAlignment="1">
      <alignment horizontal="center" vertical="center"/>
    </xf>
    <xf numFmtId="170" fontId="6" fillId="17" borderId="73" xfId="3" applyNumberFormat="1" applyBorder="1" applyAlignment="1">
      <alignment horizontal="center" vertical="center"/>
    </xf>
    <xf numFmtId="0" fontId="6" fillId="17" borderId="74" xfId="3" applyBorder="1" applyAlignment="1">
      <alignment horizontal="center" vertical="center"/>
    </xf>
    <xf numFmtId="0" fontId="0" fillId="42" borderId="94" xfId="0" applyFill="1" applyBorder="1" applyAlignment="1">
      <alignment horizontal="center" vertical="center" wrapText="1"/>
    </xf>
    <xf numFmtId="0" fontId="0" fillId="42" borderId="79" xfId="0" applyFill="1" applyBorder="1" applyAlignment="1">
      <alignment horizontal="center" vertical="center" wrapText="1"/>
    </xf>
    <xf numFmtId="0" fontId="6" fillId="17" borderId="73" xfId="3" applyBorder="1" applyAlignment="1">
      <alignment horizontal="center" vertical="center"/>
    </xf>
    <xf numFmtId="0" fontId="7" fillId="30" borderId="76" xfId="0" applyFont="1" applyFill="1" applyBorder="1" applyAlignment="1">
      <alignment horizontal="center" vertical="center"/>
    </xf>
    <xf numFmtId="0" fontId="7" fillId="30" borderId="79" xfId="0" applyFont="1" applyFill="1" applyBorder="1" applyAlignment="1">
      <alignment horizontal="center" vertical="center"/>
    </xf>
    <xf numFmtId="0" fontId="0" fillId="30" borderId="75" xfId="0" applyFill="1" applyBorder="1" applyAlignment="1">
      <alignment horizontal="center" vertical="center"/>
    </xf>
    <xf numFmtId="0" fontId="0" fillId="30" borderId="80" xfId="0" applyFill="1" applyBorder="1" applyAlignment="1">
      <alignment horizontal="center" vertical="center"/>
    </xf>
    <xf numFmtId="0" fontId="65" fillId="40" borderId="87" xfId="0" applyFont="1" applyFill="1" applyBorder="1" applyAlignment="1">
      <alignment horizontal="center" vertical="center" wrapText="1"/>
    </xf>
    <xf numFmtId="0" fontId="65" fillId="40" borderId="78" xfId="0" applyFont="1" applyFill="1" applyBorder="1" applyAlignment="1">
      <alignment horizontal="center" vertical="center" wrapText="1"/>
    </xf>
    <xf numFmtId="0" fontId="26" fillId="39" borderId="84" xfId="0" applyFont="1" applyFill="1" applyBorder="1" applyAlignment="1">
      <alignment horizontal="center" vertical="center"/>
    </xf>
    <xf numFmtId="0" fontId="0" fillId="38" borderId="84" xfId="0" applyFill="1" applyBorder="1" applyAlignment="1">
      <alignment horizontal="center"/>
    </xf>
    <xf numFmtId="0" fontId="60" fillId="39" borderId="84" xfId="0" applyFont="1" applyFill="1" applyBorder="1" applyAlignment="1">
      <alignment horizontal="center"/>
    </xf>
    <xf numFmtId="0" fontId="60" fillId="39" borderId="85" xfId="0" applyFont="1" applyFill="1" applyBorder="1" applyAlignment="1">
      <alignment horizontal="center"/>
    </xf>
    <xf numFmtId="0" fontId="56" fillId="40" borderId="87" xfId="0" applyFont="1" applyFill="1" applyBorder="1" applyAlignment="1">
      <alignment horizontal="center" vertical="center" wrapText="1"/>
    </xf>
    <xf numFmtId="0" fontId="56" fillId="40" borderId="78" xfId="0" applyFont="1" applyFill="1" applyBorder="1" applyAlignment="1">
      <alignment horizontal="center" vertical="center" wrapText="1"/>
    </xf>
    <xf numFmtId="0" fontId="39" fillId="27" borderId="1" xfId="0" applyFont="1" applyFill="1" applyBorder="1" applyAlignment="1">
      <alignment horizontal="center"/>
    </xf>
    <xf numFmtId="0" fontId="33" fillId="7" borderId="2" xfId="0" applyFont="1" applyFill="1" applyBorder="1" applyAlignment="1">
      <alignment horizontal="center" wrapText="1"/>
    </xf>
    <xf numFmtId="0" fontId="33" fillId="7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7" fillId="24" borderId="2" xfId="0" applyFont="1" applyFill="1" applyBorder="1" applyAlignment="1">
      <alignment horizontal="center" wrapText="1"/>
    </xf>
    <xf numFmtId="0" fontId="7" fillId="24" borderId="5" xfId="0" applyFont="1" applyFill="1" applyBorder="1" applyAlignment="1">
      <alignment horizontal="center" wrapText="1"/>
    </xf>
    <xf numFmtId="0" fontId="7" fillId="24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36" fillId="7" borderId="1" xfId="6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top" wrapText="1"/>
    </xf>
    <xf numFmtId="0" fontId="7" fillId="24" borderId="4" xfId="0" applyFont="1" applyFill="1" applyBorder="1" applyAlignment="1">
      <alignment horizontal="center" vertical="top" wrapText="1"/>
    </xf>
    <xf numFmtId="0" fontId="7" fillId="24" borderId="39" xfId="0" applyFont="1" applyFill="1" applyBorder="1" applyAlignment="1">
      <alignment horizontal="center" vertical="top" wrapText="1"/>
    </xf>
    <xf numFmtId="0" fontId="7" fillId="24" borderId="16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3" fillId="0" borderId="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7" fillId="16" borderId="0" xfId="0" applyFont="1" applyFill="1" applyAlignment="1">
      <alignment horizontal="left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8" fillId="20" borderId="90" xfId="4" applyBorder="1" applyAlignment="1">
      <alignment horizontal="left"/>
    </xf>
    <xf numFmtId="0" fontId="28" fillId="20" borderId="91" xfId="4" applyBorder="1" applyAlignment="1">
      <alignment horizontal="left"/>
    </xf>
    <xf numFmtId="0" fontId="7" fillId="15" borderId="0" xfId="0" applyFont="1" applyFill="1" applyAlignment="1">
      <alignment horizontal="left"/>
    </xf>
    <xf numFmtId="0" fontId="28" fillId="20" borderId="60" xfId="4" applyAlignment="1">
      <alignment horizontal="left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12" fillId="4" borderId="1" xfId="0" applyFont="1" applyFill="1" applyBorder="1" applyAlignment="1"/>
    <xf numFmtId="0" fontId="12" fillId="0" borderId="16" xfId="0" applyFont="1" applyBorder="1" applyAlignment="1"/>
    <xf numFmtId="0" fontId="12" fillId="0" borderId="1" xfId="0" applyFont="1" applyBorder="1" applyAlignment="1"/>
    <xf numFmtId="0" fontId="23" fillId="9" borderId="2" xfId="0" applyFont="1" applyFill="1" applyBorder="1" applyAlignment="1" applyProtection="1">
      <alignment horizontal="left" vertical="center" wrapText="1"/>
      <protection locked="0"/>
    </xf>
    <xf numFmtId="0" fontId="23" fillId="9" borderId="0" xfId="0" applyFont="1" applyFill="1" applyBorder="1" applyAlignment="1" applyProtection="1">
      <alignment horizontal="left" vertical="center" wrapText="1"/>
      <protection locked="0"/>
    </xf>
    <xf numFmtId="0" fontId="23" fillId="9" borderId="5" xfId="0" applyFont="1" applyFill="1" applyBorder="1" applyAlignment="1" applyProtection="1">
      <alignment horizontal="left" vertical="center" wrapText="1"/>
      <protection locked="0"/>
    </xf>
    <xf numFmtId="0" fontId="23" fillId="9" borderId="15" xfId="0" applyFont="1" applyFill="1" applyBorder="1" applyAlignment="1" applyProtection="1">
      <alignment horizontal="left" vertical="center" wrapText="1"/>
      <protection locked="0"/>
    </xf>
    <xf numFmtId="0" fontId="23" fillId="9" borderId="9" xfId="0" applyFont="1" applyFill="1" applyBorder="1" applyAlignment="1" applyProtection="1">
      <alignment horizontal="left" vertical="center" wrapText="1"/>
      <protection locked="0"/>
    </xf>
    <xf numFmtId="0" fontId="12" fillId="9" borderId="17" xfId="0" applyFont="1" applyFill="1" applyBorder="1" applyAlignment="1" applyProtection="1">
      <alignment horizontal="center"/>
      <protection locked="0"/>
    </xf>
    <xf numFmtId="0" fontId="12" fillId="9" borderId="18" xfId="0" applyFont="1" applyFill="1" applyBorder="1" applyAlignment="1" applyProtection="1">
      <alignment horizontal="center"/>
      <protection locked="0"/>
    </xf>
    <xf numFmtId="0" fontId="19" fillId="9" borderId="17" xfId="0" applyFont="1" applyFill="1" applyBorder="1" applyAlignment="1" applyProtection="1">
      <alignment horizontal="left"/>
      <protection locked="0"/>
    </xf>
    <xf numFmtId="0" fontId="19" fillId="9" borderId="18" xfId="0" applyFont="1" applyFill="1" applyBorder="1" applyAlignment="1" applyProtection="1">
      <alignment horizontal="left"/>
      <protection locked="0"/>
    </xf>
    <xf numFmtId="0" fontId="19" fillId="9" borderId="19" xfId="0" applyFont="1" applyFill="1" applyBorder="1" applyAlignment="1" applyProtection="1">
      <alignment horizontal="left"/>
      <protection locked="0"/>
    </xf>
    <xf numFmtId="0" fontId="23" fillId="9" borderId="44" xfId="0" applyFont="1" applyFill="1" applyBorder="1" applyAlignment="1" applyProtection="1">
      <alignment horizontal="left" vertical="center" wrapText="1"/>
      <protection locked="0"/>
    </xf>
    <xf numFmtId="0" fontId="12" fillId="9" borderId="19" xfId="0" applyFont="1" applyFill="1" applyBorder="1" applyAlignment="1" applyProtection="1">
      <alignment horizontal="center"/>
      <protection locked="0"/>
    </xf>
    <xf numFmtId="164" fontId="12" fillId="9" borderId="17" xfId="0" applyNumberFormat="1" applyFont="1" applyFill="1" applyBorder="1" applyAlignment="1" applyProtection="1">
      <alignment horizontal="center" vertical="center"/>
      <protection locked="0"/>
    </xf>
    <xf numFmtId="164" fontId="12" fillId="9" borderId="18" xfId="0" applyNumberFormat="1" applyFont="1" applyFill="1" applyBorder="1" applyAlignment="1" applyProtection="1">
      <alignment horizontal="center" vertical="center"/>
      <protection locked="0"/>
    </xf>
    <xf numFmtId="164" fontId="12" fillId="9" borderId="19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13" xfId="0" applyFont="1" applyFill="1" applyBorder="1" applyAlignment="1" applyProtection="1">
      <alignment horizontal="center" vertical="center" wrapText="1"/>
      <protection locked="0"/>
    </xf>
    <xf numFmtId="0" fontId="16" fillId="6" borderId="4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6" borderId="11" xfId="0" applyFont="1" applyFill="1" applyBorder="1" applyAlignment="1" applyProtection="1">
      <alignment horizontal="center" vertical="center" wrapText="1"/>
      <protection locked="0"/>
    </xf>
    <xf numFmtId="0" fontId="12" fillId="6" borderId="12" xfId="0" applyFont="1" applyFill="1" applyBorder="1" applyAlignment="1" applyProtection="1">
      <alignment horizontal="center" vertical="center" wrapText="1"/>
      <protection locked="0"/>
    </xf>
    <xf numFmtId="0" fontId="12" fillId="6" borderId="13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164" fontId="13" fillId="0" borderId="6" xfId="0" applyNumberFormat="1" applyFont="1" applyFill="1" applyBorder="1" applyAlignment="1" applyProtection="1">
      <alignment horizontal="center" vertical="center"/>
      <protection locked="0"/>
    </xf>
    <xf numFmtId="164" fontId="13" fillId="0" borderId="7" xfId="0" applyNumberFormat="1" applyFont="1" applyFill="1" applyBorder="1" applyAlignment="1" applyProtection="1">
      <alignment horizontal="center" vertical="center"/>
      <protection locked="0"/>
    </xf>
    <xf numFmtId="164" fontId="13" fillId="0" borderId="8" xfId="0" applyNumberFormat="1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 wrapText="1"/>
      <protection locked="0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2" borderId="1" xfId="0" applyFill="1" applyBorder="1" applyAlignment="1">
      <alignment horizontal="center"/>
    </xf>
  </cellXfs>
  <cellStyles count="13">
    <cellStyle name="Акцент1" xfId="8" builtinId="29"/>
    <cellStyle name="Вывод" xfId="4" builtinId="21"/>
    <cellStyle name="Денежный" xfId="1" builtinId="4"/>
    <cellStyle name="Контрольная ячейка" xfId="3" builtinId="23"/>
    <cellStyle name="Обычный" xfId="0" builtinId="0"/>
    <cellStyle name="Обычный 2" xfId="2"/>
    <cellStyle name="Обычный 2 2" xfId="7"/>
    <cellStyle name="Обычный 2 3" xfId="10"/>
    <cellStyle name="Процентный" xfId="9" builtinId="5"/>
    <cellStyle name="Стиль 1" xfId="6"/>
    <cellStyle name="Финансовый" xfId="5" builtinId="3"/>
    <cellStyle name="Финансовый 3" xfId="11"/>
    <cellStyle name="Хороший" xfId="12" builtinId="26"/>
  </cellStyles>
  <dxfs count="4">
    <dxf>
      <font>
        <condense val="0"/>
        <extend val="0"/>
        <color indexed="9"/>
      </font>
    </dxf>
    <dxf>
      <fill>
        <patternFill>
          <bgColor indexed="11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6</xdr:row>
      <xdr:rowOff>38100</xdr:rowOff>
    </xdr:from>
    <xdr:to>
      <xdr:col>2</xdr:col>
      <xdr:colOff>1457325</xdr:colOff>
      <xdr:row>7</xdr:row>
      <xdr:rowOff>123825</xdr:rowOff>
    </xdr:to>
    <xdr:sp macro="" textlink="">
      <xdr:nvSpPr>
        <xdr:cNvPr id="3" name="Скругленный прямоугольник 2"/>
        <xdr:cNvSpPr/>
      </xdr:nvSpPr>
      <xdr:spPr>
        <a:xfrm>
          <a:off x="866775" y="1057275"/>
          <a:ext cx="1381125" cy="27622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Добавить скважину</a:t>
          </a:r>
        </a:p>
      </xdr:txBody>
    </xdr:sp>
    <xdr:clientData/>
  </xdr:twoCellAnchor>
  <xdr:twoCellAnchor>
    <xdr:from>
      <xdr:col>2</xdr:col>
      <xdr:colOff>66675</xdr:colOff>
      <xdr:row>3</xdr:row>
      <xdr:rowOff>57151</xdr:rowOff>
    </xdr:from>
    <xdr:to>
      <xdr:col>2</xdr:col>
      <xdr:colOff>1666875</xdr:colOff>
      <xdr:row>5</xdr:row>
      <xdr:rowOff>38101</xdr:rowOff>
    </xdr:to>
    <xdr:sp macro="" textlink="">
      <xdr:nvSpPr>
        <xdr:cNvPr id="4" name="Скругленный прямоугольник 3"/>
        <xdr:cNvSpPr/>
      </xdr:nvSpPr>
      <xdr:spPr>
        <a:xfrm>
          <a:off x="857250" y="695326"/>
          <a:ext cx="1600200" cy="2667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Создать новый проект</a:t>
          </a:r>
        </a:p>
      </xdr:txBody>
    </xdr:sp>
    <xdr:clientData/>
  </xdr:twoCellAnchor>
  <xdr:twoCellAnchor>
    <xdr:from>
      <xdr:col>2</xdr:col>
      <xdr:colOff>1457325</xdr:colOff>
      <xdr:row>6</xdr:row>
      <xdr:rowOff>176213</xdr:rowOff>
    </xdr:from>
    <xdr:to>
      <xdr:col>8</xdr:col>
      <xdr:colOff>600075</xdr:colOff>
      <xdr:row>32</xdr:row>
      <xdr:rowOff>152400</xdr:rowOff>
    </xdr:to>
    <xdr:cxnSp macro="">
      <xdr:nvCxnSpPr>
        <xdr:cNvPr id="6" name="Прямая со стрелкой 5"/>
        <xdr:cNvCxnSpPr>
          <a:stCxn id="3" idx="3"/>
        </xdr:cNvCxnSpPr>
      </xdr:nvCxnSpPr>
      <xdr:spPr>
        <a:xfrm>
          <a:off x="2247900" y="1195388"/>
          <a:ext cx="4219575" cy="432911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533400</xdr:colOff>
      <xdr:row>32</xdr:row>
      <xdr:rowOff>180976</xdr:rowOff>
    </xdr:from>
    <xdr:to>
      <xdr:col>15</xdr:col>
      <xdr:colOff>561975</xdr:colOff>
      <xdr:row>53</xdr:row>
      <xdr:rowOff>38100</xdr:rowOff>
    </xdr:to>
    <xdr:sp macro="" textlink="">
      <xdr:nvSpPr>
        <xdr:cNvPr id="10" name="Прямоугольник 9"/>
        <xdr:cNvSpPr/>
      </xdr:nvSpPr>
      <xdr:spPr>
        <a:xfrm>
          <a:off x="5791200" y="5553076"/>
          <a:ext cx="4905375" cy="3181349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0</xdr:colOff>
      <xdr:row>58</xdr:row>
      <xdr:rowOff>9524</xdr:rowOff>
    </xdr:from>
    <xdr:to>
      <xdr:col>3</xdr:col>
      <xdr:colOff>9525</xdr:colOff>
      <xdr:row>59</xdr:row>
      <xdr:rowOff>57149</xdr:rowOff>
    </xdr:to>
    <xdr:sp macro="" textlink="">
      <xdr:nvSpPr>
        <xdr:cNvPr id="2" name="Трапеция 1"/>
        <xdr:cNvSpPr/>
      </xdr:nvSpPr>
      <xdr:spPr>
        <a:xfrm flipV="1">
          <a:off x="609600" y="9658349"/>
          <a:ext cx="2152650" cy="238125"/>
        </a:xfrm>
        <a:prstGeom prst="trapezoid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1943100</xdr:colOff>
      <xdr:row>58</xdr:row>
      <xdr:rowOff>19047</xdr:rowOff>
    </xdr:from>
    <xdr:to>
      <xdr:col>4</xdr:col>
      <xdr:colOff>190500</xdr:colOff>
      <xdr:row>59</xdr:row>
      <xdr:rowOff>66672</xdr:rowOff>
    </xdr:to>
    <xdr:sp macro="" textlink="">
      <xdr:nvSpPr>
        <xdr:cNvPr id="7" name="Трапеция 6"/>
        <xdr:cNvSpPr/>
      </xdr:nvSpPr>
      <xdr:spPr>
        <a:xfrm flipV="1">
          <a:off x="2733675" y="9667872"/>
          <a:ext cx="885825" cy="238125"/>
        </a:xfrm>
        <a:prstGeom prst="trapezoid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171450</xdr:colOff>
      <xdr:row>58</xdr:row>
      <xdr:rowOff>19048</xdr:rowOff>
    </xdr:from>
    <xdr:to>
      <xdr:col>5</xdr:col>
      <xdr:colOff>285750</xdr:colOff>
      <xdr:row>59</xdr:row>
      <xdr:rowOff>66673</xdr:rowOff>
    </xdr:to>
    <xdr:sp macro="" textlink="">
      <xdr:nvSpPr>
        <xdr:cNvPr id="8" name="Трапеция 7"/>
        <xdr:cNvSpPr/>
      </xdr:nvSpPr>
      <xdr:spPr>
        <a:xfrm flipV="1">
          <a:off x="3600450" y="9667873"/>
          <a:ext cx="723900" cy="238125"/>
        </a:xfrm>
        <a:prstGeom prst="trapezoid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257175</xdr:colOff>
      <xdr:row>58</xdr:row>
      <xdr:rowOff>19048</xdr:rowOff>
    </xdr:from>
    <xdr:to>
      <xdr:col>6</xdr:col>
      <xdr:colOff>371475</xdr:colOff>
      <xdr:row>59</xdr:row>
      <xdr:rowOff>66673</xdr:rowOff>
    </xdr:to>
    <xdr:sp macro="" textlink="">
      <xdr:nvSpPr>
        <xdr:cNvPr id="9" name="Трапеция 8"/>
        <xdr:cNvSpPr/>
      </xdr:nvSpPr>
      <xdr:spPr>
        <a:xfrm flipV="1">
          <a:off x="4295775" y="9667873"/>
          <a:ext cx="723900" cy="238125"/>
        </a:xfrm>
        <a:prstGeom prst="trapezoid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56;\&#1053;&#1053;&#1043;\1.2.%20&#1058;&#1080;&#1090;&#1091;&#1083;&#1100;&#1085;&#1099;&#1081;%20&#1089;&#1087;&#1080;&#1089;&#1086;&#1082;%20&#1053;&#1053;&#104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56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0;&#1056;\&#1053;&#1053;&#1043;\1.1.%20&#1053;&#1072;&#1088;&#1103;&#1076;-&#1079;&#1072;&#1082;&#1072;&#107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&#1050;&#1088;&#1077;&#1085;&#1076;&#1077;&#1083;&#1105;&#1082;\Downloads\&#1050;&#1091;&#1089;&#1090;%2015%20&#1071;&#1088;&#1072;&#1081;&#1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сходные"/>
      <sheetName val="2013-2014"/>
      <sheetName val="помесячная 2013"/>
      <sheetName val="помесячная 2014"/>
    </sheetNames>
    <sheetDataSet>
      <sheetData sheetId="0">
        <row r="9">
          <cell r="H9">
            <v>7.0000000000000007E-2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Бурение"/>
      <sheetName val="ковер"/>
      <sheetName val="Дело скважины"/>
      <sheetName val="Конструктор скважины"/>
      <sheetName val="Конструктор скважины v2.0"/>
      <sheetName val="Инфра"/>
      <sheetName val="Production"/>
      <sheetName val="OPEX"/>
      <sheetName val="Макропараметры"/>
      <sheetName val="Инф. о месторождениях"/>
      <sheetName val="Словарь"/>
      <sheetName val="абб-ры"/>
      <sheetName val="Комментарии к программе"/>
      <sheetName val="Скважина пример"/>
      <sheetName val="логика расчета"/>
      <sheetName val="КС ОНВСС"/>
      <sheetName val="Помет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4">
          <cell r="D14">
            <v>74.806977070531886</v>
          </cell>
        </row>
      </sheetData>
      <sheetData sheetId="8">
        <row r="9">
          <cell r="D9">
            <v>8493.2900000000009</v>
          </cell>
        </row>
      </sheetData>
      <sheetData sheetId="9"/>
      <sheetData sheetId="10"/>
      <sheetData sheetId="11"/>
      <sheetData sheetId="12"/>
      <sheetData sheetId="13">
        <row r="173">
          <cell r="D173">
            <v>100859048.99196617</v>
          </cell>
        </row>
      </sheetData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Титул "/>
      <sheetName val="ТЭП"/>
      <sheetName val="Перв. скв "/>
      <sheetName val="ННС&lt;800"/>
      <sheetName val="ННС&gt;800"/>
      <sheetName val="ННС&lt;1300"/>
      <sheetName val="ННС&lt;1800"/>
      <sheetName val="ННС&lt;2200"/>
      <sheetName val="ННС&gt;2200"/>
      <sheetName val="ННСЮра&lt;800"/>
      <sheetName val="ННСЮра&gt;800"/>
      <sheetName val="ГС пил"/>
      <sheetName val="ГС без пил"/>
      <sheetName val="ГС пил МСГРП"/>
      <sheetName val="ГСЮра пил"/>
      <sheetName val="ГСЮра пил МСГРП"/>
      <sheetName val="ГСЮра пил МСГРП без РУС"/>
      <sheetName val="ВЗ"/>
      <sheetName val="Посл. скв"/>
    </sheetNames>
    <sheetDataSet>
      <sheetData sheetId="0">
        <row r="5">
          <cell r="G5" t="str">
            <v xml:space="preserve">_15_ куст _Ярайнерского_ месторождения </v>
          </cell>
        </row>
        <row r="11">
          <cell r="C11" t="str">
            <v>тендер</v>
          </cell>
        </row>
        <row r="12">
          <cell r="C12" t="str">
            <v>БУ-5000 ЭУК</v>
          </cell>
        </row>
        <row r="13">
          <cell r="C13" t="str">
            <v>да</v>
          </cell>
        </row>
        <row r="14">
          <cell r="C14" t="str">
            <v>нет</v>
          </cell>
        </row>
        <row r="15">
          <cell r="C15" t="str">
            <v>нет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ННСЮра&gt;800"/>
      <sheetName val="ГСЮра пил МСГРП"/>
      <sheetName val="БП и паспорт"/>
      <sheetName val="Расчет"/>
      <sheetName val="цены"/>
      <sheetName val="1 гор"/>
      <sheetName val="2 гор"/>
      <sheetName val="3 гор"/>
      <sheetName val="4 юра"/>
      <sheetName val="Свод нн"/>
      <sheetName val="Свод юра"/>
      <sheetName val="Свод гор"/>
      <sheetName val="Свод"/>
    </sheetNames>
    <sheetDataSet>
      <sheetData sheetId="0" refreshError="1"/>
      <sheetData sheetId="1" refreshError="1"/>
      <sheetData sheetId="2" refreshError="1"/>
      <sheetData sheetId="3" refreshError="1">
        <row r="55">
          <cell r="D55">
            <v>166342.15384863463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3">
    <tabColor rgb="FF92D050"/>
  </sheetPr>
  <dimension ref="A2:S80"/>
  <sheetViews>
    <sheetView topLeftCell="A53" zoomScale="70" zoomScaleNormal="70" workbookViewId="0">
      <selection activeCell="R61" sqref="R61"/>
    </sheetView>
  </sheetViews>
  <sheetFormatPr defaultRowHeight="15"/>
  <cols>
    <col min="2" max="2" width="2.7109375" customWidth="1"/>
    <col min="3" max="3" width="29.42578125" bestFit="1" customWidth="1"/>
    <col min="4" max="4" width="10.140625" bestFit="1" customWidth="1"/>
  </cols>
  <sheetData>
    <row r="2" spans="2:19" ht="19.5">
      <c r="B2" s="241" t="s">
        <v>245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3"/>
    </row>
    <row r="3" spans="2:19" ht="15.75" customHeight="1">
      <c r="B3" s="234"/>
      <c r="C3" s="240" t="s">
        <v>246</v>
      </c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35"/>
    </row>
    <row r="4" spans="2:19" ht="7.5" customHeight="1">
      <c r="B4" s="234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35"/>
    </row>
    <row r="5" spans="2:19">
      <c r="B5" s="234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35"/>
    </row>
    <row r="6" spans="2:19" ht="7.5" customHeight="1">
      <c r="B6" s="234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35"/>
    </row>
    <row r="7" spans="2:19">
      <c r="B7" s="234"/>
      <c r="C7" s="228"/>
      <c r="D7" s="228"/>
      <c r="E7" s="514">
        <v>2013</v>
      </c>
      <c r="F7" s="514"/>
      <c r="G7" s="514"/>
      <c r="H7" s="514"/>
      <c r="I7" s="514"/>
      <c r="J7" s="514"/>
      <c r="K7" s="514"/>
      <c r="L7" s="514"/>
      <c r="M7" s="514"/>
      <c r="N7" s="514"/>
      <c r="O7" s="514"/>
      <c r="P7" s="514"/>
      <c r="Q7" s="228"/>
      <c r="R7" s="228"/>
      <c r="S7" s="235"/>
    </row>
    <row r="8" spans="2:19" ht="15.75" thickBot="1">
      <c r="B8" s="234"/>
      <c r="C8" s="228"/>
      <c r="D8" s="228"/>
      <c r="E8" s="228" t="s">
        <v>258</v>
      </c>
      <c r="F8" s="228" t="s">
        <v>259</v>
      </c>
      <c r="G8" s="228" t="s">
        <v>260</v>
      </c>
      <c r="H8" s="228" t="s">
        <v>261</v>
      </c>
      <c r="I8" s="228" t="s">
        <v>262</v>
      </c>
      <c r="J8" s="228" t="s">
        <v>263</v>
      </c>
      <c r="K8" s="228" t="s">
        <v>264</v>
      </c>
      <c r="L8" s="228" t="s">
        <v>265</v>
      </c>
      <c r="M8" s="228" t="s">
        <v>266</v>
      </c>
      <c r="N8" s="228" t="s">
        <v>267</v>
      </c>
      <c r="O8" s="228" t="s">
        <v>268</v>
      </c>
      <c r="P8" s="228" t="s">
        <v>269</v>
      </c>
      <c r="Q8" s="228"/>
      <c r="R8" s="228"/>
      <c r="S8" s="235"/>
    </row>
    <row r="9" spans="2:19" ht="15.75" thickBot="1">
      <c r="B9" s="234"/>
      <c r="C9" s="228"/>
      <c r="D9" s="228"/>
      <c r="E9" s="242"/>
      <c r="F9" s="243"/>
      <c r="G9" s="244"/>
      <c r="H9" s="243"/>
      <c r="I9" s="244"/>
      <c r="J9" s="243"/>
      <c r="K9" s="244"/>
      <c r="L9" s="246"/>
      <c r="M9" s="246"/>
      <c r="N9" s="244"/>
      <c r="O9" s="243"/>
      <c r="P9" s="245"/>
      <c r="Q9" s="228"/>
      <c r="R9" s="228"/>
      <c r="S9" s="235"/>
    </row>
    <row r="10" spans="2:19">
      <c r="B10" s="234"/>
      <c r="C10" s="228"/>
      <c r="D10" s="228"/>
      <c r="E10" s="515">
        <v>2014</v>
      </c>
      <c r="F10" s="515"/>
      <c r="G10" s="515"/>
      <c r="H10" s="515"/>
      <c r="I10" s="515"/>
      <c r="J10" s="515"/>
      <c r="K10" s="515"/>
      <c r="L10" s="515"/>
      <c r="M10" s="515"/>
      <c r="N10" s="515"/>
      <c r="O10" s="515"/>
      <c r="P10" s="515"/>
      <c r="Q10" s="228"/>
      <c r="R10" s="228"/>
      <c r="S10" s="235"/>
    </row>
    <row r="11" spans="2:19" ht="15.75" thickBot="1">
      <c r="B11" s="234"/>
      <c r="C11" s="228"/>
      <c r="D11" s="228"/>
      <c r="E11" s="228" t="s">
        <v>258</v>
      </c>
      <c r="F11" s="228" t="s">
        <v>259</v>
      </c>
      <c r="G11" s="228" t="s">
        <v>260</v>
      </c>
      <c r="H11" s="228" t="s">
        <v>261</v>
      </c>
      <c r="I11" s="228" t="s">
        <v>262</v>
      </c>
      <c r="J11" s="228" t="s">
        <v>263</v>
      </c>
      <c r="K11" s="228" t="s">
        <v>264</v>
      </c>
      <c r="L11" s="228" t="s">
        <v>265</v>
      </c>
      <c r="M11" s="228" t="s">
        <v>266</v>
      </c>
      <c r="N11" s="228" t="s">
        <v>267</v>
      </c>
      <c r="O11" s="228" t="s">
        <v>268</v>
      </c>
      <c r="P11" s="228" t="s">
        <v>269</v>
      </c>
      <c r="Q11" s="228"/>
      <c r="R11" s="228"/>
      <c r="S11" s="235"/>
    </row>
    <row r="12" spans="2:19" ht="15.75" thickBot="1">
      <c r="B12" s="234"/>
      <c r="C12" s="228"/>
      <c r="D12" s="228"/>
      <c r="E12" s="242"/>
      <c r="F12" s="244"/>
      <c r="G12" s="244"/>
      <c r="H12" s="243"/>
      <c r="I12" s="244"/>
      <c r="J12" s="243"/>
      <c r="K12" s="244"/>
      <c r="L12" s="246"/>
      <c r="M12" s="244"/>
      <c r="N12" s="246"/>
      <c r="O12" s="246"/>
      <c r="P12" s="245"/>
      <c r="Q12" s="228"/>
      <c r="R12" s="228"/>
      <c r="S12" s="235"/>
    </row>
    <row r="13" spans="2:19">
      <c r="B13" s="234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35"/>
    </row>
    <row r="14" spans="2:19" ht="18" customHeight="1" thickBot="1">
      <c r="B14" s="234"/>
      <c r="C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35"/>
    </row>
    <row r="15" spans="2:19" ht="16.5" thickTop="1" thickBot="1">
      <c r="B15" s="234"/>
      <c r="C15" s="228" t="s">
        <v>271</v>
      </c>
      <c r="D15" s="516" t="s">
        <v>279</v>
      </c>
      <c r="E15" s="516" t="s">
        <v>274</v>
      </c>
      <c r="F15" s="516"/>
      <c r="G15" t="s">
        <v>274</v>
      </c>
      <c r="H15" s="228"/>
      <c r="O15" s="228"/>
      <c r="P15" s="228"/>
      <c r="Q15" s="228"/>
      <c r="R15" s="228"/>
      <c r="S15" s="235"/>
    </row>
    <row r="16" spans="2:19" ht="6.75" customHeight="1" thickTop="1" thickBot="1">
      <c r="B16" s="234"/>
      <c r="C16" s="228"/>
      <c r="D16" s="228"/>
      <c r="E16" s="228"/>
      <c r="F16" s="228"/>
      <c r="G16" s="228"/>
      <c r="H16" s="228"/>
      <c r="N16" s="228"/>
      <c r="O16" s="228"/>
      <c r="P16" s="228"/>
      <c r="Q16" s="228"/>
      <c r="R16" s="228"/>
      <c r="S16" s="235"/>
    </row>
    <row r="17" spans="2:19" ht="16.5" thickTop="1" thickBot="1">
      <c r="B17" s="234"/>
      <c r="C17" s="228" t="s">
        <v>277</v>
      </c>
      <c r="D17" s="516" t="s">
        <v>278</v>
      </c>
      <c r="E17" s="516"/>
      <c r="F17" s="516"/>
      <c r="G17" t="s">
        <v>274</v>
      </c>
      <c r="H17" s="228"/>
      <c r="N17" s="228"/>
      <c r="O17" s="228"/>
      <c r="P17" s="228"/>
      <c r="Q17" s="228"/>
      <c r="R17" s="228"/>
      <c r="S17" s="235"/>
    </row>
    <row r="18" spans="2:19" ht="6.75" customHeight="1" thickTop="1">
      <c r="B18" s="234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35"/>
    </row>
    <row r="19" spans="2:19">
      <c r="B19" s="234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35"/>
    </row>
    <row r="20" spans="2:19" ht="6.75" customHeight="1">
      <c r="B20" s="234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35"/>
    </row>
    <row r="21" spans="2:19">
      <c r="B21" s="234"/>
      <c r="D21" s="228" t="s">
        <v>255</v>
      </c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35"/>
    </row>
    <row r="22" spans="2:19" ht="6.75" customHeight="1" thickBot="1">
      <c r="B22" s="234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35"/>
    </row>
    <row r="23" spans="2:19" ht="16.5" thickTop="1" thickBot="1">
      <c r="B23" s="234"/>
      <c r="C23" s="239" t="s">
        <v>247</v>
      </c>
      <c r="D23" s="248">
        <v>41275</v>
      </c>
      <c r="E23" s="247" t="s">
        <v>256</v>
      </c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35"/>
    </row>
    <row r="24" spans="2:19" ht="6.75" customHeight="1" thickTop="1" thickBot="1">
      <c r="B24" s="234"/>
      <c r="C24" s="239"/>
      <c r="D24" s="228"/>
      <c r="E24" s="247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35"/>
    </row>
    <row r="25" spans="2:19" ht="16.5" thickTop="1" thickBot="1">
      <c r="B25" s="234"/>
      <c r="C25" s="239" t="s">
        <v>248</v>
      </c>
      <c r="D25" s="248">
        <v>41306</v>
      </c>
      <c r="E25" s="247" t="s">
        <v>256</v>
      </c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35"/>
    </row>
    <row r="26" spans="2:19" ht="6.75" customHeight="1" thickTop="1" thickBot="1">
      <c r="B26" s="234"/>
      <c r="C26" s="239"/>
      <c r="D26" s="228"/>
      <c r="E26" s="247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35"/>
    </row>
    <row r="27" spans="2:19" ht="16.5" thickTop="1" thickBot="1">
      <c r="B27" s="234"/>
      <c r="C27" s="239" t="s">
        <v>249</v>
      </c>
      <c r="D27" s="248">
        <v>41334</v>
      </c>
      <c r="E27" s="247" t="s">
        <v>256</v>
      </c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35"/>
    </row>
    <row r="28" spans="2:19" ht="6.75" customHeight="1" thickTop="1" thickBot="1">
      <c r="B28" s="234"/>
      <c r="C28" s="239"/>
      <c r="D28" s="228"/>
      <c r="E28" s="247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35"/>
    </row>
    <row r="29" spans="2:19" ht="16.5" thickTop="1" thickBot="1">
      <c r="B29" s="234"/>
      <c r="C29" s="239" t="s">
        <v>250</v>
      </c>
      <c r="D29" s="248">
        <v>41365</v>
      </c>
      <c r="E29" s="247" t="s">
        <v>256</v>
      </c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35"/>
    </row>
    <row r="30" spans="2:19" ht="7.5" customHeight="1" thickTop="1" thickBot="1">
      <c r="B30" s="234"/>
      <c r="C30" s="239"/>
      <c r="D30" s="228"/>
      <c r="E30" s="247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35"/>
    </row>
    <row r="31" spans="2:19" ht="16.5" thickTop="1" thickBot="1">
      <c r="B31" s="234"/>
      <c r="C31" s="239" t="s">
        <v>251</v>
      </c>
      <c r="D31" s="248">
        <v>41395</v>
      </c>
      <c r="E31" s="247" t="s">
        <v>256</v>
      </c>
      <c r="F31" s="228"/>
      <c r="G31" s="228"/>
      <c r="H31" s="228"/>
      <c r="J31" s="228"/>
      <c r="K31" s="228"/>
      <c r="L31" s="228"/>
      <c r="M31" s="228"/>
      <c r="N31" s="228"/>
      <c r="O31" s="228"/>
      <c r="P31" s="228"/>
      <c r="Q31" s="228"/>
      <c r="R31" s="228"/>
      <c r="S31" s="235"/>
    </row>
    <row r="32" spans="2:19" ht="16.5" thickTop="1" thickBot="1">
      <c r="B32" s="234"/>
      <c r="C32" s="239"/>
      <c r="D32" s="228"/>
      <c r="E32" s="247"/>
      <c r="F32" s="228"/>
      <c r="G32" s="228"/>
      <c r="H32" s="228"/>
      <c r="J32" s="228"/>
      <c r="K32" s="228"/>
      <c r="L32" s="228"/>
      <c r="M32" s="228"/>
      <c r="N32" s="228"/>
      <c r="O32" s="228"/>
      <c r="P32" s="228"/>
      <c r="Q32" s="228"/>
      <c r="R32" s="228"/>
      <c r="S32" s="235"/>
    </row>
    <row r="33" spans="2:19" ht="16.5" thickTop="1" thickBot="1">
      <c r="B33" s="234"/>
      <c r="C33" s="239" t="s">
        <v>252</v>
      </c>
      <c r="D33" s="249"/>
      <c r="E33" s="247" t="s">
        <v>256</v>
      </c>
      <c r="H33" s="228"/>
      <c r="J33" s="228"/>
      <c r="K33" s="228"/>
      <c r="L33" s="228"/>
      <c r="M33" s="228"/>
      <c r="N33" s="228"/>
      <c r="O33" s="228"/>
      <c r="P33" s="228"/>
      <c r="Q33" s="228"/>
      <c r="R33" s="228"/>
      <c r="S33" s="235"/>
    </row>
    <row r="34" spans="2:19" ht="15" customHeight="1" thickTop="1">
      <c r="B34" s="234"/>
      <c r="C34" s="239"/>
      <c r="D34" s="228"/>
      <c r="E34" s="247"/>
      <c r="F34" s="228"/>
      <c r="G34" s="228"/>
      <c r="H34" s="228"/>
      <c r="I34" s="228"/>
      <c r="J34" s="251" t="s">
        <v>280</v>
      </c>
      <c r="P34" s="228"/>
      <c r="Q34" s="228"/>
      <c r="R34" s="228"/>
      <c r="S34" s="235"/>
    </row>
    <row r="35" spans="2:19" ht="7.5" customHeight="1" thickBot="1">
      <c r="B35" s="234"/>
      <c r="F35" s="228"/>
      <c r="G35" s="228"/>
      <c r="H35" s="228"/>
      <c r="I35" s="228"/>
      <c r="P35" s="228"/>
      <c r="Q35" s="228"/>
      <c r="R35" s="228"/>
      <c r="S35" s="235"/>
    </row>
    <row r="36" spans="2:19" ht="16.5" thickTop="1" thickBot="1">
      <c r="B36" s="234"/>
      <c r="C36" s="239" t="s">
        <v>253</v>
      </c>
      <c r="D36" s="248">
        <v>41579</v>
      </c>
      <c r="E36" s="247" t="s">
        <v>256</v>
      </c>
      <c r="H36" s="228"/>
      <c r="I36" s="239" t="s">
        <v>272</v>
      </c>
      <c r="L36" s="250">
        <v>436</v>
      </c>
      <c r="P36" s="228"/>
      <c r="Q36" s="228"/>
      <c r="R36" s="228"/>
      <c r="S36" s="235"/>
    </row>
    <row r="37" spans="2:19" ht="7.5" customHeight="1" thickTop="1" thickBot="1">
      <c r="B37" s="234"/>
      <c r="C37" s="239"/>
      <c r="D37" s="228"/>
      <c r="E37" s="247"/>
      <c r="F37" s="228"/>
      <c r="G37" s="228"/>
      <c r="H37" s="228"/>
      <c r="I37" s="239"/>
      <c r="P37" s="228"/>
      <c r="Q37" s="228"/>
      <c r="R37" s="228"/>
      <c r="S37" s="235"/>
    </row>
    <row r="38" spans="2:19" ht="16.5" thickTop="1" thickBot="1">
      <c r="B38" s="234"/>
      <c r="C38" s="239" t="s">
        <v>254</v>
      </c>
      <c r="D38" s="248">
        <v>41609</v>
      </c>
      <c r="E38" s="247" t="s">
        <v>256</v>
      </c>
      <c r="F38" s="228"/>
      <c r="G38" s="228"/>
      <c r="H38" s="228"/>
      <c r="I38" s="239" t="s">
        <v>273</v>
      </c>
      <c r="L38" s="250">
        <v>4387</v>
      </c>
      <c r="P38" s="228"/>
      <c r="Q38" s="228"/>
      <c r="R38" s="228"/>
      <c r="S38" s="235"/>
    </row>
    <row r="39" spans="2:19" ht="7.5" customHeight="1" thickTop="1" thickBot="1">
      <c r="B39" s="234"/>
      <c r="C39" s="228"/>
      <c r="D39" s="228"/>
      <c r="E39" s="247"/>
      <c r="F39" s="228"/>
      <c r="G39" s="228"/>
      <c r="H39" s="228"/>
      <c r="I39" s="228"/>
      <c r="J39" s="228"/>
      <c r="L39" s="228"/>
      <c r="M39" s="239"/>
      <c r="N39" s="239"/>
      <c r="O39" s="239"/>
      <c r="P39" s="228"/>
      <c r="Q39" s="228"/>
      <c r="R39" s="228"/>
      <c r="S39" s="235"/>
    </row>
    <row r="40" spans="2:19" ht="16.5" thickTop="1" thickBot="1">
      <c r="B40" s="234"/>
      <c r="C40" s="228" t="s">
        <v>257</v>
      </c>
      <c r="D40" s="248">
        <v>41639</v>
      </c>
      <c r="E40" s="247" t="s">
        <v>256</v>
      </c>
      <c r="F40" s="228"/>
      <c r="G40" s="228"/>
      <c r="H40" s="228"/>
      <c r="I40" s="228" t="s">
        <v>2</v>
      </c>
      <c r="J40" s="228"/>
      <c r="L40" s="250" t="s">
        <v>0</v>
      </c>
      <c r="M40" s="228" t="s">
        <v>0</v>
      </c>
      <c r="N40" s="228" t="s">
        <v>1</v>
      </c>
      <c r="O40" s="228"/>
      <c r="P40" s="228"/>
      <c r="Q40" s="228"/>
      <c r="R40" s="228"/>
      <c r="S40" s="235"/>
    </row>
    <row r="41" spans="2:19" ht="7.5" customHeight="1" thickTop="1" thickBot="1">
      <c r="B41" s="234"/>
      <c r="C41" s="228"/>
      <c r="D41" s="228"/>
      <c r="E41" s="228"/>
      <c r="F41" s="228"/>
      <c r="G41" s="228"/>
      <c r="H41" s="228"/>
      <c r="I41" s="228"/>
      <c r="J41" s="228"/>
      <c r="L41" s="228"/>
      <c r="M41" s="228"/>
      <c r="N41" s="228"/>
      <c r="O41" s="228"/>
      <c r="P41" s="228"/>
      <c r="Q41" s="228"/>
      <c r="R41" s="228"/>
      <c r="S41" s="235"/>
    </row>
    <row r="42" spans="2:19" ht="16.5" thickTop="1" thickBot="1">
      <c r="B42" s="234"/>
      <c r="C42" s="228"/>
      <c r="D42" s="228"/>
      <c r="E42" s="228"/>
      <c r="F42" s="228"/>
      <c r="G42" s="228"/>
      <c r="H42" s="228"/>
      <c r="I42" s="228" t="s">
        <v>10</v>
      </c>
      <c r="J42" s="228"/>
      <c r="L42" s="250" t="s">
        <v>4</v>
      </c>
      <c r="M42" s="228" t="s">
        <v>3</v>
      </c>
      <c r="N42" s="239" t="s">
        <v>4</v>
      </c>
      <c r="O42" s="239" t="s">
        <v>9</v>
      </c>
      <c r="P42" s="228"/>
      <c r="Q42" s="228"/>
      <c r="R42" s="228"/>
      <c r="S42" s="235"/>
    </row>
    <row r="43" spans="2:19" ht="7.5" customHeight="1" thickTop="1" thickBot="1">
      <c r="B43" s="234"/>
      <c r="C43" s="228"/>
      <c r="D43" s="228"/>
      <c r="E43" s="228"/>
      <c r="F43" s="228"/>
      <c r="G43" s="228"/>
      <c r="H43" s="228"/>
      <c r="I43" s="228"/>
      <c r="J43" s="228"/>
      <c r="L43" s="228"/>
      <c r="M43" s="228"/>
      <c r="N43" s="239"/>
      <c r="O43" s="239"/>
      <c r="P43" s="228"/>
      <c r="Q43" s="228"/>
      <c r="R43" s="228"/>
      <c r="S43" s="235"/>
    </row>
    <row r="44" spans="2:19" ht="16.5" thickTop="1" thickBot="1">
      <c r="B44" s="234"/>
      <c r="C44" s="228"/>
      <c r="D44" s="228"/>
      <c r="E44" s="228"/>
      <c r="F44" s="228"/>
      <c r="G44" s="228"/>
      <c r="H44" s="228"/>
      <c r="I44" s="228" t="s">
        <v>5</v>
      </c>
      <c r="J44" s="228"/>
      <c r="L44" s="250" t="s">
        <v>270</v>
      </c>
      <c r="M44" s="239" t="s">
        <v>6</v>
      </c>
      <c r="N44" s="239" t="s">
        <v>7</v>
      </c>
      <c r="O44" s="239" t="s">
        <v>270</v>
      </c>
      <c r="P44" s="228"/>
      <c r="Q44" s="228"/>
      <c r="R44" s="228"/>
      <c r="S44" s="235"/>
    </row>
    <row r="45" spans="2:19" ht="7.5" customHeight="1" thickTop="1" thickBot="1">
      <c r="B45" s="234"/>
      <c r="C45" s="228"/>
      <c r="D45" s="228"/>
      <c r="E45" s="228"/>
      <c r="F45" s="228"/>
      <c r="G45" s="228"/>
      <c r="H45" s="228"/>
      <c r="I45" s="228"/>
      <c r="J45" s="228"/>
      <c r="K45" s="228"/>
      <c r="M45" s="239"/>
      <c r="N45" s="228"/>
      <c r="O45" s="228"/>
      <c r="P45" s="228"/>
      <c r="Q45" s="228"/>
      <c r="R45" s="228"/>
      <c r="S45" s="235"/>
    </row>
    <row r="46" spans="2:19" ht="16.5" thickTop="1" thickBot="1">
      <c r="B46" s="234"/>
      <c r="C46" s="228"/>
      <c r="D46" s="228"/>
      <c r="E46" s="228"/>
      <c r="F46" s="228"/>
      <c r="G46" s="228"/>
      <c r="H46" s="228"/>
      <c r="I46" s="228" t="s">
        <v>283</v>
      </c>
      <c r="J46" s="228"/>
      <c r="K46" s="228"/>
      <c r="L46" s="250" t="s">
        <v>286</v>
      </c>
      <c r="M46" s="239" t="s">
        <v>274</v>
      </c>
      <c r="N46" s="228"/>
      <c r="O46" s="228"/>
      <c r="P46" s="228"/>
      <c r="Q46" s="228"/>
      <c r="R46" s="228"/>
      <c r="S46" s="235"/>
    </row>
    <row r="47" spans="2:19" ht="7.5" customHeight="1" thickTop="1" thickBot="1">
      <c r="B47" s="234"/>
      <c r="C47" s="228"/>
      <c r="D47" s="228"/>
      <c r="E47" s="228"/>
      <c r="F47" s="228"/>
      <c r="G47" s="228"/>
      <c r="H47" s="228"/>
      <c r="I47" s="228"/>
      <c r="J47" s="228"/>
      <c r="K47" s="228"/>
      <c r="M47" s="239"/>
      <c r="N47" s="228"/>
      <c r="O47" s="228"/>
      <c r="P47" s="228"/>
      <c r="Q47" s="228"/>
      <c r="R47" s="228"/>
      <c r="S47" s="235"/>
    </row>
    <row r="48" spans="2:19" ht="16.5" thickTop="1" thickBot="1">
      <c r="B48" s="234"/>
      <c r="C48" s="228"/>
      <c r="D48" s="228"/>
      <c r="E48" s="228"/>
      <c r="F48" s="228"/>
      <c r="G48" s="228"/>
      <c r="H48" s="228"/>
      <c r="I48" s="263" t="s">
        <v>285</v>
      </c>
      <c r="J48" s="263"/>
      <c r="K48" s="228"/>
      <c r="L48" s="250">
        <v>1</v>
      </c>
      <c r="M48" s="239" t="s">
        <v>284</v>
      </c>
      <c r="N48" s="228"/>
      <c r="O48" s="228"/>
      <c r="P48" s="228"/>
      <c r="Q48" s="228"/>
      <c r="R48" s="228"/>
      <c r="S48" s="235"/>
    </row>
    <row r="49" spans="2:19" ht="7.5" customHeight="1" thickTop="1" thickBot="1">
      <c r="B49" s="234"/>
      <c r="C49" s="228"/>
      <c r="D49" s="228"/>
      <c r="E49" s="228"/>
      <c r="F49" s="228"/>
      <c r="G49" s="228"/>
      <c r="H49" s="228"/>
      <c r="I49" s="228"/>
      <c r="J49" s="228"/>
      <c r="K49" s="228"/>
      <c r="M49" s="239"/>
      <c r="N49" s="228"/>
      <c r="O49" s="228"/>
      <c r="P49" s="228"/>
      <c r="Q49" s="228"/>
      <c r="R49" s="228"/>
      <c r="S49" s="235"/>
    </row>
    <row r="50" spans="2:19" ht="16.5" customHeight="1" thickTop="1" thickBot="1">
      <c r="B50" s="234"/>
      <c r="C50" s="228"/>
      <c r="D50" s="228"/>
      <c r="E50" s="228"/>
      <c r="F50" s="228"/>
      <c r="G50" s="228"/>
      <c r="H50" s="228"/>
      <c r="I50" s="263" t="s">
        <v>287</v>
      </c>
      <c r="J50" s="263"/>
      <c r="K50" s="228"/>
      <c r="L50" s="250">
        <v>5200</v>
      </c>
      <c r="M50" s="239" t="s">
        <v>288</v>
      </c>
      <c r="N50" s="228"/>
      <c r="O50" s="228"/>
      <c r="P50" s="228"/>
      <c r="Q50" s="228"/>
      <c r="R50" s="228"/>
      <c r="S50" s="235"/>
    </row>
    <row r="51" spans="2:19" ht="7.5" customHeight="1" thickTop="1">
      <c r="B51" s="234"/>
      <c r="C51" s="228"/>
      <c r="D51" s="228"/>
      <c r="E51" s="228"/>
      <c r="F51" s="228"/>
      <c r="G51" s="228"/>
      <c r="H51" s="228"/>
      <c r="I51" s="228"/>
      <c r="J51" s="228"/>
      <c r="K51" s="228"/>
      <c r="M51" s="239"/>
      <c r="N51" s="228"/>
      <c r="O51" s="228"/>
      <c r="P51" s="228"/>
      <c r="Q51" s="228"/>
      <c r="R51" s="228"/>
      <c r="S51" s="235"/>
    </row>
    <row r="52" spans="2:19">
      <c r="B52" s="234"/>
      <c r="C52" s="228"/>
      <c r="D52" s="228"/>
      <c r="E52" s="228"/>
      <c r="F52" s="228"/>
      <c r="G52" s="228"/>
      <c r="H52" s="228"/>
      <c r="I52" s="228"/>
      <c r="J52" s="228" t="s">
        <v>281</v>
      </c>
      <c r="K52" s="228" t="s">
        <v>282</v>
      </c>
      <c r="L52" s="228"/>
      <c r="M52" s="228"/>
      <c r="N52" s="517" t="s">
        <v>289</v>
      </c>
      <c r="O52" s="517"/>
      <c r="P52" s="228"/>
      <c r="Q52" s="228"/>
      <c r="R52" s="228"/>
      <c r="S52" s="235"/>
    </row>
    <row r="53" spans="2:19">
      <c r="B53" s="234"/>
      <c r="C53" s="228"/>
      <c r="D53" s="228"/>
      <c r="E53" s="228"/>
      <c r="F53" s="228"/>
      <c r="G53" s="228"/>
      <c r="H53" s="228"/>
      <c r="J53" s="228"/>
      <c r="K53" s="228"/>
      <c r="L53" s="228"/>
      <c r="M53" s="228"/>
      <c r="N53" s="228"/>
      <c r="O53" s="228"/>
      <c r="P53" s="228"/>
      <c r="Q53" s="228"/>
      <c r="R53" s="228"/>
      <c r="S53" s="235"/>
    </row>
    <row r="54" spans="2:19">
      <c r="B54" s="234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35"/>
    </row>
    <row r="55" spans="2:19">
      <c r="B55" s="234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35"/>
    </row>
    <row r="56" spans="2:19">
      <c r="B56" s="234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35"/>
    </row>
    <row r="57" spans="2:19">
      <c r="B57" s="234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35"/>
    </row>
    <row r="58" spans="2:19">
      <c r="B58" s="236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8"/>
    </row>
    <row r="59" spans="2:19">
      <c r="C59" s="228" t="s">
        <v>275</v>
      </c>
      <c r="D59" s="228">
        <v>1</v>
      </c>
      <c r="E59" s="228">
        <v>2</v>
      </c>
      <c r="F59" s="228" t="s">
        <v>252</v>
      </c>
      <c r="G59" s="228" t="s">
        <v>276</v>
      </c>
    </row>
    <row r="63" spans="2:19">
      <c r="C63" t="s">
        <v>565</v>
      </c>
    </row>
    <row r="64" spans="2:19">
      <c r="C64" t="s">
        <v>566</v>
      </c>
    </row>
    <row r="65" spans="1:4" ht="18.75">
      <c r="B65" s="471" t="s">
        <v>567</v>
      </c>
    </row>
    <row r="66" spans="1:4" ht="18.75">
      <c r="C66" s="472" t="s">
        <v>568</v>
      </c>
      <c r="D66" s="472" t="s">
        <v>569</v>
      </c>
    </row>
    <row r="67" spans="1:4">
      <c r="A67" s="469">
        <v>1</v>
      </c>
      <c r="B67" s="469" t="s">
        <v>570</v>
      </c>
    </row>
    <row r="68" spans="1:4">
      <c r="C68" s="470" t="s">
        <v>247</v>
      </c>
      <c r="D68" s="470" t="s">
        <v>575</v>
      </c>
    </row>
    <row r="69" spans="1:4">
      <c r="A69" s="469">
        <v>2</v>
      </c>
      <c r="B69" s="469" t="s">
        <v>571</v>
      </c>
    </row>
    <row r="70" spans="1:4">
      <c r="C70" s="470" t="s">
        <v>572</v>
      </c>
      <c r="D70" s="470" t="s">
        <v>576</v>
      </c>
    </row>
    <row r="71" spans="1:4">
      <c r="A71" s="469">
        <v>3</v>
      </c>
      <c r="B71" s="469" t="s">
        <v>578</v>
      </c>
    </row>
    <row r="72" spans="1:4">
      <c r="C72" s="470" t="s">
        <v>573</v>
      </c>
      <c r="D72" s="470" t="s">
        <v>577</v>
      </c>
    </row>
    <row r="73" spans="1:4">
      <c r="A73" s="469">
        <v>4</v>
      </c>
      <c r="B73" s="469" t="s">
        <v>574</v>
      </c>
    </row>
    <row r="74" spans="1:4">
      <c r="C74" s="470" t="s">
        <v>572</v>
      </c>
      <c r="D74" s="470" t="s">
        <v>576</v>
      </c>
    </row>
    <row r="75" spans="1:4">
      <c r="B75" t="s">
        <v>252</v>
      </c>
    </row>
    <row r="76" spans="1:4">
      <c r="A76" s="474" t="s">
        <v>276</v>
      </c>
      <c r="B76" s="469" t="s">
        <v>579</v>
      </c>
    </row>
    <row r="77" spans="1:4">
      <c r="C77" s="470" t="s">
        <v>572</v>
      </c>
      <c r="D77" s="470" t="s">
        <v>576</v>
      </c>
    </row>
    <row r="78" spans="1:4">
      <c r="A78" s="474" t="s">
        <v>580</v>
      </c>
      <c r="B78" s="469" t="s">
        <v>581</v>
      </c>
    </row>
    <row r="79" spans="1:4">
      <c r="C79" s="470" t="s">
        <v>582</v>
      </c>
      <c r="D79" s="470" t="s">
        <v>257</v>
      </c>
    </row>
    <row r="80" spans="1:4">
      <c r="A80" s="473"/>
    </row>
  </sheetData>
  <mergeCells count="5">
    <mergeCell ref="E7:P7"/>
    <mergeCell ref="E10:P10"/>
    <mergeCell ref="D17:F17"/>
    <mergeCell ref="D15:F15"/>
    <mergeCell ref="N52:O5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5">
    <tabColor rgb="FF92D050"/>
  </sheetPr>
  <dimension ref="B4:X111"/>
  <sheetViews>
    <sheetView showGridLines="0" zoomScale="85" zoomScaleNormal="85" workbookViewId="0">
      <selection activeCell="L96" sqref="L96"/>
    </sheetView>
  </sheetViews>
  <sheetFormatPr defaultRowHeight="15" outlineLevelCol="1"/>
  <cols>
    <col min="1" max="1" width="2.85546875" customWidth="1"/>
    <col min="2" max="2" width="2" bestFit="1" customWidth="1"/>
    <col min="3" max="3" width="8" customWidth="1"/>
    <col min="4" max="4" width="31.28515625" customWidth="1"/>
    <col min="5" max="5" width="12" customWidth="1"/>
    <col min="6" max="6" width="60.7109375" bestFit="1" customWidth="1"/>
    <col min="7" max="7" width="11" bestFit="1" customWidth="1"/>
    <col min="8" max="8" width="13.85546875" customWidth="1"/>
    <col min="9" max="15" width="12.28515625" customWidth="1" outlineLevel="1"/>
    <col min="16" max="22" width="14.7109375" customWidth="1" outlineLevel="1"/>
    <col min="23" max="23" width="10.7109375" customWidth="1"/>
    <col min="24" max="24" width="15" bestFit="1" customWidth="1"/>
  </cols>
  <sheetData>
    <row r="4" spans="2:24" ht="18.75">
      <c r="C4" s="268" t="s">
        <v>352</v>
      </c>
      <c r="D4" s="269"/>
    </row>
    <row r="6" spans="2:24">
      <c r="B6" s="638"/>
      <c r="C6" s="638"/>
      <c r="D6" s="638"/>
      <c r="E6" s="638"/>
      <c r="F6" s="638"/>
      <c r="G6" s="638"/>
      <c r="H6" s="638"/>
      <c r="I6" s="635" t="s">
        <v>334</v>
      </c>
      <c r="J6" s="635"/>
      <c r="K6" s="635"/>
      <c r="L6" s="635"/>
      <c r="M6" s="635"/>
      <c r="N6" s="635"/>
      <c r="O6" s="635"/>
      <c r="P6" s="636" t="s">
        <v>335</v>
      </c>
      <c r="Q6" s="636"/>
      <c r="R6" s="636"/>
      <c r="S6" s="636"/>
      <c r="T6" s="636"/>
      <c r="U6" s="636"/>
      <c r="V6" s="636"/>
      <c r="W6" s="637" t="s">
        <v>79</v>
      </c>
      <c r="X6" s="637"/>
    </row>
    <row r="7" spans="2:24" ht="53.25" customHeight="1">
      <c r="B7" s="634" t="s">
        <v>320</v>
      </c>
      <c r="C7" s="634"/>
      <c r="D7" s="259" t="s">
        <v>331</v>
      </c>
      <c r="E7" s="259" t="s">
        <v>82</v>
      </c>
      <c r="F7" s="259" t="s">
        <v>329</v>
      </c>
      <c r="G7" s="259" t="s">
        <v>332</v>
      </c>
      <c r="H7" s="259" t="s">
        <v>333</v>
      </c>
      <c r="I7" s="259" t="s">
        <v>85</v>
      </c>
      <c r="J7" s="259" t="s">
        <v>33</v>
      </c>
      <c r="K7" s="259" t="s">
        <v>34</v>
      </c>
      <c r="L7" s="259" t="s">
        <v>35</v>
      </c>
      <c r="M7" s="259" t="s">
        <v>36</v>
      </c>
      <c r="N7" s="259" t="s">
        <v>37</v>
      </c>
      <c r="O7" s="259" t="s">
        <v>38</v>
      </c>
      <c r="P7" s="259" t="s">
        <v>85</v>
      </c>
      <c r="Q7" s="259" t="s">
        <v>33</v>
      </c>
      <c r="R7" s="259" t="s">
        <v>34</v>
      </c>
      <c r="S7" s="259" t="s">
        <v>35</v>
      </c>
      <c r="T7" s="259" t="s">
        <v>36</v>
      </c>
      <c r="U7" s="259" t="s">
        <v>37</v>
      </c>
      <c r="V7" s="259" t="s">
        <v>38</v>
      </c>
      <c r="W7" s="259" t="s">
        <v>312</v>
      </c>
      <c r="X7" s="259" t="s">
        <v>335</v>
      </c>
    </row>
    <row r="8" spans="2:24" ht="16.5" thickBot="1">
      <c r="B8" s="373">
        <v>1</v>
      </c>
      <c r="C8" s="373" t="s">
        <v>321</v>
      </c>
      <c r="D8" s="372"/>
      <c r="E8" s="372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  <c r="X8" s="372"/>
    </row>
    <row r="9" spans="2:24" ht="16.5" thickTop="1" thickBot="1">
      <c r="B9" s="374"/>
      <c r="C9" s="375"/>
      <c r="D9" s="383" t="s">
        <v>526</v>
      </c>
      <c r="E9" s="384" t="s">
        <v>294</v>
      </c>
      <c r="F9" s="261" t="s">
        <v>12</v>
      </c>
      <c r="G9" s="375" t="s">
        <v>91</v>
      </c>
      <c r="H9" s="376">
        <v>15000000</v>
      </c>
      <c r="I9" s="380">
        <v>1</v>
      </c>
      <c r="J9" s="380"/>
      <c r="K9" s="380"/>
      <c r="L9" s="380"/>
      <c r="M9" s="380"/>
      <c r="N9" s="380"/>
      <c r="O9" s="381"/>
      <c r="P9" s="377">
        <f>I9*$H9</f>
        <v>15000000</v>
      </c>
      <c r="Q9" s="377">
        <f t="shared" ref="Q9:V9" si="0">J9*$H9</f>
        <v>0</v>
      </c>
      <c r="R9" s="377">
        <f t="shared" si="0"/>
        <v>0</v>
      </c>
      <c r="S9" s="377">
        <f t="shared" si="0"/>
        <v>0</v>
      </c>
      <c r="T9" s="377">
        <f t="shared" si="0"/>
        <v>0</v>
      </c>
      <c r="U9" s="377">
        <f t="shared" si="0"/>
        <v>0</v>
      </c>
      <c r="V9" s="378">
        <f t="shared" si="0"/>
        <v>0</v>
      </c>
      <c r="W9" s="379">
        <f>SUM(I9:O9)</f>
        <v>1</v>
      </c>
      <c r="X9" s="382">
        <f>SUM(P9:V9)</f>
        <v>15000000</v>
      </c>
    </row>
    <row r="10" spans="2:24" ht="16.5" thickTop="1" thickBot="1">
      <c r="B10" s="374"/>
      <c r="C10" s="375"/>
      <c r="D10" s="383" t="s">
        <v>526</v>
      </c>
      <c r="E10" s="384" t="s">
        <v>294</v>
      </c>
      <c r="F10" s="261" t="s">
        <v>15</v>
      </c>
      <c r="G10" s="375" t="s">
        <v>91</v>
      </c>
      <c r="H10" s="376">
        <v>22351000</v>
      </c>
      <c r="I10" s="380">
        <v>1</v>
      </c>
      <c r="J10" s="380"/>
      <c r="K10" s="380"/>
      <c r="L10" s="380"/>
      <c r="M10" s="380"/>
      <c r="N10" s="380"/>
      <c r="O10" s="381"/>
      <c r="P10" s="377">
        <f t="shared" ref="P10:P13" si="1">I10*$H10</f>
        <v>22351000</v>
      </c>
      <c r="Q10" s="377">
        <f t="shared" ref="Q10:Q13" si="2">J10*$H10</f>
        <v>0</v>
      </c>
      <c r="R10" s="377">
        <f t="shared" ref="R10:R13" si="3">K10*$H10</f>
        <v>0</v>
      </c>
      <c r="S10" s="377">
        <f t="shared" ref="S10:S13" si="4">L10*$H10</f>
        <v>0</v>
      </c>
      <c r="T10" s="377">
        <f t="shared" ref="T10:T13" si="5">M10*$H10</f>
        <v>0</v>
      </c>
      <c r="U10" s="377">
        <f t="shared" ref="U10:U13" si="6">N10*$H10</f>
        <v>0</v>
      </c>
      <c r="V10" s="378">
        <f t="shared" ref="V10:V13" si="7">O10*$H10</f>
        <v>0</v>
      </c>
      <c r="W10" s="379">
        <f t="shared" ref="W10:W13" si="8">SUM(I10:O10)</f>
        <v>1</v>
      </c>
      <c r="X10" s="382">
        <f t="shared" ref="X10:X13" si="9">SUM(P10:V10)</f>
        <v>22351000</v>
      </c>
    </row>
    <row r="11" spans="2:24" ht="16.5" thickTop="1" thickBot="1">
      <c r="B11" s="374"/>
      <c r="C11" s="375"/>
      <c r="D11" s="383" t="s">
        <v>527</v>
      </c>
      <c r="E11" s="384" t="s">
        <v>294</v>
      </c>
      <c r="F11" s="261" t="s">
        <v>19</v>
      </c>
      <c r="G11" s="375" t="s">
        <v>91</v>
      </c>
      <c r="H11" s="376">
        <v>1930000</v>
      </c>
      <c r="I11" s="380">
        <v>1</v>
      </c>
      <c r="J11" s="380"/>
      <c r="K11" s="380"/>
      <c r="L11" s="380"/>
      <c r="M11" s="380"/>
      <c r="N11" s="380"/>
      <c r="O11" s="381"/>
      <c r="P11" s="377">
        <f t="shared" si="1"/>
        <v>1930000</v>
      </c>
      <c r="Q11" s="377">
        <f t="shared" si="2"/>
        <v>0</v>
      </c>
      <c r="R11" s="377">
        <f t="shared" si="3"/>
        <v>0</v>
      </c>
      <c r="S11" s="377">
        <f t="shared" si="4"/>
        <v>0</v>
      </c>
      <c r="T11" s="377">
        <f t="shared" si="5"/>
        <v>0</v>
      </c>
      <c r="U11" s="377">
        <f t="shared" si="6"/>
        <v>0</v>
      </c>
      <c r="V11" s="378">
        <f t="shared" si="7"/>
        <v>0</v>
      </c>
      <c r="W11" s="379">
        <f t="shared" si="8"/>
        <v>1</v>
      </c>
      <c r="X11" s="382">
        <f t="shared" si="9"/>
        <v>1930000</v>
      </c>
    </row>
    <row r="12" spans="2:24" ht="16.5" thickTop="1" thickBot="1">
      <c r="B12" s="374"/>
      <c r="C12" s="375"/>
      <c r="D12" s="383" t="s">
        <v>526</v>
      </c>
      <c r="E12" s="384" t="s">
        <v>294</v>
      </c>
      <c r="F12" s="261" t="s">
        <v>23</v>
      </c>
      <c r="G12" s="375" t="s">
        <v>91</v>
      </c>
      <c r="H12" s="376">
        <v>1124880</v>
      </c>
      <c r="I12" s="380"/>
      <c r="J12" s="380"/>
      <c r="K12" s="380"/>
      <c r="L12" s="380"/>
      <c r="M12" s="380"/>
      <c r="N12" s="380"/>
      <c r="O12" s="381"/>
      <c r="P12" s="377">
        <f t="shared" si="1"/>
        <v>0</v>
      </c>
      <c r="Q12" s="377">
        <f t="shared" si="2"/>
        <v>0</v>
      </c>
      <c r="R12" s="377">
        <f t="shared" si="3"/>
        <v>0</v>
      </c>
      <c r="S12" s="377">
        <f t="shared" si="4"/>
        <v>0</v>
      </c>
      <c r="T12" s="377">
        <f t="shared" si="5"/>
        <v>0</v>
      </c>
      <c r="U12" s="377">
        <f t="shared" si="6"/>
        <v>0</v>
      </c>
      <c r="V12" s="378">
        <f t="shared" si="7"/>
        <v>0</v>
      </c>
      <c r="W12" s="379">
        <f t="shared" si="8"/>
        <v>0</v>
      </c>
      <c r="X12" s="382">
        <f t="shared" si="9"/>
        <v>0</v>
      </c>
    </row>
    <row r="13" spans="2:24" ht="16.5" thickTop="1" thickBot="1">
      <c r="B13" s="374"/>
      <c r="C13" s="375"/>
      <c r="D13" s="383" t="s">
        <v>526</v>
      </c>
      <c r="E13" s="384" t="s">
        <v>294</v>
      </c>
      <c r="F13" s="261" t="s">
        <v>26</v>
      </c>
      <c r="G13" s="375" t="s">
        <v>91</v>
      </c>
      <c r="H13" s="376">
        <v>13399488</v>
      </c>
      <c r="I13" s="380"/>
      <c r="J13" s="380"/>
      <c r="K13" s="380"/>
      <c r="L13" s="380"/>
      <c r="M13" s="380"/>
      <c r="N13" s="380"/>
      <c r="O13" s="381"/>
      <c r="P13" s="377">
        <f t="shared" si="1"/>
        <v>0</v>
      </c>
      <c r="Q13" s="377">
        <f t="shared" si="2"/>
        <v>0</v>
      </c>
      <c r="R13" s="377">
        <f t="shared" si="3"/>
        <v>0</v>
      </c>
      <c r="S13" s="377">
        <f t="shared" si="4"/>
        <v>0</v>
      </c>
      <c r="T13" s="377">
        <f t="shared" si="5"/>
        <v>0</v>
      </c>
      <c r="U13" s="377">
        <f t="shared" si="6"/>
        <v>0</v>
      </c>
      <c r="V13" s="378">
        <f t="shared" si="7"/>
        <v>0</v>
      </c>
      <c r="W13" s="379">
        <f t="shared" si="8"/>
        <v>0</v>
      </c>
      <c r="X13" s="382">
        <f t="shared" si="9"/>
        <v>0</v>
      </c>
    </row>
    <row r="14" spans="2:24" ht="19.5" thickTop="1">
      <c r="B14" s="396"/>
      <c r="C14" s="405"/>
      <c r="D14" s="398" t="s">
        <v>528</v>
      </c>
      <c r="E14" s="397"/>
      <c r="F14" s="406">
        <f>X14</f>
        <v>39281000</v>
      </c>
      <c r="G14" s="400"/>
      <c r="H14" s="401"/>
      <c r="I14" s="399"/>
      <c r="J14" s="399"/>
      <c r="K14" s="399"/>
      <c r="L14" s="399"/>
      <c r="M14" s="399"/>
      <c r="N14" s="399"/>
      <c r="O14" s="399"/>
      <c r="P14" s="402"/>
      <c r="Q14" s="402"/>
      <c r="R14" s="402"/>
      <c r="S14" s="402"/>
      <c r="T14" s="402"/>
      <c r="U14" s="402"/>
      <c r="V14" s="402"/>
      <c r="W14" s="403"/>
      <c r="X14" s="404">
        <f t="shared" ref="X14" si="10">SUM(X9:X13)</f>
        <v>39281000</v>
      </c>
    </row>
    <row r="16" spans="2:24" ht="16.5" thickBot="1">
      <c r="B16" s="373">
        <v>2</v>
      </c>
      <c r="C16" s="373" t="s">
        <v>245</v>
      </c>
      <c r="D16" s="372"/>
      <c r="E16" s="372"/>
      <c r="F16" s="372"/>
      <c r="G16" s="372"/>
      <c r="H16" s="372"/>
      <c r="I16" s="372"/>
      <c r="J16" s="372"/>
      <c r="K16" s="372"/>
      <c r="L16" s="372"/>
      <c r="M16" s="372"/>
      <c r="N16" s="372"/>
      <c r="O16" s="372"/>
      <c r="P16" s="372"/>
      <c r="Q16" s="372"/>
      <c r="R16" s="372"/>
      <c r="S16" s="372"/>
      <c r="T16" s="372"/>
      <c r="U16" s="372"/>
      <c r="V16" s="372"/>
      <c r="W16" s="372"/>
      <c r="X16" s="372"/>
    </row>
    <row r="17" spans="2:24" ht="16.5" thickTop="1" thickBot="1">
      <c r="B17" s="374"/>
      <c r="C17" s="375"/>
      <c r="D17" s="383"/>
      <c r="E17" s="384" t="s">
        <v>294</v>
      </c>
      <c r="F17" s="261" t="s">
        <v>95</v>
      </c>
      <c r="G17" s="375" t="s">
        <v>96</v>
      </c>
      <c r="H17" s="376">
        <v>1124880</v>
      </c>
      <c r="I17" s="380">
        <v>1</v>
      </c>
      <c r="J17" s="380">
        <v>4</v>
      </c>
      <c r="K17" s="380">
        <v>8</v>
      </c>
      <c r="L17" s="380">
        <v>0</v>
      </c>
      <c r="M17" s="380">
        <v>18</v>
      </c>
      <c r="N17" s="380">
        <v>0</v>
      </c>
      <c r="O17" s="381">
        <v>11</v>
      </c>
      <c r="P17" s="377">
        <f t="shared" ref="P17:P19" si="11">I17*$H17</f>
        <v>1124880</v>
      </c>
      <c r="Q17" s="377">
        <f t="shared" ref="Q17:Q19" si="12">J17*$H17</f>
        <v>4499520</v>
      </c>
      <c r="R17" s="377">
        <f t="shared" ref="R17:R19" si="13">K17*$H17</f>
        <v>8999040</v>
      </c>
      <c r="S17" s="377">
        <f t="shared" ref="S17:S19" si="14">L17*$H17</f>
        <v>0</v>
      </c>
      <c r="T17" s="377">
        <f t="shared" ref="T17:T19" si="15">M17*$H17</f>
        <v>20247840</v>
      </c>
      <c r="U17" s="377">
        <f t="shared" ref="U17:U19" si="16">N17*$H17</f>
        <v>0</v>
      </c>
      <c r="V17" s="378">
        <f t="shared" ref="V17:V19" si="17">O17*$H17</f>
        <v>12373680</v>
      </c>
      <c r="W17" s="379">
        <f t="shared" ref="W17:W19" si="18">SUM(I17:O17)</f>
        <v>42</v>
      </c>
      <c r="X17" s="382">
        <f t="shared" ref="X17:X19" si="19">SUM(P17:V17)</f>
        <v>47244960</v>
      </c>
    </row>
    <row r="18" spans="2:24" ht="5.25" customHeight="1" thickTop="1" thickBot="1"/>
    <row r="19" spans="2:24" ht="16.5" thickTop="1" thickBot="1">
      <c r="B19" s="374"/>
      <c r="C19" s="375"/>
      <c r="D19" s="383" t="s">
        <v>324</v>
      </c>
      <c r="E19" s="384" t="s">
        <v>102</v>
      </c>
      <c r="F19" s="261" t="s">
        <v>103</v>
      </c>
      <c r="G19" s="375" t="s">
        <v>336</v>
      </c>
      <c r="H19" s="376">
        <v>286.61</v>
      </c>
      <c r="I19" s="380"/>
      <c r="J19" s="380"/>
      <c r="K19" s="380"/>
      <c r="L19" s="380"/>
      <c r="M19" s="380"/>
      <c r="N19" s="380"/>
      <c r="O19" s="381"/>
      <c r="P19" s="377">
        <f t="shared" si="11"/>
        <v>0</v>
      </c>
      <c r="Q19" s="377">
        <f t="shared" si="12"/>
        <v>0</v>
      </c>
      <c r="R19" s="377">
        <f t="shared" si="13"/>
        <v>0</v>
      </c>
      <c r="S19" s="377">
        <f t="shared" si="14"/>
        <v>0</v>
      </c>
      <c r="T19" s="377">
        <f t="shared" si="15"/>
        <v>0</v>
      </c>
      <c r="U19" s="377">
        <f t="shared" si="16"/>
        <v>0</v>
      </c>
      <c r="V19" s="378">
        <f t="shared" si="17"/>
        <v>0</v>
      </c>
      <c r="W19" s="379">
        <f t="shared" si="18"/>
        <v>0</v>
      </c>
      <c r="X19" s="382">
        <f t="shared" si="19"/>
        <v>0</v>
      </c>
    </row>
    <row r="20" spans="2:24" ht="16.5" thickTop="1" thickBot="1">
      <c r="B20" s="374"/>
      <c r="C20" s="375"/>
      <c r="D20" s="383" t="s">
        <v>324</v>
      </c>
      <c r="E20" s="384" t="s">
        <v>102</v>
      </c>
      <c r="F20" s="261" t="s">
        <v>105</v>
      </c>
      <c r="G20" s="375" t="s">
        <v>336</v>
      </c>
      <c r="H20" s="376">
        <v>210.52</v>
      </c>
      <c r="I20" s="380"/>
      <c r="J20" s="380">
        <v>360</v>
      </c>
      <c r="K20" s="380"/>
      <c r="L20" s="380"/>
      <c r="M20" s="380"/>
      <c r="N20" s="380"/>
      <c r="O20" s="381"/>
      <c r="P20" s="377">
        <f t="shared" ref="P20:P23" si="20">I20*$H20</f>
        <v>0</v>
      </c>
      <c r="Q20" s="377">
        <f t="shared" ref="Q20:Q23" si="21">J20*$H20</f>
        <v>75787.199999999997</v>
      </c>
      <c r="R20" s="377">
        <f t="shared" ref="R20:R23" si="22">K20*$H20</f>
        <v>0</v>
      </c>
      <c r="S20" s="377">
        <f t="shared" ref="S20:S23" si="23">L20*$H20</f>
        <v>0</v>
      </c>
      <c r="T20" s="377">
        <f t="shared" ref="T20:T23" si="24">M20*$H20</f>
        <v>0</v>
      </c>
      <c r="U20" s="377">
        <f t="shared" ref="U20:U23" si="25">N20*$H20</f>
        <v>0</v>
      </c>
      <c r="V20" s="378">
        <f t="shared" ref="V20:V23" si="26">O20*$H20</f>
        <v>0</v>
      </c>
      <c r="W20" s="379">
        <f t="shared" ref="W20:W23" si="27">SUM(I20:O20)</f>
        <v>360</v>
      </c>
      <c r="X20" s="382">
        <f t="shared" ref="X20:X23" si="28">SUM(P20:V20)</f>
        <v>75787.199999999997</v>
      </c>
    </row>
    <row r="21" spans="2:24" ht="16.5" thickTop="1" thickBot="1">
      <c r="B21" s="374"/>
      <c r="C21" s="375"/>
      <c r="D21" s="383" t="s">
        <v>324</v>
      </c>
      <c r="E21" s="384" t="s">
        <v>102</v>
      </c>
      <c r="F21" s="261" t="s">
        <v>106</v>
      </c>
      <c r="G21" s="375" t="s">
        <v>336</v>
      </c>
      <c r="H21" s="376">
        <v>245.72</v>
      </c>
      <c r="I21" s="380"/>
      <c r="J21" s="380"/>
      <c r="K21" s="380">
        <v>990</v>
      </c>
      <c r="L21" s="380"/>
      <c r="M21" s="380"/>
      <c r="N21" s="380"/>
      <c r="O21" s="381"/>
      <c r="P21" s="377">
        <f t="shared" si="20"/>
        <v>0</v>
      </c>
      <c r="Q21" s="377">
        <f t="shared" si="21"/>
        <v>0</v>
      </c>
      <c r="R21" s="377">
        <f t="shared" si="22"/>
        <v>243262.8</v>
      </c>
      <c r="S21" s="377">
        <f t="shared" si="23"/>
        <v>0</v>
      </c>
      <c r="T21" s="377">
        <f t="shared" si="24"/>
        <v>0</v>
      </c>
      <c r="U21" s="377">
        <f t="shared" si="25"/>
        <v>0</v>
      </c>
      <c r="V21" s="378">
        <f t="shared" si="26"/>
        <v>0</v>
      </c>
      <c r="W21" s="379">
        <f t="shared" si="27"/>
        <v>990</v>
      </c>
      <c r="X21" s="382">
        <f t="shared" si="28"/>
        <v>243262.8</v>
      </c>
    </row>
    <row r="22" spans="2:24" ht="16.5" thickTop="1" thickBot="1">
      <c r="B22" s="374"/>
      <c r="C22" s="375"/>
      <c r="D22" s="383" t="s">
        <v>324</v>
      </c>
      <c r="E22" s="384" t="s">
        <v>102</v>
      </c>
      <c r="F22" s="261" t="s">
        <v>107</v>
      </c>
      <c r="G22" s="375" t="s">
        <v>336</v>
      </c>
      <c r="H22" s="376">
        <v>208.79</v>
      </c>
      <c r="I22" s="380"/>
      <c r="J22" s="380"/>
      <c r="K22" s="380"/>
      <c r="L22" s="380"/>
      <c r="M22" s="380">
        <v>2950</v>
      </c>
      <c r="N22" s="380"/>
      <c r="O22" s="381"/>
      <c r="P22" s="377">
        <f t="shared" si="20"/>
        <v>0</v>
      </c>
      <c r="Q22" s="377">
        <f t="shared" si="21"/>
        <v>0</v>
      </c>
      <c r="R22" s="377">
        <f t="shared" si="22"/>
        <v>0</v>
      </c>
      <c r="S22" s="377">
        <f t="shared" si="23"/>
        <v>0</v>
      </c>
      <c r="T22" s="377">
        <f t="shared" si="24"/>
        <v>615930.5</v>
      </c>
      <c r="U22" s="377">
        <f t="shared" si="25"/>
        <v>0</v>
      </c>
      <c r="V22" s="378">
        <f t="shared" si="26"/>
        <v>0</v>
      </c>
      <c r="W22" s="379">
        <f t="shared" si="27"/>
        <v>2950</v>
      </c>
      <c r="X22" s="382">
        <f t="shared" si="28"/>
        <v>615930.5</v>
      </c>
    </row>
    <row r="23" spans="2:24" ht="16.5" thickTop="1" thickBot="1">
      <c r="B23" s="374"/>
      <c r="C23" s="375"/>
      <c r="D23" s="383" t="s">
        <v>324</v>
      </c>
      <c r="E23" s="384" t="s">
        <v>102</v>
      </c>
      <c r="F23" s="261" t="s">
        <v>108</v>
      </c>
      <c r="G23" s="375" t="s">
        <v>336</v>
      </c>
      <c r="H23" s="376">
        <v>281.7</v>
      </c>
      <c r="I23" s="380"/>
      <c r="J23" s="380"/>
      <c r="K23" s="380"/>
      <c r="L23" s="380"/>
      <c r="M23" s="380"/>
      <c r="N23" s="380"/>
      <c r="O23" s="381">
        <v>900</v>
      </c>
      <c r="P23" s="377">
        <f t="shared" si="20"/>
        <v>0</v>
      </c>
      <c r="Q23" s="377">
        <f t="shared" si="21"/>
        <v>0</v>
      </c>
      <c r="R23" s="377">
        <f t="shared" si="22"/>
        <v>0</v>
      </c>
      <c r="S23" s="377">
        <f t="shared" si="23"/>
        <v>0</v>
      </c>
      <c r="T23" s="377">
        <f t="shared" si="24"/>
        <v>0</v>
      </c>
      <c r="U23" s="377">
        <f t="shared" si="25"/>
        <v>0</v>
      </c>
      <c r="V23" s="378">
        <f t="shared" si="26"/>
        <v>253530</v>
      </c>
      <c r="W23" s="379">
        <f t="shared" si="27"/>
        <v>900</v>
      </c>
      <c r="X23" s="382">
        <f t="shared" si="28"/>
        <v>253530</v>
      </c>
    </row>
    <row r="24" spans="2:24" ht="16.5" thickTop="1" thickBot="1">
      <c r="B24" s="385"/>
      <c r="C24" s="386"/>
      <c r="D24" s="387" t="s">
        <v>529</v>
      </c>
      <c r="E24" s="388"/>
      <c r="F24" s="390"/>
      <c r="G24" s="386"/>
      <c r="H24" s="389"/>
      <c r="I24" s="390">
        <f>SUM(I19:I23)</f>
        <v>0</v>
      </c>
      <c r="J24" s="390">
        <f t="shared" ref="J24" si="29">SUM(J19:J23)</f>
        <v>360</v>
      </c>
      <c r="K24" s="390">
        <f t="shared" ref="K24" si="30">SUM(K19:K23)</f>
        <v>990</v>
      </c>
      <c r="L24" s="390">
        <f t="shared" ref="L24" si="31">SUM(L19:L23)</f>
        <v>0</v>
      </c>
      <c r="M24" s="390">
        <f t="shared" ref="M24" si="32">SUM(M19:M23)</f>
        <v>2950</v>
      </c>
      <c r="N24" s="390">
        <f t="shared" ref="N24" si="33">SUM(N19:N23)</f>
        <v>0</v>
      </c>
      <c r="O24" s="391">
        <f t="shared" ref="O24" si="34">SUM(O19:O23)</f>
        <v>900</v>
      </c>
      <c r="P24" s="392">
        <f t="shared" ref="P24" si="35">SUM(P19:P23)</f>
        <v>0</v>
      </c>
      <c r="Q24" s="392">
        <f t="shared" ref="Q24" si="36">SUM(Q19:Q23)</f>
        <v>75787.199999999997</v>
      </c>
      <c r="R24" s="392">
        <f t="shared" ref="R24" si="37">SUM(R19:R23)</f>
        <v>243262.8</v>
      </c>
      <c r="S24" s="392">
        <f t="shared" ref="S24" si="38">SUM(S19:S23)</f>
        <v>0</v>
      </c>
      <c r="T24" s="392">
        <f t="shared" ref="T24" si="39">SUM(T19:T23)</f>
        <v>615930.5</v>
      </c>
      <c r="U24" s="392">
        <f t="shared" ref="U24" si="40">SUM(U19:U23)</f>
        <v>0</v>
      </c>
      <c r="V24" s="393">
        <f t="shared" ref="V24" si="41">SUM(V19:V23)</f>
        <v>253530</v>
      </c>
      <c r="W24" s="394">
        <f t="shared" ref="W24" si="42">SUM(W19:W23)</f>
        <v>5200</v>
      </c>
      <c r="X24" s="395">
        <f t="shared" ref="X24" si="43">SUM(X19:X23)</f>
        <v>1188510.5</v>
      </c>
    </row>
    <row r="25" spans="2:24" ht="16.5" thickTop="1" thickBot="1">
      <c r="B25" s="374"/>
      <c r="C25" s="375"/>
      <c r="D25" s="383" t="s">
        <v>530</v>
      </c>
      <c r="E25" s="384" t="s">
        <v>125</v>
      </c>
      <c r="F25" s="261" t="s">
        <v>126</v>
      </c>
      <c r="G25" s="375" t="s">
        <v>113</v>
      </c>
      <c r="H25" s="376">
        <v>247200.12</v>
      </c>
      <c r="I25" s="380"/>
      <c r="J25" s="380">
        <v>3.5</v>
      </c>
      <c r="K25" s="380">
        <v>7</v>
      </c>
      <c r="L25" s="380"/>
      <c r="M25" s="380">
        <v>14</v>
      </c>
      <c r="N25" s="380"/>
      <c r="O25" s="381"/>
      <c r="P25" s="377">
        <f t="shared" ref="P25:P34" si="44">I25*$H25</f>
        <v>0</v>
      </c>
      <c r="Q25" s="377">
        <f t="shared" ref="Q25:Q34" si="45">J25*$H25</f>
        <v>865200.41999999993</v>
      </c>
      <c r="R25" s="377">
        <f t="shared" ref="R25:R34" si="46">K25*$H25</f>
        <v>1730400.8399999999</v>
      </c>
      <c r="S25" s="377">
        <f t="shared" ref="S25:S34" si="47">L25*$H25</f>
        <v>0</v>
      </c>
      <c r="T25" s="377">
        <f t="shared" ref="T25:T34" si="48">M25*$H25</f>
        <v>3460801.6799999997</v>
      </c>
      <c r="U25" s="377">
        <f t="shared" ref="U25:U34" si="49">N25*$H25</f>
        <v>0</v>
      </c>
      <c r="V25" s="378">
        <f t="shared" ref="V25:V34" si="50">O25*$H25</f>
        <v>0</v>
      </c>
      <c r="W25" s="379">
        <f t="shared" ref="W25:W34" si="51">SUM(I25:O25)</f>
        <v>24.5</v>
      </c>
      <c r="X25" s="382">
        <f t="shared" ref="X25:X34" si="52">SUM(P25:V25)</f>
        <v>6056402.9399999995</v>
      </c>
    </row>
    <row r="26" spans="2:24" ht="16.5" thickTop="1" thickBot="1">
      <c r="B26" s="374"/>
      <c r="C26" s="375"/>
      <c r="D26" s="383" t="s">
        <v>530</v>
      </c>
      <c r="E26" s="384" t="s">
        <v>125</v>
      </c>
      <c r="F26" s="261" t="s">
        <v>127</v>
      </c>
      <c r="G26" s="375" t="s">
        <v>113</v>
      </c>
      <c r="H26" s="376">
        <v>70275.070000000007</v>
      </c>
      <c r="I26" s="380"/>
      <c r="J26" s="380">
        <v>0.5</v>
      </c>
      <c r="K26" s="380">
        <v>1</v>
      </c>
      <c r="L26" s="380"/>
      <c r="M26" s="380">
        <v>4</v>
      </c>
      <c r="N26" s="380"/>
      <c r="O26" s="381"/>
      <c r="P26" s="377">
        <f t="shared" ref="P26:P30" si="53">I26*$H26</f>
        <v>0</v>
      </c>
      <c r="Q26" s="377">
        <f t="shared" ref="Q26:Q30" si="54">J26*$H26</f>
        <v>35137.535000000003</v>
      </c>
      <c r="R26" s="377">
        <f t="shared" ref="R26:R30" si="55">K26*$H26</f>
        <v>70275.070000000007</v>
      </c>
      <c r="S26" s="377">
        <f t="shared" ref="S26:S30" si="56">L26*$H26</f>
        <v>0</v>
      </c>
      <c r="T26" s="377">
        <f t="shared" ref="T26:T30" si="57">M26*$H26</f>
        <v>281100.28000000003</v>
      </c>
      <c r="U26" s="377">
        <f t="shared" ref="U26:U30" si="58">N26*$H26</f>
        <v>0</v>
      </c>
      <c r="V26" s="378">
        <f t="shared" ref="V26:V30" si="59">O26*$H26</f>
        <v>0</v>
      </c>
      <c r="W26" s="379">
        <f t="shared" ref="W26:W30" si="60">SUM(I26:O26)</f>
        <v>5.5</v>
      </c>
      <c r="X26" s="382">
        <f t="shared" ref="X26:X30" si="61">SUM(P26:V26)</f>
        <v>386512.88500000001</v>
      </c>
    </row>
    <row r="27" spans="2:24" ht="16.5" thickTop="1" thickBot="1">
      <c r="B27" s="374"/>
      <c r="C27" s="375"/>
      <c r="D27" s="383" t="s">
        <v>530</v>
      </c>
      <c r="E27" s="384" t="s">
        <v>125</v>
      </c>
      <c r="F27" s="261" t="s">
        <v>128</v>
      </c>
      <c r="G27" s="375" t="s">
        <v>113</v>
      </c>
      <c r="H27" s="376">
        <v>198854.02</v>
      </c>
      <c r="I27" s="380"/>
      <c r="J27" s="380"/>
      <c r="K27" s="380"/>
      <c r="L27" s="380"/>
      <c r="M27" s="380"/>
      <c r="N27" s="380"/>
      <c r="O27" s="381"/>
      <c r="P27" s="377">
        <f t="shared" si="53"/>
        <v>0</v>
      </c>
      <c r="Q27" s="377">
        <f t="shared" si="54"/>
        <v>0</v>
      </c>
      <c r="R27" s="377">
        <f t="shared" si="55"/>
        <v>0</v>
      </c>
      <c r="S27" s="377">
        <f t="shared" si="56"/>
        <v>0</v>
      </c>
      <c r="T27" s="377">
        <f t="shared" si="57"/>
        <v>0</v>
      </c>
      <c r="U27" s="377">
        <f t="shared" si="58"/>
        <v>0</v>
      </c>
      <c r="V27" s="378">
        <f t="shared" si="59"/>
        <v>0</v>
      </c>
      <c r="W27" s="379">
        <f t="shared" si="60"/>
        <v>0</v>
      </c>
      <c r="X27" s="382">
        <f t="shared" si="61"/>
        <v>0</v>
      </c>
    </row>
    <row r="28" spans="2:24" ht="16.5" thickTop="1" thickBot="1">
      <c r="B28" s="374"/>
      <c r="C28" s="375"/>
      <c r="D28" s="383" t="s">
        <v>530</v>
      </c>
      <c r="E28" s="384" t="s">
        <v>125</v>
      </c>
      <c r="F28" s="261" t="s">
        <v>129</v>
      </c>
      <c r="G28" s="375" t="s">
        <v>113</v>
      </c>
      <c r="H28" s="376">
        <v>945000</v>
      </c>
      <c r="I28" s="380"/>
      <c r="J28" s="380"/>
      <c r="K28" s="380"/>
      <c r="L28" s="380"/>
      <c r="M28" s="380"/>
      <c r="N28" s="380"/>
      <c r="O28" s="381">
        <v>9</v>
      </c>
      <c r="P28" s="377">
        <f t="shared" si="53"/>
        <v>0</v>
      </c>
      <c r="Q28" s="377">
        <f t="shared" si="54"/>
        <v>0</v>
      </c>
      <c r="R28" s="377">
        <f t="shared" si="55"/>
        <v>0</v>
      </c>
      <c r="S28" s="377">
        <f t="shared" si="56"/>
        <v>0</v>
      </c>
      <c r="T28" s="377">
        <f t="shared" si="57"/>
        <v>0</v>
      </c>
      <c r="U28" s="377">
        <f t="shared" si="58"/>
        <v>0</v>
      </c>
      <c r="V28" s="378">
        <f t="shared" si="59"/>
        <v>8505000</v>
      </c>
      <c r="W28" s="379">
        <f t="shared" si="60"/>
        <v>9</v>
      </c>
      <c r="X28" s="382">
        <f t="shared" si="61"/>
        <v>8505000</v>
      </c>
    </row>
    <row r="29" spans="2:24" ht="16.5" thickTop="1" thickBot="1">
      <c r="B29" s="374"/>
      <c r="C29" s="375"/>
      <c r="D29" s="383" t="s">
        <v>530</v>
      </c>
      <c r="E29" s="384" t="s">
        <v>125</v>
      </c>
      <c r="F29" s="261" t="s">
        <v>130</v>
      </c>
      <c r="G29" s="375" t="s">
        <v>113</v>
      </c>
      <c r="H29" s="376">
        <v>389250</v>
      </c>
      <c r="I29" s="380"/>
      <c r="J29" s="380"/>
      <c r="K29" s="380"/>
      <c r="L29" s="380"/>
      <c r="M29" s="380"/>
      <c r="N29" s="380"/>
      <c r="O29" s="381">
        <v>2</v>
      </c>
      <c r="P29" s="377">
        <f t="shared" si="53"/>
        <v>0</v>
      </c>
      <c r="Q29" s="377">
        <f t="shared" si="54"/>
        <v>0</v>
      </c>
      <c r="R29" s="377">
        <f t="shared" si="55"/>
        <v>0</v>
      </c>
      <c r="S29" s="377">
        <f t="shared" si="56"/>
        <v>0</v>
      </c>
      <c r="T29" s="377">
        <f t="shared" si="57"/>
        <v>0</v>
      </c>
      <c r="U29" s="377">
        <f t="shared" si="58"/>
        <v>0</v>
      </c>
      <c r="V29" s="378">
        <f t="shared" si="59"/>
        <v>778500</v>
      </c>
      <c r="W29" s="379">
        <f t="shared" si="60"/>
        <v>2</v>
      </c>
      <c r="X29" s="382">
        <f t="shared" si="61"/>
        <v>778500</v>
      </c>
    </row>
    <row r="30" spans="2:24" ht="16.5" thickTop="1" thickBot="1">
      <c r="B30" s="374"/>
      <c r="C30" s="375"/>
      <c r="D30" s="383" t="s">
        <v>530</v>
      </c>
      <c r="E30" s="384" t="s">
        <v>125</v>
      </c>
      <c r="F30" s="261" t="s">
        <v>131</v>
      </c>
      <c r="G30" s="375" t="s">
        <v>113</v>
      </c>
      <c r="H30" s="376">
        <v>28407.86</v>
      </c>
      <c r="I30" s="380"/>
      <c r="J30" s="380"/>
      <c r="K30" s="380"/>
      <c r="L30" s="380"/>
      <c r="M30" s="380">
        <v>14</v>
      </c>
      <c r="N30" s="380"/>
      <c r="O30" s="381"/>
      <c r="P30" s="377">
        <f t="shared" si="53"/>
        <v>0</v>
      </c>
      <c r="Q30" s="377">
        <f t="shared" si="54"/>
        <v>0</v>
      </c>
      <c r="R30" s="377">
        <f t="shared" si="55"/>
        <v>0</v>
      </c>
      <c r="S30" s="377">
        <f t="shared" si="56"/>
        <v>0</v>
      </c>
      <c r="T30" s="377">
        <f t="shared" si="57"/>
        <v>397710.04000000004</v>
      </c>
      <c r="U30" s="377">
        <f t="shared" si="58"/>
        <v>0</v>
      </c>
      <c r="V30" s="378">
        <f t="shared" si="59"/>
        <v>0</v>
      </c>
      <c r="W30" s="379">
        <f t="shared" si="60"/>
        <v>14</v>
      </c>
      <c r="X30" s="382">
        <f t="shared" si="61"/>
        <v>397710.04000000004</v>
      </c>
    </row>
    <row r="31" spans="2:24" ht="16.5" thickTop="1" thickBot="1">
      <c r="B31" s="374"/>
      <c r="C31" s="375"/>
      <c r="D31" s="383" t="s">
        <v>530</v>
      </c>
      <c r="E31" s="384" t="s">
        <v>125</v>
      </c>
      <c r="F31" s="261" t="s">
        <v>132</v>
      </c>
      <c r="G31" s="375" t="s">
        <v>113</v>
      </c>
      <c r="H31" s="376">
        <v>36878.519999999997</v>
      </c>
      <c r="I31" s="380">
        <v>1</v>
      </c>
      <c r="J31" s="380"/>
      <c r="K31" s="380"/>
      <c r="L31" s="380"/>
      <c r="M31" s="380"/>
      <c r="N31" s="380"/>
      <c r="O31" s="381"/>
      <c r="P31" s="377">
        <f t="shared" si="44"/>
        <v>36878.519999999997</v>
      </c>
      <c r="Q31" s="377">
        <f t="shared" si="45"/>
        <v>0</v>
      </c>
      <c r="R31" s="377">
        <f t="shared" si="46"/>
        <v>0</v>
      </c>
      <c r="S31" s="377">
        <f t="shared" si="47"/>
        <v>0</v>
      </c>
      <c r="T31" s="377">
        <f t="shared" si="48"/>
        <v>0</v>
      </c>
      <c r="U31" s="377">
        <f t="shared" si="49"/>
        <v>0</v>
      </c>
      <c r="V31" s="378">
        <f t="shared" si="50"/>
        <v>0</v>
      </c>
      <c r="W31" s="379">
        <f t="shared" si="51"/>
        <v>1</v>
      </c>
      <c r="X31" s="382">
        <f t="shared" si="52"/>
        <v>36878.519999999997</v>
      </c>
    </row>
    <row r="32" spans="2:24" ht="16.5" thickTop="1" thickBot="1">
      <c r="B32" s="385"/>
      <c r="C32" s="386"/>
      <c r="D32" s="387" t="s">
        <v>531</v>
      </c>
      <c r="E32" s="388"/>
      <c r="F32" s="390"/>
      <c r="G32" s="386"/>
      <c r="H32" s="389"/>
      <c r="I32" s="390">
        <f>SUM(I25:I31)</f>
        <v>1</v>
      </c>
      <c r="J32" s="390">
        <f t="shared" ref="J32:X32" si="62">SUM(J25:J31)</f>
        <v>4</v>
      </c>
      <c r="K32" s="390">
        <f t="shared" si="62"/>
        <v>8</v>
      </c>
      <c r="L32" s="390">
        <f t="shared" si="62"/>
        <v>0</v>
      </c>
      <c r="M32" s="390">
        <f t="shared" si="62"/>
        <v>32</v>
      </c>
      <c r="N32" s="390">
        <f t="shared" si="62"/>
        <v>0</v>
      </c>
      <c r="O32" s="391">
        <f t="shared" si="62"/>
        <v>11</v>
      </c>
      <c r="P32" s="392">
        <f t="shared" si="62"/>
        <v>36878.519999999997</v>
      </c>
      <c r="Q32" s="392">
        <f t="shared" si="62"/>
        <v>900337.95499999996</v>
      </c>
      <c r="R32" s="392">
        <f t="shared" si="62"/>
        <v>1800675.91</v>
      </c>
      <c r="S32" s="392">
        <f t="shared" si="62"/>
        <v>0</v>
      </c>
      <c r="T32" s="392">
        <f t="shared" si="62"/>
        <v>4139612</v>
      </c>
      <c r="U32" s="392">
        <f t="shared" si="62"/>
        <v>0</v>
      </c>
      <c r="V32" s="393">
        <f t="shared" si="62"/>
        <v>9283500</v>
      </c>
      <c r="W32" s="394">
        <f t="shared" si="62"/>
        <v>56</v>
      </c>
      <c r="X32" s="395">
        <f t="shared" si="62"/>
        <v>16161004.384999998</v>
      </c>
    </row>
    <row r="33" spans="2:24" ht="16.5" thickTop="1" thickBot="1">
      <c r="B33" s="374"/>
      <c r="C33" s="375"/>
      <c r="D33" s="383" t="s">
        <v>532</v>
      </c>
      <c r="E33" s="384" t="s">
        <v>134</v>
      </c>
      <c r="F33" s="261" t="s">
        <v>135</v>
      </c>
      <c r="G33" s="375" t="s">
        <v>136</v>
      </c>
      <c r="H33" s="376">
        <v>3463667</v>
      </c>
      <c r="I33" s="380"/>
      <c r="J33" s="380"/>
      <c r="K33" s="380"/>
      <c r="L33" s="380"/>
      <c r="M33" s="380"/>
      <c r="N33" s="380"/>
      <c r="O33" s="381"/>
      <c r="P33" s="377">
        <f t="shared" si="44"/>
        <v>0</v>
      </c>
      <c r="Q33" s="377">
        <f t="shared" si="45"/>
        <v>0</v>
      </c>
      <c r="R33" s="377">
        <f t="shared" si="46"/>
        <v>0</v>
      </c>
      <c r="S33" s="377">
        <f t="shared" si="47"/>
        <v>0</v>
      </c>
      <c r="T33" s="377">
        <f t="shared" si="48"/>
        <v>0</v>
      </c>
      <c r="U33" s="377">
        <f t="shared" si="49"/>
        <v>0</v>
      </c>
      <c r="V33" s="378">
        <f t="shared" si="50"/>
        <v>0</v>
      </c>
      <c r="W33" s="379">
        <f t="shared" si="51"/>
        <v>0</v>
      </c>
      <c r="X33" s="382">
        <f t="shared" si="52"/>
        <v>0</v>
      </c>
    </row>
    <row r="34" spans="2:24" ht="16.5" thickTop="1" thickBot="1">
      <c r="B34" s="374"/>
      <c r="C34" s="375"/>
      <c r="D34" s="383" t="s">
        <v>532</v>
      </c>
      <c r="E34" s="384" t="s">
        <v>134</v>
      </c>
      <c r="F34" s="261" t="s">
        <v>137</v>
      </c>
      <c r="G34" s="375" t="s">
        <v>136</v>
      </c>
      <c r="H34" s="376">
        <v>6117970.9986800002</v>
      </c>
      <c r="I34" s="380"/>
      <c r="J34" s="380">
        <v>0.2</v>
      </c>
      <c r="K34" s="380">
        <v>0.2</v>
      </c>
      <c r="L34" s="380">
        <v>0.2</v>
      </c>
      <c r="M34" s="380">
        <v>0.2</v>
      </c>
      <c r="N34" s="380"/>
      <c r="O34" s="381">
        <v>0.2</v>
      </c>
      <c r="P34" s="377">
        <f t="shared" si="44"/>
        <v>0</v>
      </c>
      <c r="Q34" s="377">
        <f t="shared" si="45"/>
        <v>1223594.199736</v>
      </c>
      <c r="R34" s="377">
        <f t="shared" si="46"/>
        <v>1223594.199736</v>
      </c>
      <c r="S34" s="377">
        <f t="shared" si="47"/>
        <v>1223594.199736</v>
      </c>
      <c r="T34" s="377">
        <f t="shared" si="48"/>
        <v>1223594.199736</v>
      </c>
      <c r="U34" s="377">
        <f t="shared" si="49"/>
        <v>0</v>
      </c>
      <c r="V34" s="378">
        <f t="shared" si="50"/>
        <v>1223594.199736</v>
      </c>
      <c r="W34" s="379">
        <f t="shared" si="51"/>
        <v>1</v>
      </c>
      <c r="X34" s="382">
        <f t="shared" si="52"/>
        <v>6117970.9986800002</v>
      </c>
    </row>
    <row r="35" spans="2:24" ht="16.5" thickTop="1" thickBot="1">
      <c r="B35" s="374"/>
      <c r="C35" s="375"/>
      <c r="D35" s="383" t="s">
        <v>532</v>
      </c>
      <c r="E35" s="384" t="s">
        <v>134</v>
      </c>
      <c r="F35" s="261" t="s">
        <v>138</v>
      </c>
      <c r="G35" s="375" t="s">
        <v>136</v>
      </c>
      <c r="H35" s="376">
        <v>611797.09986800002</v>
      </c>
      <c r="I35" s="380"/>
      <c r="J35" s="380">
        <v>0.2</v>
      </c>
      <c r="K35" s="380">
        <v>0.2</v>
      </c>
      <c r="L35" s="380">
        <v>0.2</v>
      </c>
      <c r="M35" s="380">
        <v>0.2</v>
      </c>
      <c r="N35" s="380"/>
      <c r="O35" s="381">
        <v>0.2</v>
      </c>
      <c r="P35" s="377">
        <f t="shared" ref="P35:P44" si="63">I35*$H35</f>
        <v>0</v>
      </c>
      <c r="Q35" s="377">
        <f t="shared" ref="Q35:Q44" si="64">J35*$H35</f>
        <v>122359.41997360002</v>
      </c>
      <c r="R35" s="377">
        <f t="shared" ref="R35:R44" si="65">K35*$H35</f>
        <v>122359.41997360002</v>
      </c>
      <c r="S35" s="377">
        <f t="shared" ref="S35:S44" si="66">L35*$H35</f>
        <v>122359.41997360002</v>
      </c>
      <c r="T35" s="377">
        <f t="shared" ref="T35:T44" si="67">M35*$H35</f>
        <v>122359.41997360002</v>
      </c>
      <c r="U35" s="377">
        <f t="shared" ref="U35:U44" si="68">N35*$H35</f>
        <v>0</v>
      </c>
      <c r="V35" s="378">
        <f t="shared" ref="V35:V44" si="69">O35*$H35</f>
        <v>122359.41997360002</v>
      </c>
      <c r="W35" s="379">
        <f t="shared" ref="W35:W44" si="70">SUM(I35:O35)</f>
        <v>1</v>
      </c>
      <c r="X35" s="382">
        <f t="shared" ref="X35:X44" si="71">SUM(P35:V35)</f>
        <v>611797.09986800002</v>
      </c>
    </row>
    <row r="36" spans="2:24" ht="16.5" thickTop="1" thickBot="1">
      <c r="B36" s="374"/>
      <c r="C36" s="375"/>
      <c r="D36" s="383" t="s">
        <v>532</v>
      </c>
      <c r="E36" s="384" t="s">
        <v>134</v>
      </c>
      <c r="F36" s="261" t="s">
        <v>139</v>
      </c>
      <c r="G36" s="375" t="s">
        <v>136</v>
      </c>
      <c r="H36" s="376">
        <v>346366.7</v>
      </c>
      <c r="I36" s="380"/>
      <c r="J36" s="380"/>
      <c r="K36" s="380"/>
      <c r="L36" s="380"/>
      <c r="M36" s="380"/>
      <c r="N36" s="380"/>
      <c r="O36" s="381"/>
      <c r="P36" s="377">
        <f t="shared" si="63"/>
        <v>0</v>
      </c>
      <c r="Q36" s="377">
        <f t="shared" si="64"/>
        <v>0</v>
      </c>
      <c r="R36" s="377">
        <f t="shared" si="65"/>
        <v>0</v>
      </c>
      <c r="S36" s="377">
        <f t="shared" si="66"/>
        <v>0</v>
      </c>
      <c r="T36" s="377">
        <f t="shared" si="67"/>
        <v>0</v>
      </c>
      <c r="U36" s="377">
        <f t="shared" si="68"/>
        <v>0</v>
      </c>
      <c r="V36" s="378">
        <f t="shared" si="69"/>
        <v>0</v>
      </c>
      <c r="W36" s="379">
        <f t="shared" si="70"/>
        <v>0</v>
      </c>
      <c r="X36" s="382">
        <f t="shared" si="71"/>
        <v>0</v>
      </c>
    </row>
    <row r="37" spans="2:24" ht="16.5" thickTop="1" thickBot="1">
      <c r="B37" s="385"/>
      <c r="C37" s="386"/>
      <c r="D37" s="387" t="s">
        <v>533</v>
      </c>
      <c r="E37" s="388"/>
      <c r="F37" s="390"/>
      <c r="G37" s="386"/>
      <c r="H37" s="389"/>
      <c r="I37" s="390">
        <f>SUM(I33:I36)</f>
        <v>0</v>
      </c>
      <c r="J37" s="390">
        <f t="shared" ref="J37:X37" si="72">SUM(J33:J36)</f>
        <v>0.4</v>
      </c>
      <c r="K37" s="390">
        <f t="shared" si="72"/>
        <v>0.4</v>
      </c>
      <c r="L37" s="390">
        <f t="shared" si="72"/>
        <v>0.4</v>
      </c>
      <c r="M37" s="390">
        <f t="shared" si="72"/>
        <v>0.4</v>
      </c>
      <c r="N37" s="390">
        <f t="shared" si="72"/>
        <v>0</v>
      </c>
      <c r="O37" s="391">
        <f t="shared" si="72"/>
        <v>0.4</v>
      </c>
      <c r="P37" s="392">
        <f t="shared" si="72"/>
        <v>0</v>
      </c>
      <c r="Q37" s="392">
        <f t="shared" si="72"/>
        <v>1345953.6197096</v>
      </c>
      <c r="R37" s="392">
        <f t="shared" si="72"/>
        <v>1345953.6197096</v>
      </c>
      <c r="S37" s="392">
        <f t="shared" si="72"/>
        <v>1345953.6197096</v>
      </c>
      <c r="T37" s="392">
        <f t="shared" si="72"/>
        <v>1345953.6197096</v>
      </c>
      <c r="U37" s="392">
        <f t="shared" si="72"/>
        <v>0</v>
      </c>
      <c r="V37" s="393">
        <f t="shared" si="72"/>
        <v>1345953.6197096</v>
      </c>
      <c r="W37" s="394">
        <f t="shared" si="72"/>
        <v>2</v>
      </c>
      <c r="X37" s="395">
        <f t="shared" si="72"/>
        <v>6729768.0985480007</v>
      </c>
    </row>
    <row r="38" spans="2:24" ht="16.5" thickTop="1" thickBot="1">
      <c r="B38" s="374"/>
      <c r="C38" s="375"/>
      <c r="D38" s="383" t="s">
        <v>325</v>
      </c>
      <c r="E38" s="384" t="s">
        <v>143</v>
      </c>
      <c r="F38" s="261" t="s">
        <v>146</v>
      </c>
      <c r="G38" s="375" t="s">
        <v>145</v>
      </c>
      <c r="H38" s="376">
        <v>1108924.71</v>
      </c>
      <c r="I38" s="380"/>
      <c r="J38" s="380">
        <v>1</v>
      </c>
      <c r="K38" s="380"/>
      <c r="L38" s="380"/>
      <c r="M38" s="380"/>
      <c r="N38" s="380"/>
      <c r="O38" s="381"/>
      <c r="P38" s="377">
        <f t="shared" si="63"/>
        <v>0</v>
      </c>
      <c r="Q38" s="377">
        <f t="shared" si="64"/>
        <v>1108924.71</v>
      </c>
      <c r="R38" s="377">
        <f t="shared" si="65"/>
        <v>0</v>
      </c>
      <c r="S38" s="377">
        <f t="shared" si="66"/>
        <v>0</v>
      </c>
      <c r="T38" s="377">
        <f t="shared" si="67"/>
        <v>0</v>
      </c>
      <c r="U38" s="377">
        <f t="shared" si="68"/>
        <v>0</v>
      </c>
      <c r="V38" s="378">
        <f t="shared" si="69"/>
        <v>0</v>
      </c>
      <c r="W38" s="379">
        <f t="shared" si="70"/>
        <v>1</v>
      </c>
      <c r="X38" s="382">
        <f t="shared" si="71"/>
        <v>1108924.71</v>
      </c>
    </row>
    <row r="39" spans="2:24" ht="16.5" thickTop="1" thickBot="1">
      <c r="B39" s="374"/>
      <c r="C39" s="375"/>
      <c r="D39" s="383" t="s">
        <v>325</v>
      </c>
      <c r="E39" s="384" t="s">
        <v>143</v>
      </c>
      <c r="F39" s="261" t="s">
        <v>147</v>
      </c>
      <c r="G39" s="375" t="s">
        <v>145</v>
      </c>
      <c r="H39" s="376">
        <v>1526297.5350000001</v>
      </c>
      <c r="I39" s="380"/>
      <c r="J39" s="380"/>
      <c r="K39" s="380">
        <v>1</v>
      </c>
      <c r="L39" s="380"/>
      <c r="M39" s="380"/>
      <c r="N39" s="380"/>
      <c r="O39" s="381"/>
      <c r="P39" s="377">
        <f t="shared" si="63"/>
        <v>0</v>
      </c>
      <c r="Q39" s="377">
        <f t="shared" si="64"/>
        <v>0</v>
      </c>
      <c r="R39" s="377">
        <f t="shared" si="65"/>
        <v>1526297.5350000001</v>
      </c>
      <c r="S39" s="377">
        <f t="shared" si="66"/>
        <v>0</v>
      </c>
      <c r="T39" s="377">
        <f t="shared" si="67"/>
        <v>0</v>
      </c>
      <c r="U39" s="377">
        <f t="shared" si="68"/>
        <v>0</v>
      </c>
      <c r="V39" s="378">
        <f t="shared" si="69"/>
        <v>0</v>
      </c>
      <c r="W39" s="379">
        <f t="shared" si="70"/>
        <v>1</v>
      </c>
      <c r="X39" s="382">
        <f t="shared" si="71"/>
        <v>1526297.5350000001</v>
      </c>
    </row>
    <row r="40" spans="2:24" ht="16.5" thickTop="1" thickBot="1">
      <c r="B40" s="374"/>
      <c r="C40" s="375"/>
      <c r="D40" s="383" t="s">
        <v>325</v>
      </c>
      <c r="E40" s="384" t="s">
        <v>143</v>
      </c>
      <c r="F40" s="261" t="s">
        <v>148</v>
      </c>
      <c r="G40" s="375" t="s">
        <v>145</v>
      </c>
      <c r="H40" s="376">
        <v>1567470.1500000001</v>
      </c>
      <c r="I40" s="380"/>
      <c r="J40" s="380"/>
      <c r="K40" s="380"/>
      <c r="L40" s="380"/>
      <c r="M40" s="380">
        <v>1</v>
      </c>
      <c r="N40" s="380"/>
      <c r="O40" s="381"/>
      <c r="P40" s="377">
        <f t="shared" si="63"/>
        <v>0</v>
      </c>
      <c r="Q40" s="377">
        <f t="shared" si="64"/>
        <v>0</v>
      </c>
      <c r="R40" s="377">
        <f t="shared" si="65"/>
        <v>0</v>
      </c>
      <c r="S40" s="377">
        <f t="shared" si="66"/>
        <v>0</v>
      </c>
      <c r="T40" s="377">
        <f t="shared" si="67"/>
        <v>1567470.1500000001</v>
      </c>
      <c r="U40" s="377">
        <f t="shared" si="68"/>
        <v>0</v>
      </c>
      <c r="V40" s="378">
        <f t="shared" si="69"/>
        <v>0</v>
      </c>
      <c r="W40" s="379">
        <f t="shared" si="70"/>
        <v>1</v>
      </c>
      <c r="X40" s="382">
        <f t="shared" si="71"/>
        <v>1567470.1500000001</v>
      </c>
    </row>
    <row r="41" spans="2:24" ht="16.5" thickTop="1" thickBot="1">
      <c r="B41" s="374"/>
      <c r="C41" s="375"/>
      <c r="D41" s="383" t="s">
        <v>325</v>
      </c>
      <c r="E41" s="384" t="s">
        <v>143</v>
      </c>
      <c r="F41" s="261" t="s">
        <v>152</v>
      </c>
      <c r="G41" s="375" t="s">
        <v>145</v>
      </c>
      <c r="H41" s="376">
        <v>634645.50000000012</v>
      </c>
      <c r="I41" s="380"/>
      <c r="J41" s="380"/>
      <c r="K41" s="380"/>
      <c r="L41" s="380"/>
      <c r="M41" s="380"/>
      <c r="N41" s="380"/>
      <c r="O41" s="381"/>
      <c r="P41" s="377">
        <f t="shared" si="63"/>
        <v>0</v>
      </c>
      <c r="Q41" s="377">
        <f t="shared" si="64"/>
        <v>0</v>
      </c>
      <c r="R41" s="377">
        <f t="shared" si="65"/>
        <v>0</v>
      </c>
      <c r="S41" s="377">
        <f t="shared" si="66"/>
        <v>0</v>
      </c>
      <c r="T41" s="377">
        <f t="shared" si="67"/>
        <v>0</v>
      </c>
      <c r="U41" s="377">
        <f t="shared" si="68"/>
        <v>0</v>
      </c>
      <c r="V41" s="378">
        <f t="shared" si="69"/>
        <v>0</v>
      </c>
      <c r="W41" s="379">
        <f t="shared" si="70"/>
        <v>0</v>
      </c>
      <c r="X41" s="382">
        <f t="shared" si="71"/>
        <v>0</v>
      </c>
    </row>
    <row r="42" spans="2:24" ht="16.5" thickTop="1" thickBot="1">
      <c r="B42" s="374"/>
      <c r="C42" s="375"/>
      <c r="D42" s="383" t="s">
        <v>325</v>
      </c>
      <c r="E42" s="384" t="s">
        <v>143</v>
      </c>
      <c r="F42" s="261" t="s">
        <v>158</v>
      </c>
      <c r="G42" s="375" t="s">
        <v>145</v>
      </c>
      <c r="H42" s="376">
        <v>412633.98</v>
      </c>
      <c r="I42" s="380"/>
      <c r="J42" s="380"/>
      <c r="K42" s="380"/>
      <c r="L42" s="380"/>
      <c r="M42" s="380">
        <v>3</v>
      </c>
      <c r="N42" s="380"/>
      <c r="O42" s="381"/>
      <c r="P42" s="377">
        <f t="shared" si="63"/>
        <v>0</v>
      </c>
      <c r="Q42" s="377">
        <f t="shared" si="64"/>
        <v>0</v>
      </c>
      <c r="R42" s="377">
        <f t="shared" si="65"/>
        <v>0</v>
      </c>
      <c r="S42" s="377">
        <f t="shared" si="66"/>
        <v>0</v>
      </c>
      <c r="T42" s="377">
        <f t="shared" si="67"/>
        <v>1237901.94</v>
      </c>
      <c r="U42" s="377">
        <f t="shared" si="68"/>
        <v>0</v>
      </c>
      <c r="V42" s="378">
        <f t="shared" si="69"/>
        <v>0</v>
      </c>
      <c r="W42" s="379">
        <f t="shared" si="70"/>
        <v>3</v>
      </c>
      <c r="X42" s="382">
        <f t="shared" si="71"/>
        <v>1237901.94</v>
      </c>
    </row>
    <row r="43" spans="2:24" ht="16.5" thickTop="1" thickBot="1">
      <c r="B43" s="385"/>
      <c r="C43" s="386"/>
      <c r="D43" s="387" t="s">
        <v>534</v>
      </c>
      <c r="E43" s="388"/>
      <c r="F43" s="390"/>
      <c r="G43" s="386"/>
      <c r="H43" s="389"/>
      <c r="I43" s="390">
        <f>SUM(I38:I42)</f>
        <v>0</v>
      </c>
      <c r="J43" s="390">
        <f t="shared" ref="J43:X43" si="73">SUM(J38:J42)</f>
        <v>1</v>
      </c>
      <c r="K43" s="390">
        <f t="shared" si="73"/>
        <v>1</v>
      </c>
      <c r="L43" s="390">
        <f t="shared" si="73"/>
        <v>0</v>
      </c>
      <c r="M43" s="390">
        <f t="shared" si="73"/>
        <v>4</v>
      </c>
      <c r="N43" s="390">
        <f t="shared" si="73"/>
        <v>0</v>
      </c>
      <c r="O43" s="391">
        <f t="shared" si="73"/>
        <v>0</v>
      </c>
      <c r="P43" s="392">
        <f t="shared" si="73"/>
        <v>0</v>
      </c>
      <c r="Q43" s="392">
        <f t="shared" si="73"/>
        <v>1108924.71</v>
      </c>
      <c r="R43" s="392">
        <f t="shared" si="73"/>
        <v>1526297.5350000001</v>
      </c>
      <c r="S43" s="392">
        <f t="shared" si="73"/>
        <v>0</v>
      </c>
      <c r="T43" s="392">
        <f t="shared" si="73"/>
        <v>2805372.09</v>
      </c>
      <c r="U43" s="392">
        <f t="shared" si="73"/>
        <v>0</v>
      </c>
      <c r="V43" s="393">
        <f t="shared" si="73"/>
        <v>0</v>
      </c>
      <c r="W43" s="394">
        <f t="shared" si="73"/>
        <v>6</v>
      </c>
      <c r="X43" s="395">
        <f t="shared" si="73"/>
        <v>5440594.3350000009</v>
      </c>
    </row>
    <row r="44" spans="2:24" ht="16.5" thickTop="1" thickBot="1">
      <c r="B44" s="374"/>
      <c r="C44" s="375"/>
      <c r="D44" s="383" t="s">
        <v>535</v>
      </c>
      <c r="E44" s="384" t="s">
        <v>160</v>
      </c>
      <c r="F44" s="261" t="s">
        <v>162</v>
      </c>
      <c r="G44" s="375" t="s">
        <v>113</v>
      </c>
      <c r="H44" s="376">
        <v>27961.27</v>
      </c>
      <c r="I44" s="380">
        <f>I17</f>
        <v>1</v>
      </c>
      <c r="J44" s="380">
        <f t="shared" ref="J44:O44" si="74">J17</f>
        <v>4</v>
      </c>
      <c r="K44" s="380">
        <f t="shared" si="74"/>
        <v>8</v>
      </c>
      <c r="L44" s="380">
        <f t="shared" si="74"/>
        <v>0</v>
      </c>
      <c r="M44" s="380">
        <f t="shared" si="74"/>
        <v>18</v>
      </c>
      <c r="N44" s="380">
        <f t="shared" si="74"/>
        <v>0</v>
      </c>
      <c r="O44" s="381">
        <f t="shared" si="74"/>
        <v>11</v>
      </c>
      <c r="P44" s="377">
        <f t="shared" si="63"/>
        <v>27961.27</v>
      </c>
      <c r="Q44" s="377">
        <f t="shared" si="64"/>
        <v>111845.08</v>
      </c>
      <c r="R44" s="377">
        <f t="shared" si="65"/>
        <v>223690.16</v>
      </c>
      <c r="S44" s="377">
        <f t="shared" si="66"/>
        <v>0</v>
      </c>
      <c r="T44" s="377">
        <f t="shared" si="67"/>
        <v>503302.86</v>
      </c>
      <c r="U44" s="377">
        <f t="shared" si="68"/>
        <v>0</v>
      </c>
      <c r="V44" s="378">
        <f t="shared" si="69"/>
        <v>307573.97000000003</v>
      </c>
      <c r="W44" s="379">
        <f t="shared" si="70"/>
        <v>42</v>
      </c>
      <c r="X44" s="382">
        <f t="shared" si="71"/>
        <v>1174373.3400000001</v>
      </c>
    </row>
    <row r="45" spans="2:24" ht="16.5" thickTop="1" thickBot="1">
      <c r="B45" s="374"/>
      <c r="C45" s="375"/>
      <c r="D45" s="383" t="s">
        <v>535</v>
      </c>
      <c r="E45" s="384" t="s">
        <v>160</v>
      </c>
      <c r="F45" s="261" t="s">
        <v>163</v>
      </c>
      <c r="G45" s="375" t="s">
        <v>113</v>
      </c>
      <c r="H45" s="376">
        <v>6590</v>
      </c>
      <c r="I45" s="380">
        <f>I17</f>
        <v>1</v>
      </c>
      <c r="J45" s="380">
        <f t="shared" ref="J45:O45" si="75">J17</f>
        <v>4</v>
      </c>
      <c r="K45" s="380">
        <f t="shared" si="75"/>
        <v>8</v>
      </c>
      <c r="L45" s="380">
        <f t="shared" si="75"/>
        <v>0</v>
      </c>
      <c r="M45" s="380">
        <f t="shared" si="75"/>
        <v>18</v>
      </c>
      <c r="N45" s="380">
        <f t="shared" si="75"/>
        <v>0</v>
      </c>
      <c r="O45" s="381">
        <f t="shared" si="75"/>
        <v>11</v>
      </c>
      <c r="P45" s="377">
        <f t="shared" ref="P45:P91" si="76">I45*$H45</f>
        <v>6590</v>
      </c>
      <c r="Q45" s="377">
        <f t="shared" ref="Q45:Q91" si="77">J45*$H45</f>
        <v>26360</v>
      </c>
      <c r="R45" s="377">
        <f t="shared" ref="R45:R91" si="78">K45*$H45</f>
        <v>52720</v>
      </c>
      <c r="S45" s="377">
        <f t="shared" ref="S45:S91" si="79">L45*$H45</f>
        <v>0</v>
      </c>
      <c r="T45" s="377">
        <f t="shared" ref="T45:T91" si="80">M45*$H45</f>
        <v>118620</v>
      </c>
      <c r="U45" s="377">
        <f t="shared" ref="U45:U91" si="81">N45*$H45</f>
        <v>0</v>
      </c>
      <c r="V45" s="378">
        <f t="shared" ref="V45:V91" si="82">O45*$H45</f>
        <v>72490</v>
      </c>
      <c r="W45" s="379">
        <f t="shared" ref="W45:W91" si="83">SUM(I45:O45)</f>
        <v>42</v>
      </c>
      <c r="X45" s="382">
        <f t="shared" ref="X45:X91" si="84">SUM(P45:V45)</f>
        <v>276780</v>
      </c>
    </row>
    <row r="46" spans="2:24" ht="16.5" thickTop="1" thickBot="1">
      <c r="B46" s="385"/>
      <c r="C46" s="386"/>
      <c r="D46" s="387" t="s">
        <v>536</v>
      </c>
      <c r="E46" s="388"/>
      <c r="F46" s="390"/>
      <c r="G46" s="386"/>
      <c r="H46" s="389"/>
      <c r="I46" s="390">
        <f>SUM(I44:I45)</f>
        <v>2</v>
      </c>
      <c r="J46" s="390">
        <f t="shared" ref="J46:X46" si="85">SUM(J44:J45)</f>
        <v>8</v>
      </c>
      <c r="K46" s="390">
        <f t="shared" si="85"/>
        <v>16</v>
      </c>
      <c r="L46" s="390">
        <f t="shared" si="85"/>
        <v>0</v>
      </c>
      <c r="M46" s="390">
        <f t="shared" si="85"/>
        <v>36</v>
      </c>
      <c r="N46" s="390">
        <f t="shared" si="85"/>
        <v>0</v>
      </c>
      <c r="O46" s="391">
        <f t="shared" si="85"/>
        <v>22</v>
      </c>
      <c r="P46" s="392">
        <f t="shared" si="85"/>
        <v>34551.270000000004</v>
      </c>
      <c r="Q46" s="392">
        <f t="shared" si="85"/>
        <v>138205.08000000002</v>
      </c>
      <c r="R46" s="392">
        <f t="shared" si="85"/>
        <v>276410.16000000003</v>
      </c>
      <c r="S46" s="392">
        <f t="shared" si="85"/>
        <v>0</v>
      </c>
      <c r="T46" s="392">
        <f t="shared" si="85"/>
        <v>621922.86</v>
      </c>
      <c r="U46" s="392">
        <f t="shared" si="85"/>
        <v>0</v>
      </c>
      <c r="V46" s="393">
        <f t="shared" si="85"/>
        <v>380063.97000000003</v>
      </c>
      <c r="W46" s="394">
        <f t="shared" si="85"/>
        <v>84</v>
      </c>
      <c r="X46" s="395">
        <f t="shared" si="85"/>
        <v>1451153.34</v>
      </c>
    </row>
    <row r="47" spans="2:24" ht="16.5" thickTop="1" thickBot="1">
      <c r="B47" s="374"/>
      <c r="C47" s="375"/>
      <c r="D47" s="383" t="s">
        <v>537</v>
      </c>
      <c r="E47" s="384" t="s">
        <v>160</v>
      </c>
      <c r="F47" s="261" t="s">
        <v>165</v>
      </c>
      <c r="G47" s="375" t="s">
        <v>145</v>
      </c>
      <c r="H47" s="376">
        <v>90000</v>
      </c>
      <c r="I47" s="380"/>
      <c r="J47" s="380">
        <v>1</v>
      </c>
      <c r="K47" s="380"/>
      <c r="L47" s="380"/>
      <c r="M47" s="380"/>
      <c r="N47" s="380"/>
      <c r="O47" s="381"/>
      <c r="P47" s="377">
        <f t="shared" si="76"/>
        <v>0</v>
      </c>
      <c r="Q47" s="377">
        <f t="shared" si="77"/>
        <v>90000</v>
      </c>
      <c r="R47" s="377">
        <f t="shared" si="78"/>
        <v>0</v>
      </c>
      <c r="S47" s="377">
        <f t="shared" si="79"/>
        <v>0</v>
      </c>
      <c r="T47" s="377">
        <f t="shared" si="80"/>
        <v>0</v>
      </c>
      <c r="U47" s="377">
        <f t="shared" si="81"/>
        <v>0</v>
      </c>
      <c r="V47" s="378">
        <f t="shared" si="82"/>
        <v>0</v>
      </c>
      <c r="W47" s="379">
        <f t="shared" si="83"/>
        <v>1</v>
      </c>
      <c r="X47" s="382">
        <f t="shared" si="84"/>
        <v>90000</v>
      </c>
    </row>
    <row r="48" spans="2:24" ht="16.5" thickTop="1" thickBot="1">
      <c r="B48" s="374"/>
      <c r="C48" s="375"/>
      <c r="D48" s="383" t="s">
        <v>537</v>
      </c>
      <c r="E48" s="384" t="s">
        <v>160</v>
      </c>
      <c r="F48" s="261" t="s">
        <v>166</v>
      </c>
      <c r="G48" s="375" t="s">
        <v>145</v>
      </c>
      <c r="H48" s="376">
        <v>120000</v>
      </c>
      <c r="I48" s="380"/>
      <c r="J48" s="380"/>
      <c r="K48" s="380">
        <v>1</v>
      </c>
      <c r="L48" s="380"/>
      <c r="M48" s="380"/>
      <c r="N48" s="380"/>
      <c r="O48" s="381"/>
      <c r="P48" s="377">
        <f t="shared" si="76"/>
        <v>0</v>
      </c>
      <c r="Q48" s="377">
        <f t="shared" si="77"/>
        <v>0</v>
      </c>
      <c r="R48" s="377">
        <f t="shared" si="78"/>
        <v>120000</v>
      </c>
      <c r="S48" s="377">
        <f t="shared" si="79"/>
        <v>0</v>
      </c>
      <c r="T48" s="377">
        <f t="shared" si="80"/>
        <v>0</v>
      </c>
      <c r="U48" s="377">
        <f t="shared" si="81"/>
        <v>0</v>
      </c>
      <c r="V48" s="378">
        <f t="shared" si="82"/>
        <v>0</v>
      </c>
      <c r="W48" s="379">
        <f t="shared" si="83"/>
        <v>1</v>
      </c>
      <c r="X48" s="382">
        <f t="shared" si="84"/>
        <v>120000</v>
      </c>
    </row>
    <row r="49" spans="2:24" ht="16.5" thickTop="1" thickBot="1">
      <c r="B49" s="374"/>
      <c r="C49" s="375"/>
      <c r="D49" s="383" t="s">
        <v>537</v>
      </c>
      <c r="E49" s="384" t="s">
        <v>160</v>
      </c>
      <c r="F49" s="261" t="s">
        <v>167</v>
      </c>
      <c r="G49" s="375" t="s">
        <v>145</v>
      </c>
      <c r="H49" s="376">
        <v>1500000</v>
      </c>
      <c r="I49" s="380"/>
      <c r="J49" s="380"/>
      <c r="K49" s="380"/>
      <c r="L49" s="380"/>
      <c r="M49" s="380">
        <v>1</v>
      </c>
      <c r="N49" s="380"/>
      <c r="O49" s="381"/>
      <c r="P49" s="377">
        <f t="shared" si="76"/>
        <v>0</v>
      </c>
      <c r="Q49" s="377">
        <f t="shared" si="77"/>
        <v>0</v>
      </c>
      <c r="R49" s="377">
        <f t="shared" si="78"/>
        <v>0</v>
      </c>
      <c r="S49" s="377">
        <f t="shared" si="79"/>
        <v>0</v>
      </c>
      <c r="T49" s="377">
        <f t="shared" si="80"/>
        <v>1500000</v>
      </c>
      <c r="U49" s="377">
        <f t="shared" si="81"/>
        <v>0</v>
      </c>
      <c r="V49" s="378">
        <f t="shared" si="82"/>
        <v>0</v>
      </c>
      <c r="W49" s="379">
        <f t="shared" si="83"/>
        <v>1</v>
      </c>
      <c r="X49" s="382">
        <f t="shared" si="84"/>
        <v>1500000</v>
      </c>
    </row>
    <row r="50" spans="2:24" ht="16.5" thickTop="1" thickBot="1">
      <c r="B50" s="374"/>
      <c r="C50" s="375"/>
      <c r="D50" s="383" t="s">
        <v>537</v>
      </c>
      <c r="E50" s="384" t="s">
        <v>160</v>
      </c>
      <c r="F50" s="261" t="s">
        <v>168</v>
      </c>
      <c r="G50" s="375" t="s">
        <v>145</v>
      </c>
      <c r="H50" s="376">
        <v>200000</v>
      </c>
      <c r="I50" s="380"/>
      <c r="J50" s="380"/>
      <c r="K50" s="380"/>
      <c r="L50" s="380"/>
      <c r="M50" s="380">
        <v>1</v>
      </c>
      <c r="N50" s="380"/>
      <c r="O50" s="381"/>
      <c r="P50" s="377">
        <f t="shared" si="76"/>
        <v>0</v>
      </c>
      <c r="Q50" s="377">
        <f t="shared" si="77"/>
        <v>0</v>
      </c>
      <c r="R50" s="377">
        <f t="shared" si="78"/>
        <v>0</v>
      </c>
      <c r="S50" s="377">
        <f t="shared" si="79"/>
        <v>0</v>
      </c>
      <c r="T50" s="377">
        <f t="shared" si="80"/>
        <v>200000</v>
      </c>
      <c r="U50" s="377">
        <f t="shared" si="81"/>
        <v>0</v>
      </c>
      <c r="V50" s="378">
        <f t="shared" si="82"/>
        <v>0</v>
      </c>
      <c r="W50" s="379">
        <f t="shared" si="83"/>
        <v>1</v>
      </c>
      <c r="X50" s="382">
        <f t="shared" si="84"/>
        <v>200000</v>
      </c>
    </row>
    <row r="51" spans="2:24" ht="16.5" thickTop="1" thickBot="1">
      <c r="B51" s="374"/>
      <c r="C51" s="375"/>
      <c r="D51" s="383" t="s">
        <v>537</v>
      </c>
      <c r="E51" s="384" t="s">
        <v>160</v>
      </c>
      <c r="F51" s="261" t="s">
        <v>169</v>
      </c>
      <c r="G51" s="375" t="s">
        <v>145</v>
      </c>
      <c r="H51" s="376">
        <v>400000</v>
      </c>
      <c r="I51" s="380"/>
      <c r="J51" s="380"/>
      <c r="K51" s="380"/>
      <c r="L51" s="380"/>
      <c r="M51" s="380"/>
      <c r="N51" s="380"/>
      <c r="O51" s="381"/>
      <c r="P51" s="377">
        <f t="shared" si="76"/>
        <v>0</v>
      </c>
      <c r="Q51" s="377">
        <f t="shared" si="77"/>
        <v>0</v>
      </c>
      <c r="R51" s="377">
        <f t="shared" si="78"/>
        <v>0</v>
      </c>
      <c r="S51" s="377">
        <f t="shared" si="79"/>
        <v>0</v>
      </c>
      <c r="T51" s="377">
        <f t="shared" si="80"/>
        <v>0</v>
      </c>
      <c r="U51" s="377">
        <f t="shared" si="81"/>
        <v>0</v>
      </c>
      <c r="V51" s="378">
        <f t="shared" si="82"/>
        <v>0</v>
      </c>
      <c r="W51" s="379">
        <f t="shared" si="83"/>
        <v>0</v>
      </c>
      <c r="X51" s="382">
        <f t="shared" si="84"/>
        <v>0</v>
      </c>
    </row>
    <row r="52" spans="2:24" ht="16.5" thickTop="1" thickBot="1">
      <c r="B52" s="374"/>
      <c r="C52" s="375"/>
      <c r="D52" s="383" t="s">
        <v>537</v>
      </c>
      <c r="E52" s="384" t="s">
        <v>160</v>
      </c>
      <c r="F52" s="261" t="s">
        <v>171</v>
      </c>
      <c r="G52" s="375" t="s">
        <v>145</v>
      </c>
      <c r="H52" s="376">
        <v>250000</v>
      </c>
      <c r="I52" s="380"/>
      <c r="J52" s="380"/>
      <c r="K52" s="380"/>
      <c r="L52" s="380"/>
      <c r="M52" s="380"/>
      <c r="N52" s="380"/>
      <c r="O52" s="381"/>
      <c r="P52" s="377">
        <f t="shared" si="76"/>
        <v>0</v>
      </c>
      <c r="Q52" s="377">
        <f t="shared" si="77"/>
        <v>0</v>
      </c>
      <c r="R52" s="377">
        <f t="shared" si="78"/>
        <v>0</v>
      </c>
      <c r="S52" s="377">
        <f t="shared" si="79"/>
        <v>0</v>
      </c>
      <c r="T52" s="377">
        <f t="shared" si="80"/>
        <v>0</v>
      </c>
      <c r="U52" s="377">
        <f t="shared" si="81"/>
        <v>0</v>
      </c>
      <c r="V52" s="378">
        <f t="shared" si="82"/>
        <v>0</v>
      </c>
      <c r="W52" s="379">
        <f t="shared" si="83"/>
        <v>0</v>
      </c>
      <c r="X52" s="382">
        <f t="shared" si="84"/>
        <v>0</v>
      </c>
    </row>
    <row r="53" spans="2:24" ht="16.5" thickTop="1" thickBot="1">
      <c r="B53" s="374"/>
      <c r="C53" s="375"/>
      <c r="D53" s="383">
        <v>0</v>
      </c>
      <c r="E53" s="384" t="s">
        <v>160</v>
      </c>
      <c r="F53" s="261" t="s">
        <v>172</v>
      </c>
      <c r="G53" s="375" t="s">
        <v>145</v>
      </c>
      <c r="H53" s="376">
        <v>800000</v>
      </c>
      <c r="I53" s="380"/>
      <c r="J53" s="380"/>
      <c r="K53" s="380"/>
      <c r="L53" s="380"/>
      <c r="M53" s="380"/>
      <c r="N53" s="380"/>
      <c r="O53" s="381">
        <v>1</v>
      </c>
      <c r="P53" s="377">
        <f t="shared" si="76"/>
        <v>0</v>
      </c>
      <c r="Q53" s="377">
        <f t="shared" si="77"/>
        <v>0</v>
      </c>
      <c r="R53" s="377">
        <f t="shared" si="78"/>
        <v>0</v>
      </c>
      <c r="S53" s="377">
        <f t="shared" si="79"/>
        <v>0</v>
      </c>
      <c r="T53" s="377">
        <f t="shared" si="80"/>
        <v>0</v>
      </c>
      <c r="U53" s="377">
        <f t="shared" si="81"/>
        <v>0</v>
      </c>
      <c r="V53" s="378">
        <f t="shared" si="82"/>
        <v>800000</v>
      </c>
      <c r="W53" s="379">
        <f t="shared" si="83"/>
        <v>1</v>
      </c>
      <c r="X53" s="382">
        <f t="shared" si="84"/>
        <v>800000</v>
      </c>
    </row>
    <row r="54" spans="2:24" ht="16.5" thickTop="1" thickBot="1">
      <c r="B54" s="385"/>
      <c r="C54" s="386"/>
      <c r="D54" s="387" t="s">
        <v>538</v>
      </c>
      <c r="E54" s="388"/>
      <c r="F54" s="390"/>
      <c r="G54" s="386"/>
      <c r="H54" s="389"/>
      <c r="I54" s="390">
        <f>SUM(I47:I53)</f>
        <v>0</v>
      </c>
      <c r="J54" s="390">
        <f t="shared" ref="J54" si="86">SUM(J47:J53)</f>
        <v>1</v>
      </c>
      <c r="K54" s="390">
        <f t="shared" ref="K54" si="87">SUM(K47:K53)</f>
        <v>1</v>
      </c>
      <c r="L54" s="390">
        <f t="shared" ref="L54" si="88">SUM(L47:L53)</f>
        <v>0</v>
      </c>
      <c r="M54" s="390">
        <f t="shared" ref="M54" si="89">SUM(M47:M53)</f>
        <v>2</v>
      </c>
      <c r="N54" s="390">
        <f t="shared" ref="N54" si="90">SUM(N47:N53)</f>
        <v>0</v>
      </c>
      <c r="O54" s="391">
        <f t="shared" ref="O54" si="91">SUM(O47:O53)</f>
        <v>1</v>
      </c>
      <c r="P54" s="392">
        <f t="shared" ref="P54" si="92">SUM(P47:P53)</f>
        <v>0</v>
      </c>
      <c r="Q54" s="392">
        <f t="shared" ref="Q54" si="93">SUM(Q47:Q53)</f>
        <v>90000</v>
      </c>
      <c r="R54" s="392">
        <f t="shared" ref="R54" si="94">SUM(R47:R53)</f>
        <v>120000</v>
      </c>
      <c r="S54" s="392">
        <f t="shared" ref="S54" si="95">SUM(S47:S53)</f>
        <v>0</v>
      </c>
      <c r="T54" s="392">
        <f t="shared" ref="T54" si="96">SUM(T47:T53)</f>
        <v>1700000</v>
      </c>
      <c r="U54" s="392">
        <f t="shared" ref="U54" si="97">SUM(U47:U53)</f>
        <v>0</v>
      </c>
      <c r="V54" s="393">
        <f t="shared" ref="V54" si="98">SUM(V47:V53)</f>
        <v>800000</v>
      </c>
      <c r="W54" s="394">
        <f t="shared" ref="W54" si="99">SUM(W47:W53)</f>
        <v>5</v>
      </c>
      <c r="X54" s="395">
        <f t="shared" ref="X54" si="100">SUM(X47:X53)</f>
        <v>2710000</v>
      </c>
    </row>
    <row r="55" spans="2:24" ht="16.5" thickTop="1" thickBot="1">
      <c r="B55" s="374"/>
      <c r="C55" s="375"/>
      <c r="D55" s="383" t="s">
        <v>326</v>
      </c>
      <c r="E55" s="384"/>
      <c r="F55" s="261"/>
      <c r="G55" s="375"/>
      <c r="H55" s="376"/>
      <c r="I55" s="380"/>
      <c r="J55" s="380"/>
      <c r="K55" s="380"/>
      <c r="L55" s="380"/>
      <c r="M55" s="380"/>
      <c r="N55" s="380"/>
      <c r="O55" s="381"/>
      <c r="P55" s="377">
        <f t="shared" si="76"/>
        <v>0</v>
      </c>
      <c r="Q55" s="377">
        <f t="shared" si="77"/>
        <v>0</v>
      </c>
      <c r="R55" s="377">
        <f t="shared" si="78"/>
        <v>0</v>
      </c>
      <c r="S55" s="377">
        <f t="shared" si="79"/>
        <v>0</v>
      </c>
      <c r="T55" s="377">
        <f t="shared" si="80"/>
        <v>0</v>
      </c>
      <c r="U55" s="377">
        <f t="shared" si="81"/>
        <v>0</v>
      </c>
      <c r="V55" s="378">
        <f t="shared" si="82"/>
        <v>0</v>
      </c>
      <c r="W55" s="379">
        <f t="shared" si="83"/>
        <v>0</v>
      </c>
      <c r="X55" s="382">
        <f t="shared" si="84"/>
        <v>0</v>
      </c>
    </row>
    <row r="56" spans="2:24" ht="5.25" customHeight="1" thickTop="1" thickBot="1"/>
    <row r="57" spans="2:24" ht="16.5" thickTop="1" thickBot="1">
      <c r="B57" s="374"/>
      <c r="C57" s="375"/>
      <c r="D57" s="383" t="s">
        <v>235</v>
      </c>
      <c r="E57" s="384" t="s">
        <v>179</v>
      </c>
      <c r="F57" s="261" t="s">
        <v>180</v>
      </c>
      <c r="G57" s="375" t="s">
        <v>113</v>
      </c>
      <c r="H57" s="376">
        <v>20526</v>
      </c>
      <c r="I57" s="380">
        <f>I17</f>
        <v>1</v>
      </c>
      <c r="J57" s="380">
        <f t="shared" ref="J57:O57" si="101">J17</f>
        <v>4</v>
      </c>
      <c r="K57" s="380">
        <f t="shared" si="101"/>
        <v>8</v>
      </c>
      <c r="L57" s="380">
        <f t="shared" si="101"/>
        <v>0</v>
      </c>
      <c r="M57" s="380">
        <f t="shared" si="101"/>
        <v>18</v>
      </c>
      <c r="N57" s="380">
        <f t="shared" si="101"/>
        <v>0</v>
      </c>
      <c r="O57" s="381">
        <f t="shared" si="101"/>
        <v>11</v>
      </c>
      <c r="P57" s="377">
        <f t="shared" si="76"/>
        <v>20526</v>
      </c>
      <c r="Q57" s="377">
        <f t="shared" si="77"/>
        <v>82104</v>
      </c>
      <c r="R57" s="377">
        <f t="shared" si="78"/>
        <v>164208</v>
      </c>
      <c r="S57" s="377">
        <f t="shared" si="79"/>
        <v>0</v>
      </c>
      <c r="T57" s="377">
        <f t="shared" si="80"/>
        <v>369468</v>
      </c>
      <c r="U57" s="377">
        <f t="shared" si="81"/>
        <v>0</v>
      </c>
      <c r="V57" s="378">
        <f t="shared" si="82"/>
        <v>225786</v>
      </c>
      <c r="W57" s="379">
        <f t="shared" si="83"/>
        <v>42</v>
      </c>
      <c r="X57" s="382">
        <f t="shared" si="84"/>
        <v>862092</v>
      </c>
    </row>
    <row r="58" spans="2:24" ht="5.25" customHeight="1" thickTop="1" thickBot="1"/>
    <row r="59" spans="2:24" ht="16.5" thickTop="1" thickBot="1">
      <c r="B59" s="374"/>
      <c r="C59" s="375"/>
      <c r="D59" s="383" t="s">
        <v>327</v>
      </c>
      <c r="E59" s="384" t="s">
        <v>184</v>
      </c>
      <c r="F59" s="261" t="s">
        <v>183</v>
      </c>
      <c r="G59" s="375" t="s">
        <v>91</v>
      </c>
      <c r="H59" s="376">
        <v>115300</v>
      </c>
      <c r="I59" s="380"/>
      <c r="J59" s="380"/>
      <c r="K59" s="380"/>
      <c r="L59" s="380"/>
      <c r="M59" s="380"/>
      <c r="N59" s="380"/>
      <c r="O59" s="381">
        <v>1</v>
      </c>
      <c r="P59" s="377">
        <f t="shared" si="76"/>
        <v>0</v>
      </c>
      <c r="Q59" s="377">
        <f t="shared" si="77"/>
        <v>0</v>
      </c>
      <c r="R59" s="377">
        <f t="shared" si="78"/>
        <v>0</v>
      </c>
      <c r="S59" s="377">
        <f t="shared" si="79"/>
        <v>0</v>
      </c>
      <c r="T59" s="377">
        <f t="shared" si="80"/>
        <v>0</v>
      </c>
      <c r="U59" s="377">
        <f t="shared" si="81"/>
        <v>0</v>
      </c>
      <c r="V59" s="378">
        <f t="shared" si="82"/>
        <v>115300</v>
      </c>
      <c r="W59" s="379">
        <f t="shared" si="83"/>
        <v>1</v>
      </c>
      <c r="X59" s="382">
        <f t="shared" si="84"/>
        <v>115300</v>
      </c>
    </row>
    <row r="60" spans="2:24" ht="5.25" customHeight="1" thickTop="1" thickBot="1"/>
    <row r="61" spans="2:24" ht="16.5" thickTop="1" thickBot="1">
      <c r="B61" s="374"/>
      <c r="C61" s="375"/>
      <c r="D61" s="383" t="s">
        <v>539</v>
      </c>
      <c r="E61" s="384" t="s">
        <v>187</v>
      </c>
      <c r="F61" s="261" t="s">
        <v>189</v>
      </c>
      <c r="G61" s="375" t="s">
        <v>91</v>
      </c>
      <c r="H61" s="376">
        <v>4533200</v>
      </c>
      <c r="I61" s="380"/>
      <c r="J61" s="380"/>
      <c r="K61" s="380"/>
      <c r="L61" s="380"/>
      <c r="M61" s="380"/>
      <c r="N61" s="380"/>
      <c r="O61" s="381">
        <v>1</v>
      </c>
      <c r="P61" s="377">
        <f t="shared" si="76"/>
        <v>0</v>
      </c>
      <c r="Q61" s="377">
        <f t="shared" si="77"/>
        <v>0</v>
      </c>
      <c r="R61" s="377">
        <f t="shared" si="78"/>
        <v>0</v>
      </c>
      <c r="S61" s="377">
        <f t="shared" si="79"/>
        <v>0</v>
      </c>
      <c r="T61" s="377">
        <f t="shared" si="80"/>
        <v>0</v>
      </c>
      <c r="U61" s="377">
        <f t="shared" si="81"/>
        <v>0</v>
      </c>
      <c r="V61" s="378">
        <f t="shared" si="82"/>
        <v>4533200</v>
      </c>
      <c r="W61" s="379">
        <f t="shared" si="83"/>
        <v>1</v>
      </c>
      <c r="X61" s="382">
        <f t="shared" si="84"/>
        <v>4533200</v>
      </c>
    </row>
    <row r="62" spans="2:24" ht="5.25" customHeight="1" thickTop="1" thickBot="1"/>
    <row r="63" spans="2:24" ht="16.5" thickTop="1" thickBot="1">
      <c r="B63" s="374"/>
      <c r="C63" s="375"/>
      <c r="D63" s="383" t="s">
        <v>540</v>
      </c>
      <c r="E63" s="384"/>
      <c r="F63" s="261" t="s">
        <v>197</v>
      </c>
      <c r="G63" s="375" t="s">
        <v>175</v>
      </c>
      <c r="H63" s="376">
        <v>2586</v>
      </c>
      <c r="I63" s="380"/>
      <c r="J63" s="380">
        <v>380</v>
      </c>
      <c r="K63" s="380"/>
      <c r="L63" s="380"/>
      <c r="M63" s="380"/>
      <c r="N63" s="380"/>
      <c r="O63" s="381"/>
      <c r="P63" s="377">
        <f t="shared" si="76"/>
        <v>0</v>
      </c>
      <c r="Q63" s="377">
        <f t="shared" si="77"/>
        <v>982680</v>
      </c>
      <c r="R63" s="377">
        <f t="shared" si="78"/>
        <v>0</v>
      </c>
      <c r="S63" s="377">
        <f t="shared" si="79"/>
        <v>0</v>
      </c>
      <c r="T63" s="377">
        <f t="shared" si="80"/>
        <v>0</v>
      </c>
      <c r="U63" s="377">
        <f t="shared" si="81"/>
        <v>0</v>
      </c>
      <c r="V63" s="378">
        <f t="shared" si="82"/>
        <v>0</v>
      </c>
      <c r="W63" s="379">
        <f t="shared" si="83"/>
        <v>380</v>
      </c>
      <c r="X63" s="382">
        <f t="shared" si="84"/>
        <v>982680</v>
      </c>
    </row>
    <row r="64" spans="2:24" ht="16.5" thickTop="1" thickBot="1">
      <c r="B64" s="374"/>
      <c r="C64" s="375"/>
      <c r="D64" s="383" t="s">
        <v>540</v>
      </c>
      <c r="E64" s="384"/>
      <c r="F64" s="261" t="s">
        <v>198</v>
      </c>
      <c r="G64" s="375" t="s">
        <v>175</v>
      </c>
      <c r="H64" s="376">
        <v>1807.92</v>
      </c>
      <c r="I64" s="380"/>
      <c r="J64" s="380"/>
      <c r="K64" s="380"/>
      <c r="L64" s="380"/>
      <c r="M64" s="380"/>
      <c r="N64" s="380"/>
      <c r="O64" s="381"/>
      <c r="P64" s="377">
        <f t="shared" si="76"/>
        <v>0</v>
      </c>
      <c r="Q64" s="377">
        <f t="shared" si="77"/>
        <v>0</v>
      </c>
      <c r="R64" s="377">
        <f t="shared" si="78"/>
        <v>0</v>
      </c>
      <c r="S64" s="377">
        <f t="shared" si="79"/>
        <v>0</v>
      </c>
      <c r="T64" s="377">
        <f t="shared" si="80"/>
        <v>0</v>
      </c>
      <c r="U64" s="377">
        <f t="shared" si="81"/>
        <v>0</v>
      </c>
      <c r="V64" s="378">
        <f t="shared" si="82"/>
        <v>0</v>
      </c>
      <c r="W64" s="379">
        <f t="shared" si="83"/>
        <v>0</v>
      </c>
      <c r="X64" s="382">
        <f t="shared" si="84"/>
        <v>0</v>
      </c>
    </row>
    <row r="65" spans="2:24" ht="16.5" thickTop="1" thickBot="1">
      <c r="B65" s="374"/>
      <c r="C65" s="375"/>
      <c r="D65" s="383" t="s">
        <v>540</v>
      </c>
      <c r="E65" s="384"/>
      <c r="F65" s="261" t="s">
        <v>199</v>
      </c>
      <c r="G65" s="375" t="s">
        <v>175</v>
      </c>
      <c r="H65" s="376">
        <v>1799.6</v>
      </c>
      <c r="I65" s="380"/>
      <c r="J65" s="380"/>
      <c r="K65" s="380">
        <v>1380</v>
      </c>
      <c r="L65" s="380"/>
      <c r="M65" s="380"/>
      <c r="N65" s="380"/>
      <c r="O65" s="381"/>
      <c r="P65" s="377">
        <f t="shared" si="76"/>
        <v>0</v>
      </c>
      <c r="Q65" s="377">
        <f t="shared" si="77"/>
        <v>0</v>
      </c>
      <c r="R65" s="377">
        <f t="shared" si="78"/>
        <v>2483448</v>
      </c>
      <c r="S65" s="377">
        <f t="shared" si="79"/>
        <v>0</v>
      </c>
      <c r="T65" s="377">
        <f t="shared" si="80"/>
        <v>0</v>
      </c>
      <c r="U65" s="377">
        <f t="shared" si="81"/>
        <v>0</v>
      </c>
      <c r="V65" s="378">
        <f t="shared" si="82"/>
        <v>0</v>
      </c>
      <c r="W65" s="379">
        <f t="shared" si="83"/>
        <v>1380</v>
      </c>
      <c r="X65" s="382">
        <f t="shared" si="84"/>
        <v>2483448</v>
      </c>
    </row>
    <row r="66" spans="2:24" ht="16.5" thickTop="1" thickBot="1">
      <c r="B66" s="374"/>
      <c r="C66" s="375"/>
      <c r="D66" s="383" t="s">
        <v>540</v>
      </c>
      <c r="E66" s="384"/>
      <c r="F66" s="261" t="s">
        <v>200</v>
      </c>
      <c r="G66" s="375" t="s">
        <v>175</v>
      </c>
      <c r="H66" s="376">
        <v>1534.95</v>
      </c>
      <c r="I66" s="380"/>
      <c r="J66" s="380"/>
      <c r="K66" s="380"/>
      <c r="L66" s="380"/>
      <c r="M66" s="380"/>
      <c r="N66" s="380"/>
      <c r="O66" s="381"/>
      <c r="P66" s="377">
        <f t="shared" si="76"/>
        <v>0</v>
      </c>
      <c r="Q66" s="377">
        <f t="shared" si="77"/>
        <v>0</v>
      </c>
      <c r="R66" s="377">
        <f t="shared" si="78"/>
        <v>0</v>
      </c>
      <c r="S66" s="377">
        <f t="shared" si="79"/>
        <v>0</v>
      </c>
      <c r="T66" s="377">
        <f t="shared" si="80"/>
        <v>0</v>
      </c>
      <c r="U66" s="377">
        <f t="shared" si="81"/>
        <v>0</v>
      </c>
      <c r="V66" s="378">
        <f t="shared" si="82"/>
        <v>0</v>
      </c>
      <c r="W66" s="379">
        <f t="shared" si="83"/>
        <v>0</v>
      </c>
      <c r="X66" s="382">
        <f t="shared" si="84"/>
        <v>0</v>
      </c>
    </row>
    <row r="67" spans="2:24" ht="16.5" thickTop="1" thickBot="1">
      <c r="B67" s="374"/>
      <c r="C67" s="375"/>
      <c r="D67" s="383" t="s">
        <v>540</v>
      </c>
      <c r="E67" s="384"/>
      <c r="F67" s="261" t="s">
        <v>201</v>
      </c>
      <c r="G67" s="375" t="s">
        <v>175</v>
      </c>
      <c r="H67" s="376">
        <v>1660</v>
      </c>
      <c r="I67" s="380"/>
      <c r="J67" s="380"/>
      <c r="K67" s="380"/>
      <c r="L67" s="380"/>
      <c r="M67" s="380">
        <v>2400</v>
      </c>
      <c r="N67" s="380"/>
      <c r="O67" s="381"/>
      <c r="P67" s="377">
        <f t="shared" si="76"/>
        <v>0</v>
      </c>
      <c r="Q67" s="377">
        <f t="shared" si="77"/>
        <v>0</v>
      </c>
      <c r="R67" s="377">
        <f t="shared" si="78"/>
        <v>0</v>
      </c>
      <c r="S67" s="377">
        <f t="shared" si="79"/>
        <v>0</v>
      </c>
      <c r="T67" s="377">
        <f t="shared" si="80"/>
        <v>3984000</v>
      </c>
      <c r="U67" s="377">
        <f t="shared" si="81"/>
        <v>0</v>
      </c>
      <c r="V67" s="378">
        <f t="shared" si="82"/>
        <v>0</v>
      </c>
      <c r="W67" s="379">
        <f t="shared" si="83"/>
        <v>2400</v>
      </c>
      <c r="X67" s="382">
        <f t="shared" si="84"/>
        <v>3984000</v>
      </c>
    </row>
    <row r="68" spans="2:24" ht="16.5" thickTop="1" thickBot="1">
      <c r="B68" s="374"/>
      <c r="C68" s="375"/>
      <c r="D68" s="383" t="s">
        <v>540</v>
      </c>
      <c r="E68" s="384"/>
      <c r="F68" s="261" t="s">
        <v>202</v>
      </c>
      <c r="G68" s="375" t="s">
        <v>175</v>
      </c>
      <c r="H68" s="376">
        <v>1880</v>
      </c>
      <c r="I68" s="380"/>
      <c r="J68" s="380"/>
      <c r="K68" s="380"/>
      <c r="L68" s="380"/>
      <c r="M68" s="380">
        <v>1800</v>
      </c>
      <c r="N68" s="380"/>
      <c r="O68" s="381"/>
      <c r="P68" s="377">
        <f t="shared" si="76"/>
        <v>0</v>
      </c>
      <c r="Q68" s="377">
        <f t="shared" si="77"/>
        <v>0</v>
      </c>
      <c r="R68" s="377">
        <f t="shared" si="78"/>
        <v>0</v>
      </c>
      <c r="S68" s="377">
        <f t="shared" si="79"/>
        <v>0</v>
      </c>
      <c r="T68" s="377">
        <f t="shared" si="80"/>
        <v>3384000</v>
      </c>
      <c r="U68" s="377">
        <f t="shared" si="81"/>
        <v>0</v>
      </c>
      <c r="V68" s="378">
        <f t="shared" si="82"/>
        <v>0</v>
      </c>
      <c r="W68" s="379">
        <f t="shared" si="83"/>
        <v>1800</v>
      </c>
      <c r="X68" s="382">
        <f t="shared" si="84"/>
        <v>3384000</v>
      </c>
    </row>
    <row r="69" spans="2:24" ht="16.5" thickTop="1" thickBot="1">
      <c r="B69" s="374"/>
      <c r="C69" s="375"/>
      <c r="D69" s="383" t="s">
        <v>540</v>
      </c>
      <c r="E69" s="384"/>
      <c r="F69" s="261" t="s">
        <v>203</v>
      </c>
      <c r="G69" s="375" t="s">
        <v>175</v>
      </c>
      <c r="H69" s="376">
        <v>1889.0861186440682</v>
      </c>
      <c r="I69" s="380"/>
      <c r="J69" s="380"/>
      <c r="K69" s="380"/>
      <c r="L69" s="380"/>
      <c r="M69" s="380"/>
      <c r="N69" s="380"/>
      <c r="O69" s="381"/>
      <c r="P69" s="377">
        <f t="shared" si="76"/>
        <v>0</v>
      </c>
      <c r="Q69" s="377">
        <f t="shared" si="77"/>
        <v>0</v>
      </c>
      <c r="R69" s="377">
        <f t="shared" si="78"/>
        <v>0</v>
      </c>
      <c r="S69" s="377">
        <f t="shared" si="79"/>
        <v>0</v>
      </c>
      <c r="T69" s="377">
        <f t="shared" si="80"/>
        <v>0</v>
      </c>
      <c r="U69" s="377">
        <f t="shared" si="81"/>
        <v>0</v>
      </c>
      <c r="V69" s="378">
        <f t="shared" si="82"/>
        <v>0</v>
      </c>
      <c r="W69" s="379">
        <f t="shared" si="83"/>
        <v>0</v>
      </c>
      <c r="X69" s="382">
        <f t="shared" si="84"/>
        <v>0</v>
      </c>
    </row>
    <row r="70" spans="2:24" ht="16.5" thickTop="1" thickBot="1">
      <c r="B70" s="374"/>
      <c r="C70" s="375"/>
      <c r="D70" s="383" t="s">
        <v>540</v>
      </c>
      <c r="E70" s="384"/>
      <c r="F70" s="261" t="s">
        <v>204</v>
      </c>
      <c r="G70" s="375" t="s">
        <v>205</v>
      </c>
      <c r="H70" s="376">
        <v>1247.2901694915256</v>
      </c>
      <c r="I70" s="380"/>
      <c r="J70" s="380"/>
      <c r="K70" s="380"/>
      <c r="L70" s="380"/>
      <c r="M70" s="380"/>
      <c r="N70" s="380"/>
      <c r="O70" s="381"/>
      <c r="P70" s="377">
        <f t="shared" si="76"/>
        <v>0</v>
      </c>
      <c r="Q70" s="377">
        <f t="shared" si="77"/>
        <v>0</v>
      </c>
      <c r="R70" s="377">
        <f t="shared" si="78"/>
        <v>0</v>
      </c>
      <c r="S70" s="377">
        <f t="shared" si="79"/>
        <v>0</v>
      </c>
      <c r="T70" s="377">
        <f t="shared" si="80"/>
        <v>0</v>
      </c>
      <c r="U70" s="377">
        <f t="shared" si="81"/>
        <v>0</v>
      </c>
      <c r="V70" s="378">
        <f t="shared" si="82"/>
        <v>0</v>
      </c>
      <c r="W70" s="379">
        <f t="shared" si="83"/>
        <v>0</v>
      </c>
      <c r="X70" s="382">
        <f t="shared" si="84"/>
        <v>0</v>
      </c>
    </row>
    <row r="71" spans="2:24" ht="16.5" thickTop="1" thickBot="1">
      <c r="B71" s="374"/>
      <c r="C71" s="375"/>
      <c r="D71" s="383" t="s">
        <v>540</v>
      </c>
      <c r="E71" s="384"/>
      <c r="F71" s="261" t="s">
        <v>206</v>
      </c>
      <c r="G71" s="375" t="s">
        <v>205</v>
      </c>
      <c r="H71" s="376">
        <v>950</v>
      </c>
      <c r="I71" s="380"/>
      <c r="J71" s="380"/>
      <c r="K71" s="380"/>
      <c r="L71" s="380"/>
      <c r="M71" s="380"/>
      <c r="N71" s="380"/>
      <c r="O71" s="381">
        <v>1020</v>
      </c>
      <c r="P71" s="377">
        <f t="shared" si="76"/>
        <v>0</v>
      </c>
      <c r="Q71" s="377">
        <f t="shared" si="77"/>
        <v>0</v>
      </c>
      <c r="R71" s="377">
        <f t="shared" si="78"/>
        <v>0</v>
      </c>
      <c r="S71" s="377">
        <f t="shared" si="79"/>
        <v>0</v>
      </c>
      <c r="T71" s="377">
        <f t="shared" si="80"/>
        <v>0</v>
      </c>
      <c r="U71" s="377">
        <f t="shared" si="81"/>
        <v>0</v>
      </c>
      <c r="V71" s="378">
        <f t="shared" si="82"/>
        <v>969000</v>
      </c>
      <c r="W71" s="379">
        <f t="shared" si="83"/>
        <v>1020</v>
      </c>
      <c r="X71" s="382">
        <f t="shared" si="84"/>
        <v>969000</v>
      </c>
    </row>
    <row r="72" spans="2:24" ht="16.5" thickTop="1" thickBot="1">
      <c r="B72" s="374"/>
      <c r="C72" s="375"/>
      <c r="D72" s="383" t="s">
        <v>540</v>
      </c>
      <c r="E72" s="384"/>
      <c r="F72" s="261" t="s">
        <v>212</v>
      </c>
      <c r="G72" s="375" t="s">
        <v>205</v>
      </c>
      <c r="H72" s="376">
        <v>68700.960000000006</v>
      </c>
      <c r="I72" s="380"/>
      <c r="J72" s="380"/>
      <c r="K72" s="380"/>
      <c r="L72" s="380">
        <v>0.6</v>
      </c>
      <c r="M72" s="380">
        <v>0.4</v>
      </c>
      <c r="N72" s="380"/>
      <c r="O72" s="381"/>
      <c r="P72" s="377">
        <f t="shared" si="76"/>
        <v>0</v>
      </c>
      <c r="Q72" s="377">
        <f t="shared" si="77"/>
        <v>0</v>
      </c>
      <c r="R72" s="377">
        <f t="shared" si="78"/>
        <v>0</v>
      </c>
      <c r="S72" s="377">
        <f t="shared" si="79"/>
        <v>41220.576000000001</v>
      </c>
      <c r="T72" s="377">
        <f t="shared" si="80"/>
        <v>27480.384000000005</v>
      </c>
      <c r="U72" s="377">
        <f t="shared" si="81"/>
        <v>0</v>
      </c>
      <c r="V72" s="378">
        <f t="shared" si="82"/>
        <v>0</v>
      </c>
      <c r="W72" s="379">
        <f t="shared" si="83"/>
        <v>1</v>
      </c>
      <c r="X72" s="382">
        <f t="shared" si="84"/>
        <v>68700.960000000006</v>
      </c>
    </row>
    <row r="73" spans="2:24" ht="16.5" thickTop="1" thickBot="1">
      <c r="B73" s="385"/>
      <c r="C73" s="386"/>
      <c r="D73" s="387" t="s">
        <v>541</v>
      </c>
      <c r="E73" s="388"/>
      <c r="F73" s="390"/>
      <c r="G73" s="386"/>
      <c r="H73" s="389"/>
      <c r="I73" s="390">
        <f>SUM(I63:I72)</f>
        <v>0</v>
      </c>
      <c r="J73" s="390">
        <f t="shared" ref="J73:X73" si="102">SUM(J63:J72)</f>
        <v>380</v>
      </c>
      <c r="K73" s="390">
        <f t="shared" si="102"/>
        <v>1380</v>
      </c>
      <c r="L73" s="390">
        <f t="shared" si="102"/>
        <v>0.6</v>
      </c>
      <c r="M73" s="390">
        <f t="shared" si="102"/>
        <v>4200.3999999999996</v>
      </c>
      <c r="N73" s="390">
        <f t="shared" si="102"/>
        <v>0</v>
      </c>
      <c r="O73" s="391">
        <f t="shared" si="102"/>
        <v>1020</v>
      </c>
      <c r="P73" s="392">
        <f t="shared" si="102"/>
        <v>0</v>
      </c>
      <c r="Q73" s="392">
        <f t="shared" si="102"/>
        <v>982680</v>
      </c>
      <c r="R73" s="392">
        <f t="shared" si="102"/>
        <v>2483448</v>
      </c>
      <c r="S73" s="392">
        <f t="shared" si="102"/>
        <v>41220.576000000001</v>
      </c>
      <c r="T73" s="392">
        <f t="shared" si="102"/>
        <v>7395480.3839999996</v>
      </c>
      <c r="U73" s="392">
        <f t="shared" si="102"/>
        <v>0</v>
      </c>
      <c r="V73" s="393">
        <f t="shared" si="102"/>
        <v>969000</v>
      </c>
      <c r="W73" s="394">
        <f t="shared" si="102"/>
        <v>6981</v>
      </c>
      <c r="X73" s="395">
        <f t="shared" si="102"/>
        <v>11871828.960000001</v>
      </c>
    </row>
    <row r="74" spans="2:24" ht="16.5" thickTop="1" thickBot="1">
      <c r="B74" s="374"/>
      <c r="C74" s="375"/>
      <c r="D74" s="383" t="s">
        <v>328</v>
      </c>
      <c r="E74" s="384"/>
      <c r="F74" s="261" t="s">
        <v>214</v>
      </c>
      <c r="G74" s="375" t="s">
        <v>136</v>
      </c>
      <c r="H74" s="376">
        <v>500000</v>
      </c>
      <c r="I74" s="380">
        <v>1</v>
      </c>
      <c r="J74" s="380"/>
      <c r="K74" s="380"/>
      <c r="L74" s="380"/>
      <c r="M74" s="380"/>
      <c r="N74" s="380"/>
      <c r="O74" s="381"/>
      <c r="P74" s="377">
        <f t="shared" si="76"/>
        <v>500000</v>
      </c>
      <c r="Q74" s="377">
        <f t="shared" si="77"/>
        <v>0</v>
      </c>
      <c r="R74" s="377">
        <f t="shared" si="78"/>
        <v>0</v>
      </c>
      <c r="S74" s="377">
        <f t="shared" si="79"/>
        <v>0</v>
      </c>
      <c r="T74" s="377">
        <f t="shared" si="80"/>
        <v>0</v>
      </c>
      <c r="U74" s="377">
        <f t="shared" si="81"/>
        <v>0</v>
      </c>
      <c r="V74" s="378">
        <f t="shared" si="82"/>
        <v>0</v>
      </c>
      <c r="W74" s="379">
        <f t="shared" si="83"/>
        <v>1</v>
      </c>
      <c r="X74" s="382">
        <f t="shared" si="84"/>
        <v>500000</v>
      </c>
    </row>
    <row r="75" spans="2:24" ht="16.5" thickTop="1" thickBot="1">
      <c r="B75" s="374"/>
      <c r="C75" s="375"/>
      <c r="D75" s="383" t="s">
        <v>328</v>
      </c>
      <c r="E75" s="384"/>
      <c r="F75" s="261" t="s">
        <v>217</v>
      </c>
      <c r="G75" s="375" t="s">
        <v>136</v>
      </c>
      <c r="H75" s="376">
        <v>19123178.037599999</v>
      </c>
      <c r="I75" s="407">
        <v>8.7584499999999996E-2</v>
      </c>
      <c r="J75" s="380"/>
      <c r="K75" s="380"/>
      <c r="L75" s="380"/>
      <c r="M75" s="380"/>
      <c r="N75" s="380"/>
      <c r="O75" s="381"/>
      <c r="P75" s="377">
        <f t="shared" ref="P75:P76" si="103">I75*$H75</f>
        <v>1674893.986834177</v>
      </c>
      <c r="Q75" s="377">
        <f t="shared" ref="Q75:Q76" si="104">J75*$H75</f>
        <v>0</v>
      </c>
      <c r="R75" s="377">
        <f t="shared" ref="R75:R76" si="105">K75*$H75</f>
        <v>0</v>
      </c>
      <c r="S75" s="377">
        <f t="shared" ref="S75:S76" si="106">L75*$H75</f>
        <v>0</v>
      </c>
      <c r="T75" s="377">
        <f t="shared" ref="T75:T76" si="107">M75*$H75</f>
        <v>0</v>
      </c>
      <c r="U75" s="377">
        <f t="shared" ref="U75:U76" si="108">N75*$H75</f>
        <v>0</v>
      </c>
      <c r="V75" s="378">
        <f t="shared" ref="V75:V76" si="109">O75*$H75</f>
        <v>0</v>
      </c>
      <c r="W75" s="379">
        <f t="shared" ref="W75:W76" si="110">SUM(I75:O75)</f>
        <v>8.7584499999999996E-2</v>
      </c>
      <c r="X75" s="382">
        <f t="shared" ref="X75:X76" si="111">SUM(P75:V75)</f>
        <v>1674893.986834177</v>
      </c>
    </row>
    <row r="76" spans="2:24" ht="16.5" thickTop="1" thickBot="1">
      <c r="B76" s="374"/>
      <c r="C76" s="375"/>
      <c r="D76" s="383" t="s">
        <v>328</v>
      </c>
      <c r="E76" s="384"/>
      <c r="F76" s="261" t="s">
        <v>218</v>
      </c>
      <c r="G76" s="375" t="s">
        <v>136</v>
      </c>
      <c r="H76" s="376">
        <v>11871828.960000001</v>
      </c>
      <c r="I76" s="407">
        <v>3.1649999999999998E-2</v>
      </c>
      <c r="J76" s="380"/>
      <c r="K76" s="380"/>
      <c r="L76" s="380"/>
      <c r="M76" s="380"/>
      <c r="N76" s="380"/>
      <c r="O76" s="381"/>
      <c r="P76" s="377">
        <f t="shared" si="103"/>
        <v>375743.38658400002</v>
      </c>
      <c r="Q76" s="377">
        <f t="shared" si="104"/>
        <v>0</v>
      </c>
      <c r="R76" s="377">
        <f t="shared" si="105"/>
        <v>0</v>
      </c>
      <c r="S76" s="377">
        <f t="shared" si="106"/>
        <v>0</v>
      </c>
      <c r="T76" s="377">
        <f t="shared" si="107"/>
        <v>0</v>
      </c>
      <c r="U76" s="377">
        <f t="shared" si="108"/>
        <v>0</v>
      </c>
      <c r="V76" s="378">
        <f t="shared" si="109"/>
        <v>0</v>
      </c>
      <c r="W76" s="379">
        <f t="shared" si="110"/>
        <v>3.1649999999999998E-2</v>
      </c>
      <c r="X76" s="382">
        <f t="shared" si="111"/>
        <v>375743.38658400002</v>
      </c>
    </row>
    <row r="77" spans="2:24" ht="15.75" thickTop="1">
      <c r="B77" s="385"/>
      <c r="C77" s="386"/>
      <c r="D77" s="387" t="s">
        <v>541</v>
      </c>
      <c r="E77" s="388"/>
      <c r="F77" s="390"/>
      <c r="G77" s="386"/>
      <c r="H77" s="389"/>
      <c r="I77" s="408">
        <f>SUM(I74:I76)</f>
        <v>1.1192344999999999</v>
      </c>
      <c r="J77" s="390">
        <f t="shared" ref="J77:X77" si="112">SUM(J74:J76)</f>
        <v>0</v>
      </c>
      <c r="K77" s="390">
        <f t="shared" si="112"/>
        <v>0</v>
      </c>
      <c r="L77" s="390">
        <f t="shared" si="112"/>
        <v>0</v>
      </c>
      <c r="M77" s="390">
        <f t="shared" si="112"/>
        <v>0</v>
      </c>
      <c r="N77" s="390">
        <f t="shared" si="112"/>
        <v>0</v>
      </c>
      <c r="O77" s="391">
        <f t="shared" si="112"/>
        <v>0</v>
      </c>
      <c r="P77" s="392">
        <f t="shared" si="112"/>
        <v>2550637.373418177</v>
      </c>
      <c r="Q77" s="392">
        <f t="shared" si="112"/>
        <v>0</v>
      </c>
      <c r="R77" s="392">
        <f t="shared" si="112"/>
        <v>0</v>
      </c>
      <c r="S77" s="392">
        <f t="shared" si="112"/>
        <v>0</v>
      </c>
      <c r="T77" s="392">
        <f t="shared" si="112"/>
        <v>0</v>
      </c>
      <c r="U77" s="392">
        <f t="shared" si="112"/>
        <v>0</v>
      </c>
      <c r="V77" s="393">
        <f t="shared" si="112"/>
        <v>0</v>
      </c>
      <c r="W77" s="394">
        <f t="shared" si="112"/>
        <v>1.1192344999999999</v>
      </c>
      <c r="X77" s="395">
        <f t="shared" si="112"/>
        <v>2550637.373418177</v>
      </c>
    </row>
    <row r="78" spans="2:24" ht="18.75">
      <c r="B78" s="396"/>
      <c r="C78" s="405" t="s">
        <v>542</v>
      </c>
      <c r="D78" s="398"/>
      <c r="E78" s="397"/>
      <c r="F78" s="406">
        <f>SUM(X77,X73,X61,X59,X57,X55,X54,X46,X43,X37,X32,X24,X17)</f>
        <v>100859048.99196617</v>
      </c>
      <c r="G78" s="400"/>
      <c r="H78" s="401"/>
      <c r="I78" s="399"/>
      <c r="J78" s="399"/>
      <c r="K78" s="399"/>
      <c r="L78" s="399"/>
      <c r="M78" s="399"/>
      <c r="N78" s="399"/>
      <c r="O78" s="399"/>
      <c r="P78" s="402"/>
      <c r="Q78" s="402"/>
      <c r="R78" s="402"/>
      <c r="S78" s="402"/>
      <c r="T78" s="402"/>
      <c r="U78" s="402"/>
      <c r="V78" s="402"/>
      <c r="W78" s="403"/>
      <c r="X78" s="404">
        <f>SUM(X65:X74)</f>
        <v>23260977.920000002</v>
      </c>
    </row>
    <row r="79" spans="2:24">
      <c r="F79" s="271">
        <f>F78-'[2]Скважина пример'!$D$173</f>
        <v>0</v>
      </c>
    </row>
    <row r="80" spans="2:24" ht="16.5" thickBot="1">
      <c r="B80" s="373">
        <v>3</v>
      </c>
      <c r="C80" s="373" t="s">
        <v>322</v>
      </c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2"/>
      <c r="P80" s="372"/>
      <c r="Q80" s="372"/>
      <c r="R80" s="372"/>
      <c r="S80" s="372"/>
      <c r="T80" s="372"/>
      <c r="U80" s="372"/>
      <c r="V80" s="372"/>
      <c r="W80" s="372"/>
      <c r="X80" s="372"/>
    </row>
    <row r="81" spans="2:24" ht="16.5" thickTop="1" thickBot="1">
      <c r="B81" s="374"/>
      <c r="C81" s="375"/>
      <c r="D81" s="383" t="s">
        <v>322</v>
      </c>
      <c r="E81" s="384"/>
      <c r="F81" s="261" t="s">
        <v>223</v>
      </c>
      <c r="G81" s="375" t="s">
        <v>145</v>
      </c>
      <c r="H81" s="376">
        <v>12057246</v>
      </c>
      <c r="I81" s="380">
        <v>1</v>
      </c>
      <c r="J81" s="380"/>
      <c r="K81" s="380"/>
      <c r="L81" s="380"/>
      <c r="M81" s="380"/>
      <c r="N81" s="380"/>
      <c r="O81" s="381"/>
      <c r="P81" s="377">
        <f t="shared" si="76"/>
        <v>12057246</v>
      </c>
      <c r="Q81" s="377">
        <f t="shared" si="77"/>
        <v>0</v>
      </c>
      <c r="R81" s="377">
        <f t="shared" si="78"/>
        <v>0</v>
      </c>
      <c r="S81" s="377">
        <f t="shared" si="79"/>
        <v>0</v>
      </c>
      <c r="T81" s="377">
        <f t="shared" si="80"/>
        <v>0</v>
      </c>
      <c r="U81" s="377">
        <f t="shared" si="81"/>
        <v>0</v>
      </c>
      <c r="V81" s="378">
        <f t="shared" si="82"/>
        <v>0</v>
      </c>
      <c r="W81" s="379">
        <f t="shared" si="83"/>
        <v>1</v>
      </c>
      <c r="X81" s="382">
        <f t="shared" si="84"/>
        <v>12057246</v>
      </c>
    </row>
    <row r="82" spans="2:24" ht="16.5" thickTop="1" thickBot="1">
      <c r="B82" s="374"/>
      <c r="C82" s="375"/>
      <c r="D82" s="383" t="s">
        <v>322</v>
      </c>
      <c r="E82" s="384"/>
      <c r="F82" s="261" t="s">
        <v>224</v>
      </c>
      <c r="G82" s="375" t="s">
        <v>145</v>
      </c>
      <c r="H82" s="376">
        <v>4572000</v>
      </c>
      <c r="I82" s="380">
        <v>1</v>
      </c>
      <c r="J82" s="380"/>
      <c r="K82" s="380"/>
      <c r="L82" s="380"/>
      <c r="M82" s="380"/>
      <c r="N82" s="380"/>
      <c r="O82" s="381"/>
      <c r="P82" s="377">
        <f t="shared" si="76"/>
        <v>4572000</v>
      </c>
      <c r="Q82" s="377">
        <f t="shared" si="77"/>
        <v>0</v>
      </c>
      <c r="R82" s="377">
        <f t="shared" si="78"/>
        <v>0</v>
      </c>
      <c r="S82" s="377">
        <f t="shared" si="79"/>
        <v>0</v>
      </c>
      <c r="T82" s="377">
        <f t="shared" si="80"/>
        <v>0</v>
      </c>
      <c r="U82" s="377">
        <f t="shared" si="81"/>
        <v>0</v>
      </c>
      <c r="V82" s="378">
        <f t="shared" si="82"/>
        <v>0</v>
      </c>
      <c r="W82" s="379">
        <f t="shared" si="83"/>
        <v>1</v>
      </c>
      <c r="X82" s="382">
        <f t="shared" si="84"/>
        <v>4572000</v>
      </c>
    </row>
    <row r="83" spans="2:24" ht="16.5" thickTop="1" thickBot="1">
      <c r="B83" s="374"/>
      <c r="C83" s="375"/>
      <c r="D83" s="383" t="s">
        <v>322</v>
      </c>
      <c r="E83" s="384"/>
      <c r="F83" s="261" t="s">
        <v>225</v>
      </c>
      <c r="G83" s="375" t="s">
        <v>226</v>
      </c>
      <c r="H83" s="376">
        <v>125520</v>
      </c>
      <c r="I83" s="380">
        <v>9</v>
      </c>
      <c r="J83" s="380"/>
      <c r="K83" s="380"/>
      <c r="L83" s="380"/>
      <c r="M83" s="380"/>
      <c r="N83" s="380"/>
      <c r="O83" s="381"/>
      <c r="P83" s="377">
        <f t="shared" ref="P83:P89" si="113">I83*$H83</f>
        <v>1129680</v>
      </c>
      <c r="Q83" s="377">
        <f t="shared" ref="Q83:Q89" si="114">J83*$H83</f>
        <v>0</v>
      </c>
      <c r="R83" s="377">
        <f t="shared" ref="R83:R89" si="115">K83*$H83</f>
        <v>0</v>
      </c>
      <c r="S83" s="377">
        <f t="shared" ref="S83:S89" si="116">L83*$H83</f>
        <v>0</v>
      </c>
      <c r="T83" s="377">
        <f t="shared" ref="T83:T89" si="117">M83*$H83</f>
        <v>0</v>
      </c>
      <c r="U83" s="377">
        <f t="shared" ref="U83:U89" si="118">N83*$H83</f>
        <v>0</v>
      </c>
      <c r="V83" s="378">
        <f t="shared" ref="V83:V89" si="119">O83*$H83</f>
        <v>0</v>
      </c>
      <c r="W83" s="379">
        <f t="shared" ref="W83:W89" si="120">SUM(I83:O83)</f>
        <v>9</v>
      </c>
      <c r="X83" s="382">
        <f t="shared" ref="X83:X89" si="121">SUM(P83:V83)</f>
        <v>1129680</v>
      </c>
    </row>
    <row r="84" spans="2:24" ht="16.5" thickTop="1" thickBot="1">
      <c r="B84" s="374"/>
      <c r="C84" s="375"/>
      <c r="D84" s="383" t="s">
        <v>322</v>
      </c>
      <c r="E84" s="384"/>
      <c r="F84" s="261" t="s">
        <v>227</v>
      </c>
      <c r="G84" s="375" t="s">
        <v>226</v>
      </c>
      <c r="H84" s="376">
        <v>0</v>
      </c>
      <c r="I84" s="380"/>
      <c r="J84" s="380"/>
      <c r="K84" s="380"/>
      <c r="L84" s="380"/>
      <c r="M84" s="380"/>
      <c r="N84" s="380"/>
      <c r="O84" s="381"/>
      <c r="P84" s="377">
        <f t="shared" si="113"/>
        <v>0</v>
      </c>
      <c r="Q84" s="377">
        <f t="shared" si="114"/>
        <v>0</v>
      </c>
      <c r="R84" s="377">
        <f t="shared" si="115"/>
        <v>0</v>
      </c>
      <c r="S84" s="377">
        <f t="shared" si="116"/>
        <v>0</v>
      </c>
      <c r="T84" s="377">
        <f t="shared" si="117"/>
        <v>0</v>
      </c>
      <c r="U84" s="377">
        <f t="shared" si="118"/>
        <v>0</v>
      </c>
      <c r="V84" s="378">
        <f t="shared" si="119"/>
        <v>0</v>
      </c>
      <c r="W84" s="379">
        <f t="shared" si="120"/>
        <v>0</v>
      </c>
      <c r="X84" s="382">
        <f t="shared" si="121"/>
        <v>0</v>
      </c>
    </row>
    <row r="85" spans="2:24" ht="16.5" thickTop="1" thickBot="1">
      <c r="B85" s="374"/>
      <c r="C85" s="375"/>
      <c r="D85" s="383" t="s">
        <v>322</v>
      </c>
      <c r="E85" s="384"/>
      <c r="F85" s="261" t="s">
        <v>228</v>
      </c>
      <c r="G85" s="375" t="s">
        <v>145</v>
      </c>
      <c r="H85" s="376">
        <v>254904</v>
      </c>
      <c r="I85" s="380">
        <v>1</v>
      </c>
      <c r="J85" s="380"/>
      <c r="K85" s="380"/>
      <c r="L85" s="380"/>
      <c r="M85" s="380"/>
      <c r="N85" s="380"/>
      <c r="O85" s="381"/>
      <c r="P85" s="377">
        <f t="shared" si="113"/>
        <v>254904</v>
      </c>
      <c r="Q85" s="377">
        <f t="shared" si="114"/>
        <v>0</v>
      </c>
      <c r="R85" s="377">
        <f t="shared" si="115"/>
        <v>0</v>
      </c>
      <c r="S85" s="377">
        <f t="shared" si="116"/>
        <v>0</v>
      </c>
      <c r="T85" s="377">
        <f t="shared" si="117"/>
        <v>0</v>
      </c>
      <c r="U85" s="377">
        <f t="shared" si="118"/>
        <v>0</v>
      </c>
      <c r="V85" s="378">
        <f t="shared" si="119"/>
        <v>0</v>
      </c>
      <c r="W85" s="379">
        <f t="shared" si="120"/>
        <v>1</v>
      </c>
      <c r="X85" s="382">
        <f t="shared" si="121"/>
        <v>254904</v>
      </c>
    </row>
    <row r="86" spans="2:24" ht="16.5" thickTop="1" thickBot="1">
      <c r="B86" s="374"/>
      <c r="C86" s="375"/>
      <c r="D86" s="383" t="s">
        <v>322</v>
      </c>
      <c r="E86" s="384"/>
      <c r="F86" s="261" t="s">
        <v>229</v>
      </c>
      <c r="G86" s="375" t="s">
        <v>230</v>
      </c>
      <c r="H86" s="376">
        <v>18900</v>
      </c>
      <c r="I86" s="380">
        <v>300</v>
      </c>
      <c r="J86" s="380"/>
      <c r="K86" s="380"/>
      <c r="L86" s="380"/>
      <c r="M86" s="380"/>
      <c r="N86" s="380"/>
      <c r="O86" s="381"/>
      <c r="P86" s="377">
        <f t="shared" si="113"/>
        <v>5670000</v>
      </c>
      <c r="Q86" s="377">
        <f t="shared" si="114"/>
        <v>0</v>
      </c>
      <c r="R86" s="377">
        <f t="shared" si="115"/>
        <v>0</v>
      </c>
      <c r="S86" s="377">
        <f t="shared" si="116"/>
        <v>0</v>
      </c>
      <c r="T86" s="377">
        <f t="shared" si="117"/>
        <v>0</v>
      </c>
      <c r="U86" s="377">
        <f t="shared" si="118"/>
        <v>0</v>
      </c>
      <c r="V86" s="378">
        <f t="shared" si="119"/>
        <v>0</v>
      </c>
      <c r="W86" s="379">
        <f t="shared" si="120"/>
        <v>300</v>
      </c>
      <c r="X86" s="382">
        <f t="shared" si="121"/>
        <v>5670000</v>
      </c>
    </row>
    <row r="87" spans="2:24" ht="16.5" thickTop="1" thickBot="1">
      <c r="B87" s="374"/>
      <c r="C87" s="375"/>
      <c r="D87" s="383" t="s">
        <v>322</v>
      </c>
      <c r="E87" s="384"/>
      <c r="F87" s="261" t="s">
        <v>231</v>
      </c>
      <c r="G87" s="375" t="s">
        <v>232</v>
      </c>
      <c r="H87" s="376">
        <v>88752</v>
      </c>
      <c r="I87" s="380">
        <v>1</v>
      </c>
      <c r="J87" s="380"/>
      <c r="K87" s="380"/>
      <c r="L87" s="380"/>
      <c r="M87" s="380"/>
      <c r="N87" s="380"/>
      <c r="O87" s="381"/>
      <c r="P87" s="377">
        <f t="shared" si="113"/>
        <v>88752</v>
      </c>
      <c r="Q87" s="377">
        <f t="shared" si="114"/>
        <v>0</v>
      </c>
      <c r="R87" s="377">
        <f t="shared" si="115"/>
        <v>0</v>
      </c>
      <c r="S87" s="377">
        <f t="shared" si="116"/>
        <v>0</v>
      </c>
      <c r="T87" s="377">
        <f t="shared" si="117"/>
        <v>0</v>
      </c>
      <c r="U87" s="377">
        <f t="shared" si="118"/>
        <v>0</v>
      </c>
      <c r="V87" s="378">
        <f t="shared" si="119"/>
        <v>0</v>
      </c>
      <c r="W87" s="379">
        <f t="shared" si="120"/>
        <v>1</v>
      </c>
      <c r="X87" s="382">
        <f t="shared" si="121"/>
        <v>88752</v>
      </c>
    </row>
    <row r="88" spans="2:24" ht="16.5" thickTop="1" thickBot="1">
      <c r="B88" s="374"/>
      <c r="C88" s="375"/>
      <c r="D88" s="383" t="s">
        <v>322</v>
      </c>
      <c r="E88" s="384"/>
      <c r="F88" s="261" t="s">
        <v>233</v>
      </c>
      <c r="G88" s="375" t="s">
        <v>232</v>
      </c>
      <c r="H88" s="376">
        <v>381349.07760000002</v>
      </c>
      <c r="I88" s="380">
        <v>1</v>
      </c>
      <c r="J88" s="380"/>
      <c r="K88" s="380"/>
      <c r="L88" s="380"/>
      <c r="M88" s="380"/>
      <c r="N88" s="380"/>
      <c r="O88" s="381"/>
      <c r="P88" s="377">
        <f t="shared" si="113"/>
        <v>381349.07760000002</v>
      </c>
      <c r="Q88" s="377">
        <f t="shared" si="114"/>
        <v>0</v>
      </c>
      <c r="R88" s="377">
        <f t="shared" si="115"/>
        <v>0</v>
      </c>
      <c r="S88" s="377">
        <f t="shared" si="116"/>
        <v>0</v>
      </c>
      <c r="T88" s="377">
        <f t="shared" si="117"/>
        <v>0</v>
      </c>
      <c r="U88" s="377">
        <f t="shared" si="118"/>
        <v>0</v>
      </c>
      <c r="V88" s="378">
        <f t="shared" si="119"/>
        <v>0</v>
      </c>
      <c r="W88" s="379">
        <f t="shared" si="120"/>
        <v>1</v>
      </c>
      <c r="X88" s="382">
        <f t="shared" si="121"/>
        <v>381349.07760000002</v>
      </c>
    </row>
    <row r="89" spans="2:24" ht="16.5" thickTop="1" thickBot="1">
      <c r="B89" s="374"/>
      <c r="C89" s="375"/>
      <c r="D89" s="383" t="s">
        <v>322</v>
      </c>
      <c r="E89" s="384"/>
      <c r="F89" s="261" t="s">
        <v>234</v>
      </c>
      <c r="G89" s="375" t="s">
        <v>145</v>
      </c>
      <c r="H89" s="376">
        <v>461147.136</v>
      </c>
      <c r="I89" s="380">
        <v>1</v>
      </c>
      <c r="J89" s="380"/>
      <c r="K89" s="380"/>
      <c r="L89" s="380"/>
      <c r="M89" s="380"/>
      <c r="N89" s="380"/>
      <c r="O89" s="381"/>
      <c r="P89" s="377">
        <f t="shared" si="113"/>
        <v>461147.136</v>
      </c>
      <c r="Q89" s="377">
        <f t="shared" si="114"/>
        <v>0</v>
      </c>
      <c r="R89" s="377">
        <f t="shared" si="115"/>
        <v>0</v>
      </c>
      <c r="S89" s="377">
        <f t="shared" si="116"/>
        <v>0</v>
      </c>
      <c r="T89" s="377">
        <f t="shared" si="117"/>
        <v>0</v>
      </c>
      <c r="U89" s="377">
        <f t="shared" si="118"/>
        <v>0</v>
      </c>
      <c r="V89" s="378">
        <f t="shared" si="119"/>
        <v>0</v>
      </c>
      <c r="W89" s="379">
        <f t="shared" si="120"/>
        <v>1</v>
      </c>
      <c r="X89" s="382">
        <f t="shared" si="121"/>
        <v>461147.136</v>
      </c>
    </row>
    <row r="90" spans="2:24" ht="16.5" thickTop="1" thickBot="1">
      <c r="B90" s="374"/>
      <c r="C90" s="375"/>
      <c r="D90" s="383" t="s">
        <v>322</v>
      </c>
      <c r="E90" s="384"/>
      <c r="F90" s="261" t="s">
        <v>235</v>
      </c>
      <c r="G90" s="375" t="s">
        <v>96</v>
      </c>
      <c r="H90" s="376">
        <v>16078.7205792</v>
      </c>
      <c r="I90" s="380">
        <v>11</v>
      </c>
      <c r="J90" s="380"/>
      <c r="K90" s="380"/>
      <c r="L90" s="380"/>
      <c r="M90" s="380"/>
      <c r="N90" s="380"/>
      <c r="O90" s="381"/>
      <c r="P90" s="377">
        <f t="shared" si="76"/>
        <v>176865.92637120001</v>
      </c>
      <c r="Q90" s="377">
        <f t="shared" si="77"/>
        <v>0</v>
      </c>
      <c r="R90" s="377">
        <f t="shared" si="78"/>
        <v>0</v>
      </c>
      <c r="S90" s="377">
        <f t="shared" si="79"/>
        <v>0</v>
      </c>
      <c r="T90" s="377">
        <f t="shared" si="80"/>
        <v>0</v>
      </c>
      <c r="U90" s="377">
        <f t="shared" si="81"/>
        <v>0</v>
      </c>
      <c r="V90" s="378">
        <f t="shared" si="82"/>
        <v>0</v>
      </c>
      <c r="W90" s="379">
        <f t="shared" si="83"/>
        <v>11</v>
      </c>
      <c r="X90" s="382">
        <f t="shared" si="84"/>
        <v>176865.92637120001</v>
      </c>
    </row>
    <row r="91" spans="2:24" ht="16.5" thickTop="1" thickBot="1">
      <c r="B91" s="374"/>
      <c r="C91" s="375"/>
      <c r="D91" s="383" t="s">
        <v>322</v>
      </c>
      <c r="E91" s="384"/>
      <c r="F91" s="261" t="s">
        <v>236</v>
      </c>
      <c r="G91" s="375" t="s">
        <v>145</v>
      </c>
      <c r="H91" s="376">
        <v>100000</v>
      </c>
      <c r="I91" s="380">
        <v>1</v>
      </c>
      <c r="J91" s="380"/>
      <c r="K91" s="380"/>
      <c r="L91" s="380"/>
      <c r="M91" s="380"/>
      <c r="N91" s="380"/>
      <c r="O91" s="381"/>
      <c r="P91" s="377">
        <f t="shared" si="76"/>
        <v>100000</v>
      </c>
      <c r="Q91" s="377">
        <f t="shared" si="77"/>
        <v>0</v>
      </c>
      <c r="R91" s="377">
        <f t="shared" si="78"/>
        <v>0</v>
      </c>
      <c r="S91" s="377">
        <f t="shared" si="79"/>
        <v>0</v>
      </c>
      <c r="T91" s="377">
        <f t="shared" si="80"/>
        <v>0</v>
      </c>
      <c r="U91" s="377">
        <f t="shared" si="81"/>
        <v>0</v>
      </c>
      <c r="V91" s="378">
        <f t="shared" si="82"/>
        <v>0</v>
      </c>
      <c r="W91" s="379">
        <f t="shared" si="83"/>
        <v>1</v>
      </c>
      <c r="X91" s="382">
        <f t="shared" si="84"/>
        <v>100000</v>
      </c>
    </row>
    <row r="92" spans="2:24" ht="19.5" thickTop="1">
      <c r="B92" s="396"/>
      <c r="C92" s="405" t="s">
        <v>544</v>
      </c>
      <c r="D92" s="398"/>
      <c r="E92" s="397"/>
      <c r="F92" s="406">
        <f>SUM(X81:X91)</f>
        <v>24891944.139971197</v>
      </c>
      <c r="G92" s="400"/>
      <c r="H92" s="401"/>
      <c r="I92" s="399"/>
      <c r="J92" s="399"/>
      <c r="K92" s="399"/>
      <c r="L92" s="399"/>
      <c r="M92" s="399"/>
      <c r="N92" s="399"/>
      <c r="O92" s="399"/>
      <c r="P92" s="402"/>
      <c r="Q92" s="402"/>
      <c r="R92" s="402"/>
      <c r="S92" s="402"/>
      <c r="T92" s="402"/>
      <c r="U92" s="402"/>
      <c r="V92" s="402"/>
      <c r="W92" s="403"/>
      <c r="X92" s="404"/>
    </row>
    <row r="93" spans="2:24">
      <c r="F93" s="271">
        <f>F92-'[2]Скважина пример'!$D$173</f>
        <v>-75967104.851994976</v>
      </c>
    </row>
    <row r="94" spans="2:24" ht="16.5" thickBot="1">
      <c r="B94" s="373">
        <v>4</v>
      </c>
      <c r="C94" s="373" t="s">
        <v>323</v>
      </c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</row>
    <row r="95" spans="2:24" ht="16.5" thickTop="1" thickBot="1">
      <c r="B95" s="374"/>
      <c r="C95" s="375"/>
      <c r="D95" s="383" t="s">
        <v>375</v>
      </c>
      <c r="E95" s="384"/>
      <c r="F95" s="261" t="s">
        <v>241</v>
      </c>
      <c r="G95" s="375" t="s">
        <v>240</v>
      </c>
      <c r="H95" s="376">
        <v>1200000</v>
      </c>
      <c r="I95" s="380">
        <v>1</v>
      </c>
      <c r="J95" s="380"/>
      <c r="K95" s="380"/>
      <c r="L95" s="380"/>
      <c r="M95" s="380"/>
      <c r="N95" s="380"/>
      <c r="O95" s="381"/>
      <c r="P95" s="377">
        <f t="shared" ref="P95" si="122">I95*$H95</f>
        <v>1200000</v>
      </c>
      <c r="Q95" s="377">
        <f t="shared" ref="Q95" si="123">J95*$H95</f>
        <v>0</v>
      </c>
      <c r="R95" s="377">
        <f t="shared" ref="R95" si="124">K95*$H95</f>
        <v>0</v>
      </c>
      <c r="S95" s="377">
        <f t="shared" ref="S95" si="125">L95*$H95</f>
        <v>0</v>
      </c>
      <c r="T95" s="377">
        <f t="shared" ref="T95" si="126">M95*$H95</f>
        <v>0</v>
      </c>
      <c r="U95" s="377">
        <f t="shared" ref="U95" si="127">N95*$H95</f>
        <v>0</v>
      </c>
      <c r="V95" s="378">
        <f t="shared" ref="V95" si="128">O95*$H95</f>
        <v>0</v>
      </c>
      <c r="W95" s="379">
        <f t="shared" ref="W95" si="129">SUM(I95:O95)</f>
        <v>1</v>
      </c>
      <c r="X95" s="382">
        <f t="shared" ref="X95" si="130">SUM(P95:V95)</f>
        <v>1200000</v>
      </c>
    </row>
    <row r="96" spans="2:24" ht="19.5" thickTop="1">
      <c r="B96" s="396"/>
      <c r="C96" s="405"/>
      <c r="D96" s="398" t="s">
        <v>543</v>
      </c>
      <c r="E96" s="397"/>
      <c r="F96" s="406">
        <f>SUM(X95)</f>
        <v>1200000</v>
      </c>
      <c r="G96" s="400"/>
      <c r="H96" s="401"/>
      <c r="I96" s="399"/>
      <c r="J96" s="399"/>
      <c r="K96" s="399"/>
      <c r="L96" s="399"/>
      <c r="M96" s="399"/>
      <c r="N96" s="399"/>
      <c r="O96" s="399"/>
      <c r="P96" s="402"/>
      <c r="Q96" s="402"/>
      <c r="R96" s="402"/>
      <c r="S96" s="402"/>
      <c r="T96" s="402"/>
      <c r="U96" s="402"/>
      <c r="V96" s="402"/>
      <c r="W96" s="403"/>
      <c r="X96" s="404"/>
    </row>
    <row r="98" spans="2:24" ht="23.25">
      <c r="B98" s="409"/>
      <c r="C98" s="418" t="s">
        <v>545</v>
      </c>
      <c r="D98" s="410"/>
      <c r="E98" s="411"/>
      <c r="F98" s="419">
        <f>F96+F92+F78+F14</f>
        <v>166231993.13193738</v>
      </c>
      <c r="G98" s="412"/>
      <c r="H98" s="413"/>
      <c r="I98" s="414"/>
      <c r="J98" s="414"/>
      <c r="K98" s="414"/>
      <c r="L98" s="414"/>
      <c r="M98" s="414"/>
      <c r="N98" s="414"/>
      <c r="O98" s="414"/>
      <c r="P98" s="415"/>
      <c r="Q98" s="415"/>
      <c r="R98" s="415"/>
      <c r="S98" s="415"/>
      <c r="T98" s="415"/>
      <c r="U98" s="415"/>
      <c r="V98" s="415"/>
      <c r="W98" s="416"/>
      <c r="X98" s="417"/>
    </row>
    <row r="101" spans="2:24" ht="18.75">
      <c r="C101" s="268" t="s">
        <v>314</v>
      </c>
      <c r="D101" s="269"/>
    </row>
    <row r="102" spans="2:24" ht="9.75" customHeight="1"/>
    <row r="103" spans="2:24">
      <c r="C103" s="1" t="s">
        <v>343</v>
      </c>
      <c r="D103" s="1" t="s">
        <v>312</v>
      </c>
      <c r="E103" s="1"/>
      <c r="F103" s="1" t="s">
        <v>349</v>
      </c>
      <c r="G103" s="1"/>
      <c r="H103" s="1" t="s">
        <v>348</v>
      </c>
      <c r="I103" s="1"/>
    </row>
    <row r="104" spans="2:24">
      <c r="C104" t="s">
        <v>344</v>
      </c>
      <c r="D104">
        <v>1</v>
      </c>
      <c r="E104" t="s">
        <v>240</v>
      </c>
      <c r="F104" s="270">
        <v>2000000</v>
      </c>
      <c r="G104" t="s">
        <v>350</v>
      </c>
      <c r="H104" s="271">
        <f>F104*D104</f>
        <v>2000000</v>
      </c>
      <c r="I104" t="s">
        <v>353</v>
      </c>
    </row>
    <row r="105" spans="2:24">
      <c r="C105" t="s">
        <v>346</v>
      </c>
      <c r="D105">
        <v>1</v>
      </c>
      <c r="E105" t="s">
        <v>240</v>
      </c>
      <c r="F105" s="270">
        <v>700000</v>
      </c>
      <c r="G105" t="s">
        <v>350</v>
      </c>
      <c r="H105" s="271">
        <f>F105*D105</f>
        <v>700000</v>
      </c>
      <c r="I105" t="s">
        <v>353</v>
      </c>
    </row>
    <row r="106" spans="2:24">
      <c r="C106" t="s">
        <v>345</v>
      </c>
      <c r="D106">
        <v>2500</v>
      </c>
      <c r="E106" t="s">
        <v>175</v>
      </c>
      <c r="F106" s="270">
        <v>900</v>
      </c>
      <c r="G106" t="s">
        <v>351</v>
      </c>
      <c r="H106" s="271">
        <f>F106*D106</f>
        <v>2250000</v>
      </c>
      <c r="I106" t="s">
        <v>353</v>
      </c>
    </row>
    <row r="107" spans="2:24">
      <c r="C107" t="s">
        <v>315</v>
      </c>
      <c r="D107">
        <v>700</v>
      </c>
      <c r="E107" t="s">
        <v>175</v>
      </c>
      <c r="F107" s="270">
        <v>300</v>
      </c>
      <c r="G107" t="s">
        <v>351</v>
      </c>
      <c r="H107" s="271">
        <f>F107*D107</f>
        <v>210000</v>
      </c>
      <c r="I107" t="s">
        <v>353</v>
      </c>
    </row>
    <row r="108" spans="2:24">
      <c r="C108" t="s">
        <v>347</v>
      </c>
      <c r="D108">
        <v>2500</v>
      </c>
      <c r="E108" t="s">
        <v>175</v>
      </c>
      <c r="F108" s="270">
        <v>500</v>
      </c>
      <c r="G108" t="s">
        <v>351</v>
      </c>
      <c r="H108" s="271">
        <f>F108*D108</f>
        <v>1250000</v>
      </c>
      <c r="I108" t="s">
        <v>353</v>
      </c>
    </row>
    <row r="109" spans="2:24" ht="15.75" thickBot="1">
      <c r="C109" t="s">
        <v>177</v>
      </c>
    </row>
    <row r="110" spans="2:24" ht="16.5" thickTop="1" thickBot="1">
      <c r="C110" s="258" t="s">
        <v>330</v>
      </c>
    </row>
    <row r="111" spans="2:24" ht="15.75" thickTop="1"/>
  </sheetData>
  <mergeCells count="5">
    <mergeCell ref="B7:C7"/>
    <mergeCell ref="I6:O6"/>
    <mergeCell ref="P6:V6"/>
    <mergeCell ref="W6:X6"/>
    <mergeCell ref="B6:H6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G28"/>
  <sheetViews>
    <sheetView workbookViewId="0">
      <selection activeCell="C28" sqref="C28"/>
    </sheetView>
  </sheetViews>
  <sheetFormatPr defaultRowHeight="15"/>
  <cols>
    <col min="3" max="3" width="82.7109375" bestFit="1" customWidth="1"/>
    <col min="4" max="4" width="26.5703125" bestFit="1" customWidth="1"/>
    <col min="7" max="7" width="21.42578125" bestFit="1" customWidth="1"/>
  </cols>
  <sheetData>
    <row r="2" spans="2:7">
      <c r="B2" t="s">
        <v>583</v>
      </c>
      <c r="G2" t="s">
        <v>590</v>
      </c>
    </row>
    <row r="3" spans="2:7">
      <c r="C3" s="251" t="s">
        <v>585</v>
      </c>
      <c r="D3" t="s">
        <v>584</v>
      </c>
      <c r="G3" s="251" t="s">
        <v>591</v>
      </c>
    </row>
    <row r="4" spans="2:7">
      <c r="C4" t="s">
        <v>247</v>
      </c>
      <c r="G4" t="s">
        <v>592</v>
      </c>
    </row>
    <row r="5" spans="2:7">
      <c r="C5" t="s">
        <v>586</v>
      </c>
      <c r="G5" t="s">
        <v>593</v>
      </c>
    </row>
    <row r="6" spans="2:7">
      <c r="C6" t="s">
        <v>587</v>
      </c>
      <c r="G6" t="s">
        <v>594</v>
      </c>
    </row>
    <row r="7" spans="2:7">
      <c r="C7" t="s">
        <v>588</v>
      </c>
      <c r="G7" t="s">
        <v>368</v>
      </c>
    </row>
    <row r="8" spans="2:7">
      <c r="C8" t="s">
        <v>601</v>
      </c>
      <c r="D8" t="s">
        <v>602</v>
      </c>
      <c r="G8" t="s">
        <v>595</v>
      </c>
    </row>
    <row r="9" spans="2:7">
      <c r="C9" t="s">
        <v>596</v>
      </c>
      <c r="G9" t="s">
        <v>598</v>
      </c>
    </row>
    <row r="10" spans="2:7">
      <c r="C10" t="s">
        <v>597</v>
      </c>
      <c r="G10" t="s">
        <v>599</v>
      </c>
    </row>
    <row r="11" spans="2:7">
      <c r="C11" t="s">
        <v>254</v>
      </c>
    </row>
    <row r="12" spans="2:7">
      <c r="C12" t="s">
        <v>589</v>
      </c>
    </row>
    <row r="17" spans="3:4">
      <c r="C17" t="s">
        <v>600</v>
      </c>
      <c r="D17" t="s">
        <v>584</v>
      </c>
    </row>
    <row r="18" spans="3:4">
      <c r="C18" t="s">
        <v>526</v>
      </c>
    </row>
    <row r="19" spans="3:4">
      <c r="C19" t="s">
        <v>245</v>
      </c>
    </row>
    <row r="20" spans="3:4">
      <c r="C20" t="s">
        <v>322</v>
      </c>
    </row>
    <row r="21" spans="3:4">
      <c r="C21" t="s">
        <v>323</v>
      </c>
    </row>
    <row r="25" spans="3:4">
      <c r="C25" t="s">
        <v>603</v>
      </c>
    </row>
    <row r="26" spans="3:4">
      <c r="C26" t="s">
        <v>604</v>
      </c>
    </row>
    <row r="27" spans="3:4">
      <c r="C27" t="s">
        <v>606</v>
      </c>
    </row>
    <row r="28" spans="3:4">
      <c r="C28" t="s">
        <v>605</v>
      </c>
    </row>
  </sheetData>
  <pageMargins left="0.7" right="0.7" top="0.75" bottom="0.75" header="0.3" footer="0.3"/>
  <pageSetup paperSize="9" scale="52" orientation="portrait" r:id="rId1"/>
  <rowBreaks count="1" manualBreakCount="1">
    <brk id="5" max="16383" man="1"/>
  </rowBreaks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4">
    <tabColor rgb="FF92D050"/>
  </sheetPr>
  <dimension ref="C3:L26"/>
  <sheetViews>
    <sheetView zoomScaleNormal="100" workbookViewId="0">
      <selection activeCell="C8" sqref="C8:D8"/>
    </sheetView>
  </sheetViews>
  <sheetFormatPr defaultRowHeight="15"/>
  <cols>
    <col min="2" max="2" width="1.7109375" customWidth="1"/>
    <col min="3" max="3" width="38.28515625" bestFit="1" customWidth="1"/>
    <col min="4" max="4" width="27.42578125" bestFit="1" customWidth="1"/>
    <col min="5" max="5" width="12.5703125" customWidth="1"/>
    <col min="6" max="6" width="9.7109375" customWidth="1"/>
    <col min="7" max="7" width="27.42578125" customWidth="1"/>
    <col min="8" max="10" width="11.42578125" customWidth="1"/>
    <col min="11" max="11" width="19.85546875" customWidth="1"/>
    <col min="12" max="14" width="11.42578125" customWidth="1"/>
    <col min="15" max="15" width="22.28515625" customWidth="1"/>
  </cols>
  <sheetData>
    <row r="3" spans="3:12" ht="11.25" customHeight="1"/>
    <row r="4" spans="3:12" ht="15" customHeight="1">
      <c r="C4" s="266" t="s">
        <v>271</v>
      </c>
      <c r="D4" s="267" t="s">
        <v>279</v>
      </c>
      <c r="E4" s="264" t="s">
        <v>295</v>
      </c>
      <c r="G4" s="33" t="s">
        <v>292</v>
      </c>
      <c r="H4" s="1" t="s">
        <v>4</v>
      </c>
      <c r="I4" s="264" t="s">
        <v>295</v>
      </c>
    </row>
    <row r="5" spans="3:12" ht="15" customHeight="1">
      <c r="C5" s="266" t="s">
        <v>272</v>
      </c>
      <c r="D5" s="267">
        <v>436</v>
      </c>
      <c r="E5" s="264" t="s">
        <v>296</v>
      </c>
      <c r="G5" s="33" t="s">
        <v>7</v>
      </c>
      <c r="H5" s="1" t="s">
        <v>8</v>
      </c>
      <c r="I5" s="264" t="s">
        <v>340</v>
      </c>
    </row>
    <row r="6" spans="3:12" ht="15" customHeight="1">
      <c r="C6" s="33" t="s">
        <v>273</v>
      </c>
      <c r="D6" s="1">
        <v>255</v>
      </c>
      <c r="E6" s="264" t="s">
        <v>296</v>
      </c>
      <c r="G6" s="33" t="s">
        <v>339</v>
      </c>
      <c r="H6" s="1">
        <v>8</v>
      </c>
      <c r="I6" s="264" t="s">
        <v>341</v>
      </c>
    </row>
    <row r="7" spans="3:12">
      <c r="C7" s="266" t="s">
        <v>290</v>
      </c>
      <c r="D7" s="267" t="s">
        <v>294</v>
      </c>
      <c r="E7" s="264" t="s">
        <v>295</v>
      </c>
      <c r="G7" s="33" t="s">
        <v>283</v>
      </c>
      <c r="H7" s="1" t="s">
        <v>286</v>
      </c>
      <c r="I7" s="264" t="s">
        <v>295</v>
      </c>
    </row>
    <row r="8" spans="3:12">
      <c r="C8" s="266" t="s">
        <v>291</v>
      </c>
      <c r="D8" s="267" t="str">
        <f>ковер!D17</f>
        <v>БУ-5000</v>
      </c>
      <c r="E8" s="264" t="s">
        <v>295</v>
      </c>
      <c r="G8" s="252" t="s">
        <v>293</v>
      </c>
      <c r="H8" s="1">
        <f>ковер!L50</f>
        <v>5200</v>
      </c>
      <c r="I8" s="264" t="s">
        <v>296</v>
      </c>
    </row>
    <row r="9" spans="3:12">
      <c r="E9" s="264"/>
      <c r="G9" s="252" t="s">
        <v>342</v>
      </c>
      <c r="H9" s="1">
        <v>2750</v>
      </c>
      <c r="I9" s="264" t="s">
        <v>296</v>
      </c>
    </row>
    <row r="11" spans="3:12">
      <c r="C11" s="519" t="s">
        <v>31</v>
      </c>
      <c r="D11" s="521" t="s">
        <v>32</v>
      </c>
      <c r="E11" s="518" t="s">
        <v>33</v>
      </c>
      <c r="F11" s="518" t="s">
        <v>34</v>
      </c>
      <c r="G11" s="518" t="s">
        <v>35</v>
      </c>
      <c r="H11" s="518" t="s">
        <v>36</v>
      </c>
      <c r="I11" s="518" t="s">
        <v>37</v>
      </c>
      <c r="J11" s="518" t="s">
        <v>38</v>
      </c>
      <c r="K11" s="518" t="s">
        <v>79</v>
      </c>
    </row>
    <row r="12" spans="3:12" ht="15" customHeight="1">
      <c r="C12" s="520"/>
      <c r="D12" s="522"/>
      <c r="E12" s="518"/>
      <c r="F12" s="518"/>
      <c r="G12" s="518"/>
      <c r="H12" s="518"/>
      <c r="I12" s="518"/>
      <c r="J12" s="518"/>
      <c r="K12" s="518"/>
    </row>
    <row r="13" spans="3:12">
      <c r="C13" s="253" t="s">
        <v>44</v>
      </c>
      <c r="D13" s="16">
        <v>1</v>
      </c>
      <c r="E13" s="16">
        <v>4</v>
      </c>
      <c r="F13" s="16">
        <v>8</v>
      </c>
      <c r="G13" s="17"/>
      <c r="H13" s="16">
        <v>18</v>
      </c>
      <c r="I13" s="16"/>
      <c r="J13" s="17">
        <v>11</v>
      </c>
      <c r="K13" s="257">
        <f>SUM(D13:J13)</f>
        <v>42</v>
      </c>
      <c r="L13" s="264" t="s">
        <v>337</v>
      </c>
    </row>
    <row r="14" spans="3:12" ht="15" customHeight="1">
      <c r="C14" s="253" t="s">
        <v>48</v>
      </c>
      <c r="D14" s="17"/>
      <c r="E14" s="20">
        <v>360</v>
      </c>
      <c r="F14" s="20">
        <v>1350</v>
      </c>
      <c r="G14" s="21"/>
      <c r="H14" s="20">
        <v>4000</v>
      </c>
      <c r="I14" s="20"/>
      <c r="J14" s="21">
        <v>4900</v>
      </c>
      <c r="K14" s="257">
        <f>H8</f>
        <v>5200</v>
      </c>
      <c r="L14" s="264" t="s">
        <v>338</v>
      </c>
    </row>
    <row r="15" spans="3:12" ht="15" customHeight="1">
      <c r="C15" s="253" t="s">
        <v>53</v>
      </c>
      <c r="D15" s="17"/>
      <c r="E15" s="16">
        <v>393.7</v>
      </c>
      <c r="F15" s="16">
        <v>295.3</v>
      </c>
      <c r="G15" s="17"/>
      <c r="H15" s="16">
        <v>220.7</v>
      </c>
      <c r="I15" s="16"/>
      <c r="J15" s="17">
        <v>155.6</v>
      </c>
      <c r="K15" s="257"/>
    </row>
    <row r="16" spans="3:12" ht="15" customHeight="1">
      <c r="C16" s="253" t="s">
        <v>56</v>
      </c>
      <c r="D16" s="17"/>
      <c r="E16" s="16">
        <v>323.89999999999998</v>
      </c>
      <c r="F16" s="16">
        <v>244.5</v>
      </c>
      <c r="G16" s="17"/>
      <c r="H16" s="16">
        <v>177.8</v>
      </c>
      <c r="I16" s="16"/>
      <c r="J16" s="17">
        <v>114.3</v>
      </c>
      <c r="K16" s="257"/>
    </row>
    <row r="17" spans="3:12" ht="15" customHeight="1">
      <c r="C17" s="254" t="s">
        <v>31</v>
      </c>
      <c r="D17" s="28" t="s">
        <v>60</v>
      </c>
      <c r="E17" s="28" t="s">
        <v>61</v>
      </c>
      <c r="F17" s="28" t="s">
        <v>62</v>
      </c>
      <c r="G17" s="28" t="s">
        <v>63</v>
      </c>
      <c r="H17" s="28" t="s">
        <v>64</v>
      </c>
      <c r="I17" s="28" t="s">
        <v>65</v>
      </c>
      <c r="J17" s="28"/>
      <c r="K17" s="257"/>
      <c r="L17" s="264"/>
    </row>
    <row r="18" spans="3:12" ht="15" customHeight="1">
      <c r="C18" s="253" t="s">
        <v>69</v>
      </c>
      <c r="D18" s="29"/>
      <c r="E18" s="29">
        <v>300</v>
      </c>
      <c r="F18" s="29"/>
      <c r="G18" s="29"/>
      <c r="H18" s="29"/>
      <c r="I18" s="29"/>
      <c r="J18" s="29"/>
      <c r="K18" s="265"/>
    </row>
    <row r="19" spans="3:12" ht="15" customHeight="1"/>
    <row r="20" spans="3:12">
      <c r="C20" s="255" t="s">
        <v>31</v>
      </c>
      <c r="D20" s="262" t="s">
        <v>40</v>
      </c>
    </row>
    <row r="21" spans="3:12">
      <c r="C21" s="256"/>
      <c r="D21" s="262"/>
    </row>
    <row r="22" spans="3:12">
      <c r="C22" s="253" t="s">
        <v>45</v>
      </c>
      <c r="D22" s="16">
        <f>SUM(D24:D26)</f>
        <v>10</v>
      </c>
    </row>
    <row r="23" spans="3:12">
      <c r="C23" s="253" t="s">
        <v>50</v>
      </c>
      <c r="D23" s="22"/>
    </row>
    <row r="24" spans="3:12">
      <c r="C24" s="253" t="s">
        <v>54</v>
      </c>
      <c r="D24" s="17">
        <v>8</v>
      </c>
    </row>
    <row r="25" spans="3:12">
      <c r="C25" s="253" t="s">
        <v>57</v>
      </c>
      <c r="D25" s="17">
        <v>2</v>
      </c>
    </row>
    <row r="26" spans="3:12">
      <c r="C26" s="253" t="s">
        <v>67</v>
      </c>
      <c r="D26" s="17"/>
    </row>
  </sheetData>
  <mergeCells count="9">
    <mergeCell ref="K11:K12"/>
    <mergeCell ref="C11:C12"/>
    <mergeCell ref="D11:D12"/>
    <mergeCell ref="E11:E12"/>
    <mergeCell ref="F11:F12"/>
    <mergeCell ref="G11:G12"/>
    <mergeCell ref="H11:H12"/>
    <mergeCell ref="I11:I12"/>
    <mergeCell ref="J11:J12"/>
  </mergeCells>
  <conditionalFormatting sqref="D13:J16">
    <cfRule type="cellIs" dxfId="3" priority="2" stopIfTrue="1" operator="equal">
      <formula>0</formula>
    </cfRule>
  </conditionalFormatting>
  <conditionalFormatting sqref="D22 D24:D26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R346"/>
  <sheetViews>
    <sheetView showGridLines="0" topLeftCell="A326" zoomScale="85" zoomScaleNormal="85" workbookViewId="0">
      <selection activeCell="G348" sqref="G348"/>
    </sheetView>
  </sheetViews>
  <sheetFormatPr defaultRowHeight="15" outlineLevelCol="1"/>
  <cols>
    <col min="1" max="1" width="2.85546875" customWidth="1"/>
    <col min="2" max="2" width="2" bestFit="1" customWidth="1"/>
    <col min="3" max="3" width="8" customWidth="1"/>
    <col min="4" max="4" width="31.28515625" customWidth="1"/>
    <col min="5" max="5" width="12" customWidth="1"/>
    <col min="6" max="6" width="60.7109375" bestFit="1" customWidth="1"/>
    <col min="7" max="7" width="14.7109375" bestFit="1" customWidth="1"/>
    <col min="8" max="8" width="13.85546875" customWidth="1"/>
    <col min="9" max="16" width="15" customWidth="1" outlineLevel="1"/>
  </cols>
  <sheetData>
    <row r="1" spans="2:17" ht="5.25" customHeight="1"/>
    <row r="2" spans="2:17" ht="18.75">
      <c r="B2" s="494"/>
      <c r="C2" s="268" t="s">
        <v>352</v>
      </c>
      <c r="D2" s="269"/>
      <c r="E2" s="269"/>
      <c r="F2" s="269"/>
      <c r="G2" s="494"/>
      <c r="H2" s="494"/>
      <c r="I2" s="494"/>
      <c r="J2" s="494"/>
      <c r="K2" s="494"/>
      <c r="L2" s="494"/>
      <c r="M2" s="494"/>
      <c r="N2" s="494"/>
      <c r="O2" s="494"/>
      <c r="P2" s="494"/>
    </row>
    <row r="3" spans="2:17" ht="5.25" customHeight="1"/>
    <row r="4" spans="2:17" ht="15.75">
      <c r="B4" s="537"/>
      <c r="C4" s="537"/>
      <c r="D4" s="537"/>
      <c r="E4" s="537"/>
      <c r="F4" s="537"/>
      <c r="G4" s="537"/>
      <c r="H4" s="537"/>
      <c r="I4" s="538" t="s">
        <v>553</v>
      </c>
      <c r="J4" s="538"/>
      <c r="K4" s="538"/>
      <c r="L4" s="538"/>
      <c r="M4" s="538"/>
      <c r="N4" s="538"/>
      <c r="O4" s="539"/>
      <c r="P4" s="536" t="s">
        <v>79</v>
      </c>
    </row>
    <row r="5" spans="2:17" ht="53.25" customHeight="1">
      <c r="B5" s="540" t="s">
        <v>320</v>
      </c>
      <c r="C5" s="541"/>
      <c r="D5" s="442" t="s">
        <v>331</v>
      </c>
      <c r="E5" s="443" t="s">
        <v>82</v>
      </c>
      <c r="F5" s="442" t="s">
        <v>329</v>
      </c>
      <c r="G5" s="442" t="s">
        <v>554</v>
      </c>
      <c r="H5" s="442"/>
      <c r="I5" s="444" t="s">
        <v>85</v>
      </c>
      <c r="J5" s="444" t="s">
        <v>33</v>
      </c>
      <c r="K5" s="444" t="s">
        <v>34</v>
      </c>
      <c r="L5" s="444" t="s">
        <v>35</v>
      </c>
      <c r="M5" s="444" t="s">
        <v>36</v>
      </c>
      <c r="N5" s="444" t="s">
        <v>37</v>
      </c>
      <c r="O5" s="445" t="s">
        <v>38</v>
      </c>
      <c r="P5" s="536"/>
    </row>
    <row r="6" spans="2:17" ht="16.5" thickBot="1">
      <c r="B6" s="373">
        <v>1</v>
      </c>
      <c r="C6" s="373" t="s">
        <v>321</v>
      </c>
      <c r="D6" s="372"/>
      <c r="E6" s="372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</row>
    <row r="7" spans="2:17" ht="15.75" thickTop="1">
      <c r="B7" s="422"/>
      <c r="C7" s="508">
        <v>1</v>
      </c>
      <c r="D7" s="530" t="s">
        <v>526</v>
      </c>
      <c r="E7" s="532" t="s">
        <v>294</v>
      </c>
      <c r="F7" s="529" t="s">
        <v>12</v>
      </c>
      <c r="G7" s="430">
        <v>15000000</v>
      </c>
      <c r="H7" s="421" t="s">
        <v>312</v>
      </c>
      <c r="I7" s="420">
        <v>1</v>
      </c>
      <c r="J7" s="420"/>
      <c r="K7" s="420"/>
      <c r="L7" s="420"/>
      <c r="M7" s="420"/>
      <c r="N7" s="420"/>
      <c r="O7" s="431"/>
      <c r="P7" s="432">
        <f>SUM(I7:O7)</f>
        <v>1</v>
      </c>
    </row>
    <row r="8" spans="2:17" ht="15.75" thickBot="1">
      <c r="B8" s="423"/>
      <c r="C8" s="424"/>
      <c r="D8" s="531"/>
      <c r="E8" s="533"/>
      <c r="F8" s="526"/>
      <c r="G8" s="425" t="s">
        <v>546</v>
      </c>
      <c r="H8" s="426" t="s">
        <v>335</v>
      </c>
      <c r="I8" s="427">
        <f>I7*$G7</f>
        <v>15000000</v>
      </c>
      <c r="J8" s="427">
        <f t="shared" ref="J8:O8" si="0">J7*$G7</f>
        <v>0</v>
      </c>
      <c r="K8" s="427">
        <f t="shared" si="0"/>
        <v>0</v>
      </c>
      <c r="L8" s="427">
        <f t="shared" si="0"/>
        <v>0</v>
      </c>
      <c r="M8" s="427">
        <f t="shared" si="0"/>
        <v>0</v>
      </c>
      <c r="N8" s="427">
        <f t="shared" si="0"/>
        <v>0</v>
      </c>
      <c r="O8" s="428">
        <f t="shared" si="0"/>
        <v>0</v>
      </c>
      <c r="P8" s="429">
        <f>SUM(I8:O8)</f>
        <v>15000000</v>
      </c>
      <c r="Q8" s="228"/>
    </row>
    <row r="9" spans="2:17" ht="15.75" thickTop="1">
      <c r="B9" s="422"/>
      <c r="C9" s="508">
        <f>C7+1</f>
        <v>2</v>
      </c>
      <c r="D9" s="530" t="s">
        <v>526</v>
      </c>
      <c r="E9" s="532" t="s">
        <v>294</v>
      </c>
      <c r="F9" s="529" t="s">
        <v>15</v>
      </c>
      <c r="G9" s="430">
        <v>22351000</v>
      </c>
      <c r="H9" s="421" t="s">
        <v>312</v>
      </c>
      <c r="I9" s="420">
        <v>1</v>
      </c>
      <c r="J9" s="420"/>
      <c r="K9" s="420"/>
      <c r="L9" s="420"/>
      <c r="M9" s="420"/>
      <c r="N9" s="420"/>
      <c r="O9" s="431"/>
      <c r="P9" s="432">
        <f t="shared" ref="P9:P16" si="1">SUM(I9:O9)</f>
        <v>1</v>
      </c>
    </row>
    <row r="10" spans="2:17" ht="15.75" thickBot="1">
      <c r="B10" s="423"/>
      <c r="C10" s="424"/>
      <c r="D10" s="531" t="s">
        <v>526</v>
      </c>
      <c r="E10" s="533" t="s">
        <v>294</v>
      </c>
      <c r="F10" s="526" t="s">
        <v>15</v>
      </c>
      <c r="G10" s="425" t="s">
        <v>546</v>
      </c>
      <c r="H10" s="426" t="s">
        <v>335</v>
      </c>
      <c r="I10" s="427">
        <f t="shared" ref="I10" si="2">I9*$G9</f>
        <v>22351000</v>
      </c>
      <c r="J10" s="427">
        <f t="shared" ref="J10" si="3">J9*$G9</f>
        <v>0</v>
      </c>
      <c r="K10" s="427">
        <f t="shared" ref="K10" si="4">K9*$G9</f>
        <v>0</v>
      </c>
      <c r="L10" s="427">
        <f t="shared" ref="L10" si="5">L9*$G9</f>
        <v>0</v>
      </c>
      <c r="M10" s="427">
        <f t="shared" ref="M10" si="6">M9*$G9</f>
        <v>0</v>
      </c>
      <c r="N10" s="427">
        <f t="shared" ref="N10" si="7">N9*$G9</f>
        <v>0</v>
      </c>
      <c r="O10" s="428">
        <f t="shared" ref="O10" si="8">O9*$G9</f>
        <v>0</v>
      </c>
      <c r="P10" s="429">
        <f t="shared" si="1"/>
        <v>22351000</v>
      </c>
      <c r="Q10" s="228"/>
    </row>
    <row r="11" spans="2:17" ht="15.75" thickTop="1">
      <c r="B11" s="422"/>
      <c r="C11" s="508">
        <f t="shared" ref="C11" si="9">C9+1</f>
        <v>3</v>
      </c>
      <c r="D11" s="530" t="s">
        <v>527</v>
      </c>
      <c r="E11" s="532" t="s">
        <v>294</v>
      </c>
      <c r="F11" s="529" t="s">
        <v>19</v>
      </c>
      <c r="G11" s="430">
        <v>1930000</v>
      </c>
      <c r="H11" s="421" t="s">
        <v>312</v>
      </c>
      <c r="I11" s="420">
        <v>1</v>
      </c>
      <c r="J11" s="420"/>
      <c r="K11" s="420"/>
      <c r="L11" s="420"/>
      <c r="M11" s="420"/>
      <c r="N11" s="420"/>
      <c r="O11" s="431"/>
      <c r="P11" s="432">
        <f t="shared" si="1"/>
        <v>1</v>
      </c>
    </row>
    <row r="12" spans="2:17" ht="15.75" thickBot="1">
      <c r="B12" s="423"/>
      <c r="C12" s="424"/>
      <c r="D12" s="531" t="s">
        <v>527</v>
      </c>
      <c r="E12" s="533" t="s">
        <v>294</v>
      </c>
      <c r="F12" s="526" t="s">
        <v>19</v>
      </c>
      <c r="G12" s="425" t="s">
        <v>546</v>
      </c>
      <c r="H12" s="426" t="s">
        <v>335</v>
      </c>
      <c r="I12" s="427">
        <f t="shared" ref="I12" si="10">I11*$G11</f>
        <v>1930000</v>
      </c>
      <c r="J12" s="427">
        <f t="shared" ref="J12" si="11">J11*$G11</f>
        <v>0</v>
      </c>
      <c r="K12" s="427">
        <f t="shared" ref="K12" si="12">K11*$G11</f>
        <v>0</v>
      </c>
      <c r="L12" s="427">
        <f t="shared" ref="L12" si="13">L11*$G11</f>
        <v>0</v>
      </c>
      <c r="M12" s="427">
        <f t="shared" ref="M12" si="14">M11*$G11</f>
        <v>0</v>
      </c>
      <c r="N12" s="427">
        <f t="shared" ref="N12" si="15">N11*$G11</f>
        <v>0</v>
      </c>
      <c r="O12" s="428">
        <f t="shared" ref="O12" si="16">O11*$G11</f>
        <v>0</v>
      </c>
      <c r="P12" s="429">
        <f t="shared" si="1"/>
        <v>1930000</v>
      </c>
      <c r="Q12" s="228"/>
    </row>
    <row r="13" spans="2:17" ht="15.75" thickTop="1">
      <c r="B13" s="422"/>
      <c r="C13" s="508">
        <f t="shared" ref="C13" si="17">C11+1</f>
        <v>4</v>
      </c>
      <c r="D13" s="530" t="s">
        <v>526</v>
      </c>
      <c r="E13" s="532" t="s">
        <v>294</v>
      </c>
      <c r="F13" s="529" t="s">
        <v>23</v>
      </c>
      <c r="G13" s="430">
        <v>1124880</v>
      </c>
      <c r="H13" s="421" t="s">
        <v>312</v>
      </c>
      <c r="I13" s="420"/>
      <c r="J13" s="420"/>
      <c r="K13" s="420"/>
      <c r="L13" s="420"/>
      <c r="M13" s="420"/>
      <c r="N13" s="420"/>
      <c r="O13" s="431"/>
      <c r="P13" s="432">
        <f t="shared" si="1"/>
        <v>0</v>
      </c>
    </row>
    <row r="14" spans="2:17" ht="15.75" thickBot="1">
      <c r="B14" s="423"/>
      <c r="C14" s="424"/>
      <c r="D14" s="531" t="s">
        <v>526</v>
      </c>
      <c r="E14" s="533" t="s">
        <v>294</v>
      </c>
      <c r="F14" s="526" t="s">
        <v>23</v>
      </c>
      <c r="G14" s="425" t="s">
        <v>546</v>
      </c>
      <c r="H14" s="426" t="s">
        <v>335</v>
      </c>
      <c r="I14" s="427">
        <f t="shared" ref="I14" si="18">I13*$G13</f>
        <v>0</v>
      </c>
      <c r="J14" s="427">
        <f t="shared" ref="J14" si="19">J13*$G13</f>
        <v>0</v>
      </c>
      <c r="K14" s="427">
        <f t="shared" ref="K14" si="20">K13*$G13</f>
        <v>0</v>
      </c>
      <c r="L14" s="427">
        <f t="shared" ref="L14" si="21">L13*$G13</f>
        <v>0</v>
      </c>
      <c r="M14" s="427">
        <f t="shared" ref="M14" si="22">M13*$G13</f>
        <v>0</v>
      </c>
      <c r="N14" s="427">
        <f t="shared" ref="N14" si="23">N13*$G13</f>
        <v>0</v>
      </c>
      <c r="O14" s="428">
        <f t="shared" ref="O14" si="24">O13*$G13</f>
        <v>0</v>
      </c>
      <c r="P14" s="429">
        <f t="shared" si="1"/>
        <v>0</v>
      </c>
      <c r="Q14" s="228"/>
    </row>
    <row r="15" spans="2:17" ht="15.75" thickTop="1">
      <c r="B15" s="422"/>
      <c r="C15" s="508">
        <f t="shared" ref="C15" si="25">C13+1</f>
        <v>5</v>
      </c>
      <c r="D15" s="530" t="s">
        <v>526</v>
      </c>
      <c r="E15" s="532" t="s">
        <v>294</v>
      </c>
      <c r="F15" s="529" t="s">
        <v>26</v>
      </c>
      <c r="G15" s="430">
        <v>13399488</v>
      </c>
      <c r="H15" s="421" t="s">
        <v>312</v>
      </c>
      <c r="I15" s="420"/>
      <c r="J15" s="420"/>
      <c r="K15" s="420"/>
      <c r="L15" s="420"/>
      <c r="M15" s="420"/>
      <c r="N15" s="420"/>
      <c r="O15" s="431"/>
      <c r="P15" s="432">
        <f t="shared" si="1"/>
        <v>0</v>
      </c>
    </row>
    <row r="16" spans="2:17" ht="15.75" thickBot="1">
      <c r="B16" s="423"/>
      <c r="C16" s="424"/>
      <c r="D16" s="531" t="s">
        <v>526</v>
      </c>
      <c r="E16" s="533" t="s">
        <v>294</v>
      </c>
      <c r="F16" s="526" t="s">
        <v>26</v>
      </c>
      <c r="G16" s="425" t="s">
        <v>546</v>
      </c>
      <c r="H16" s="426" t="s">
        <v>335</v>
      </c>
      <c r="I16" s="427">
        <f t="shared" ref="I16" si="26">I15*$G15</f>
        <v>0</v>
      </c>
      <c r="J16" s="427">
        <f t="shared" ref="J16" si="27">J15*$G15</f>
        <v>0</v>
      </c>
      <c r="K16" s="427">
        <f t="shared" ref="K16" si="28">K15*$G15</f>
        <v>0</v>
      </c>
      <c r="L16" s="427">
        <f t="shared" ref="L16" si="29">L15*$G15</f>
        <v>0</v>
      </c>
      <c r="M16" s="427">
        <f t="shared" ref="M16" si="30">M15*$G15</f>
        <v>0</v>
      </c>
      <c r="N16" s="427">
        <f t="shared" ref="N16" si="31">N15*$G15</f>
        <v>0</v>
      </c>
      <c r="O16" s="428">
        <f t="shared" ref="O16" si="32">O15*$G15</f>
        <v>0</v>
      </c>
      <c r="P16" s="429">
        <f t="shared" si="1"/>
        <v>0</v>
      </c>
      <c r="Q16" s="228"/>
    </row>
    <row r="17" spans="2:17" ht="19.5" thickTop="1">
      <c r="B17" s="396"/>
      <c r="C17" s="405"/>
      <c r="D17" s="398" t="s">
        <v>528</v>
      </c>
      <c r="E17" s="397"/>
      <c r="F17" s="406">
        <f>SUMIF(H7:H16,"стоимость",P7:P16)</f>
        <v>39281000</v>
      </c>
      <c r="G17" s="400"/>
      <c r="H17" s="401"/>
      <c r="I17" s="399"/>
      <c r="J17" s="399"/>
      <c r="K17" s="399"/>
      <c r="L17" s="399"/>
      <c r="M17" s="399"/>
      <c r="N17" s="399"/>
      <c r="O17" s="399"/>
      <c r="P17" s="399"/>
    </row>
    <row r="19" spans="2:17" ht="16.5" thickBot="1">
      <c r="B19" s="373">
        <v>2</v>
      </c>
      <c r="C19" s="373" t="s">
        <v>245</v>
      </c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</row>
    <row r="20" spans="2:17" ht="15.75" thickTop="1">
      <c r="B20" s="422"/>
      <c r="C20" s="508">
        <f>C15+1</f>
        <v>6</v>
      </c>
      <c r="D20" s="530" t="s">
        <v>625</v>
      </c>
      <c r="E20" s="532" t="s">
        <v>294</v>
      </c>
      <c r="F20" s="529" t="s">
        <v>95</v>
      </c>
      <c r="G20" s="430">
        <v>1124880</v>
      </c>
      <c r="H20" s="421" t="s">
        <v>312</v>
      </c>
      <c r="I20" s="420">
        <v>1</v>
      </c>
      <c r="J20" s="420">
        <v>4</v>
      </c>
      <c r="K20" s="420">
        <v>8</v>
      </c>
      <c r="L20" s="420">
        <v>0</v>
      </c>
      <c r="M20" s="420">
        <v>18</v>
      </c>
      <c r="N20" s="420">
        <v>0</v>
      </c>
      <c r="O20" s="431">
        <v>11</v>
      </c>
      <c r="P20" s="432">
        <f>SUM(I20:O20)</f>
        <v>42</v>
      </c>
    </row>
    <row r="21" spans="2:17" ht="15.75" thickBot="1">
      <c r="B21" s="423"/>
      <c r="C21" s="424"/>
      <c r="D21" s="531"/>
      <c r="E21" s="533" t="s">
        <v>294</v>
      </c>
      <c r="F21" s="526" t="s">
        <v>95</v>
      </c>
      <c r="G21" s="425" t="s">
        <v>546</v>
      </c>
      <c r="H21" s="426" t="s">
        <v>335</v>
      </c>
      <c r="I21" s="427">
        <f t="shared" ref="I21" si="33">I20*$G20</f>
        <v>1124880</v>
      </c>
      <c r="J21" s="427">
        <f t="shared" ref="J21" si="34">J20*$G20</f>
        <v>4499520</v>
      </c>
      <c r="K21" s="427">
        <f t="shared" ref="K21" si="35">K20*$G20</f>
        <v>8999040</v>
      </c>
      <c r="L21" s="427">
        <f t="shared" ref="L21" si="36">L20*$G20</f>
        <v>0</v>
      </c>
      <c r="M21" s="427">
        <f t="shared" ref="M21" si="37">M20*$G20</f>
        <v>20247840</v>
      </c>
      <c r="N21" s="427">
        <f t="shared" ref="N21" si="38">N20*$G20</f>
        <v>0</v>
      </c>
      <c r="O21" s="428">
        <f t="shared" ref="O21" si="39">O20*$G20</f>
        <v>12373680</v>
      </c>
      <c r="P21" s="429">
        <f>SUM(I21:O21)</f>
        <v>47244960</v>
      </c>
      <c r="Q21" s="228"/>
    </row>
    <row r="22" spans="2:17" ht="5.25" customHeight="1" thickTop="1" thickBot="1"/>
    <row r="23" spans="2:17" ht="15.75" thickTop="1">
      <c r="B23" s="422"/>
      <c r="C23" s="508">
        <f>C20+1</f>
        <v>7</v>
      </c>
      <c r="D23" s="530" t="s">
        <v>324</v>
      </c>
      <c r="E23" s="532" t="s">
        <v>102</v>
      </c>
      <c r="F23" s="529" t="s">
        <v>103</v>
      </c>
      <c r="G23" s="430">
        <v>286.61</v>
      </c>
      <c r="H23" s="421" t="s">
        <v>312</v>
      </c>
      <c r="I23" s="420"/>
      <c r="J23" s="420"/>
      <c r="K23" s="420"/>
      <c r="L23" s="420"/>
      <c r="M23" s="420"/>
      <c r="N23" s="420"/>
      <c r="O23" s="431"/>
      <c r="P23" s="432">
        <f t="shared" ref="P23:P32" si="40">SUM(I23:O23)</f>
        <v>0</v>
      </c>
    </row>
    <row r="24" spans="2:17" ht="15.75" thickBot="1">
      <c r="B24" s="423"/>
      <c r="C24" s="424"/>
      <c r="D24" s="531" t="s">
        <v>324</v>
      </c>
      <c r="E24" s="533" t="s">
        <v>102</v>
      </c>
      <c r="F24" s="526" t="s">
        <v>103</v>
      </c>
      <c r="G24" s="425" t="s">
        <v>546</v>
      </c>
      <c r="H24" s="426" t="s">
        <v>335</v>
      </c>
      <c r="I24" s="427">
        <f t="shared" ref="I24" si="41">I23*$G23</f>
        <v>0</v>
      </c>
      <c r="J24" s="427">
        <f t="shared" ref="J24" si="42">J23*$G23</f>
        <v>0</v>
      </c>
      <c r="K24" s="427">
        <f t="shared" ref="K24" si="43">K23*$G23</f>
        <v>0</v>
      </c>
      <c r="L24" s="427">
        <f t="shared" ref="L24" si="44">L23*$G23</f>
        <v>0</v>
      </c>
      <c r="M24" s="427">
        <f t="shared" ref="M24" si="45">M23*$G23</f>
        <v>0</v>
      </c>
      <c r="N24" s="427">
        <f t="shared" ref="N24" si="46">N23*$G23</f>
        <v>0</v>
      </c>
      <c r="O24" s="428">
        <f t="shared" ref="O24" si="47">O23*$G23</f>
        <v>0</v>
      </c>
      <c r="P24" s="429">
        <f t="shared" si="40"/>
        <v>0</v>
      </c>
      <c r="Q24" s="228"/>
    </row>
    <row r="25" spans="2:17" ht="15.75" thickTop="1">
      <c r="B25" s="422"/>
      <c r="C25" s="508">
        <f>C23+1</f>
        <v>8</v>
      </c>
      <c r="D25" s="530" t="s">
        <v>324</v>
      </c>
      <c r="E25" s="532" t="s">
        <v>102</v>
      </c>
      <c r="F25" s="529" t="s">
        <v>105</v>
      </c>
      <c r="G25" s="430">
        <v>210.52</v>
      </c>
      <c r="H25" s="421" t="s">
        <v>312</v>
      </c>
      <c r="I25" s="420"/>
      <c r="J25" s="420">
        <v>360</v>
      </c>
      <c r="K25" s="420"/>
      <c r="L25" s="420"/>
      <c r="M25" s="420"/>
      <c r="N25" s="420"/>
      <c r="O25" s="431"/>
      <c r="P25" s="432">
        <f t="shared" si="40"/>
        <v>360</v>
      </c>
    </row>
    <row r="26" spans="2:17" ht="15.75" thickBot="1">
      <c r="B26" s="423"/>
      <c r="C26" s="424"/>
      <c r="D26" s="531" t="s">
        <v>324</v>
      </c>
      <c r="E26" s="533" t="s">
        <v>102</v>
      </c>
      <c r="F26" s="526" t="s">
        <v>105</v>
      </c>
      <c r="G26" s="425" t="s">
        <v>546</v>
      </c>
      <c r="H26" s="426" t="s">
        <v>335</v>
      </c>
      <c r="I26" s="427">
        <f t="shared" ref="I26" si="48">I25*$G25</f>
        <v>0</v>
      </c>
      <c r="J26" s="427">
        <f t="shared" ref="J26" si="49">J25*$G25</f>
        <v>75787.199999999997</v>
      </c>
      <c r="K26" s="427">
        <f t="shared" ref="K26" si="50">K25*$G25</f>
        <v>0</v>
      </c>
      <c r="L26" s="427">
        <f t="shared" ref="L26" si="51">L25*$G25</f>
        <v>0</v>
      </c>
      <c r="M26" s="427">
        <f t="shared" ref="M26" si="52">M25*$G25</f>
        <v>0</v>
      </c>
      <c r="N26" s="427">
        <f t="shared" ref="N26" si="53">N25*$G25</f>
        <v>0</v>
      </c>
      <c r="O26" s="428">
        <f t="shared" ref="O26" si="54">O25*$G25</f>
        <v>0</v>
      </c>
      <c r="P26" s="429">
        <f t="shared" si="40"/>
        <v>75787.199999999997</v>
      </c>
      <c r="Q26" s="228"/>
    </row>
    <row r="27" spans="2:17" ht="15.75" thickTop="1">
      <c r="B27" s="422"/>
      <c r="C27" s="508">
        <f t="shared" ref="C27" si="55">C25+1</f>
        <v>9</v>
      </c>
      <c r="D27" s="530" t="s">
        <v>324</v>
      </c>
      <c r="E27" s="532" t="s">
        <v>102</v>
      </c>
      <c r="F27" s="529" t="s">
        <v>106</v>
      </c>
      <c r="G27" s="430">
        <v>245.72</v>
      </c>
      <c r="H27" s="421" t="s">
        <v>312</v>
      </c>
      <c r="I27" s="420"/>
      <c r="J27" s="420"/>
      <c r="K27" s="420">
        <v>990</v>
      </c>
      <c r="L27" s="420"/>
      <c r="M27" s="420"/>
      <c r="N27" s="420"/>
      <c r="O27" s="431"/>
      <c r="P27" s="432">
        <f t="shared" si="40"/>
        <v>990</v>
      </c>
    </row>
    <row r="28" spans="2:17" ht="15.75" thickBot="1">
      <c r="B28" s="423"/>
      <c r="C28" s="424"/>
      <c r="D28" s="531" t="s">
        <v>324</v>
      </c>
      <c r="E28" s="533" t="s">
        <v>102</v>
      </c>
      <c r="F28" s="526" t="s">
        <v>106</v>
      </c>
      <c r="G28" s="425" t="s">
        <v>546</v>
      </c>
      <c r="H28" s="426" t="s">
        <v>335</v>
      </c>
      <c r="I28" s="427">
        <f t="shared" ref="I28" si="56">I27*$G27</f>
        <v>0</v>
      </c>
      <c r="J28" s="427">
        <f t="shared" ref="J28" si="57">J27*$G27</f>
        <v>0</v>
      </c>
      <c r="K28" s="427">
        <f t="shared" ref="K28" si="58">K27*$G27</f>
        <v>243262.8</v>
      </c>
      <c r="L28" s="427">
        <f t="shared" ref="L28" si="59">L27*$G27</f>
        <v>0</v>
      </c>
      <c r="M28" s="427">
        <f t="shared" ref="M28" si="60">M27*$G27</f>
        <v>0</v>
      </c>
      <c r="N28" s="427">
        <f t="shared" ref="N28" si="61">N27*$G27</f>
        <v>0</v>
      </c>
      <c r="O28" s="428">
        <f t="shared" ref="O28" si="62">O27*$G27</f>
        <v>0</v>
      </c>
      <c r="P28" s="429">
        <f t="shared" si="40"/>
        <v>243262.8</v>
      </c>
      <c r="Q28" s="228"/>
    </row>
    <row r="29" spans="2:17" ht="15.75" thickTop="1">
      <c r="B29" s="422"/>
      <c r="C29" s="508">
        <f t="shared" ref="C29" si="63">C27+1</f>
        <v>10</v>
      </c>
      <c r="D29" s="530" t="s">
        <v>324</v>
      </c>
      <c r="E29" s="532" t="s">
        <v>102</v>
      </c>
      <c r="F29" s="529" t="s">
        <v>107</v>
      </c>
      <c r="G29" s="430">
        <v>208.79</v>
      </c>
      <c r="H29" s="421" t="s">
        <v>312</v>
      </c>
      <c r="I29" s="420"/>
      <c r="J29" s="420"/>
      <c r="K29" s="420"/>
      <c r="L29" s="420"/>
      <c r="M29" s="420">
        <v>2950</v>
      </c>
      <c r="N29" s="420"/>
      <c r="O29" s="431"/>
      <c r="P29" s="432">
        <f t="shared" si="40"/>
        <v>2950</v>
      </c>
    </row>
    <row r="30" spans="2:17" ht="15.75" thickBot="1">
      <c r="B30" s="423"/>
      <c r="C30" s="424"/>
      <c r="D30" s="531" t="s">
        <v>324</v>
      </c>
      <c r="E30" s="533" t="s">
        <v>102</v>
      </c>
      <c r="F30" s="526" t="s">
        <v>107</v>
      </c>
      <c r="G30" s="425" t="s">
        <v>546</v>
      </c>
      <c r="H30" s="426" t="s">
        <v>335</v>
      </c>
      <c r="I30" s="427">
        <f t="shared" ref="I30" si="64">I29*$G29</f>
        <v>0</v>
      </c>
      <c r="J30" s="427">
        <f t="shared" ref="J30" si="65">J29*$G29</f>
        <v>0</v>
      </c>
      <c r="K30" s="427">
        <f t="shared" ref="K30" si="66">K29*$G29</f>
        <v>0</v>
      </c>
      <c r="L30" s="427">
        <f t="shared" ref="L30" si="67">L29*$G29</f>
        <v>0</v>
      </c>
      <c r="M30" s="427">
        <f t="shared" ref="M30" si="68">M29*$G29</f>
        <v>615930.5</v>
      </c>
      <c r="N30" s="427">
        <f t="shared" ref="N30" si="69">N29*$G29</f>
        <v>0</v>
      </c>
      <c r="O30" s="428">
        <f t="shared" ref="O30" si="70">O29*$G29</f>
        <v>0</v>
      </c>
      <c r="P30" s="429">
        <f t="shared" si="40"/>
        <v>615930.5</v>
      </c>
      <c r="Q30" s="228"/>
    </row>
    <row r="31" spans="2:17" ht="15.75" thickTop="1">
      <c r="B31" s="422"/>
      <c r="C31" s="508">
        <f t="shared" ref="C31" si="71">C29+1</f>
        <v>11</v>
      </c>
      <c r="D31" s="530" t="s">
        <v>324</v>
      </c>
      <c r="E31" s="532" t="s">
        <v>102</v>
      </c>
      <c r="F31" s="529" t="s">
        <v>108</v>
      </c>
      <c r="G31" s="430">
        <v>281.7</v>
      </c>
      <c r="H31" s="421" t="s">
        <v>312</v>
      </c>
      <c r="I31" s="420"/>
      <c r="J31" s="420"/>
      <c r="K31" s="420"/>
      <c r="L31" s="420"/>
      <c r="M31" s="420"/>
      <c r="N31" s="420"/>
      <c r="O31" s="431">
        <v>900</v>
      </c>
      <c r="P31" s="432">
        <f t="shared" si="40"/>
        <v>900</v>
      </c>
    </row>
    <row r="32" spans="2:17" ht="15.75" thickBot="1">
      <c r="B32" s="423"/>
      <c r="C32" s="424"/>
      <c r="D32" s="531" t="s">
        <v>324</v>
      </c>
      <c r="E32" s="533" t="s">
        <v>102</v>
      </c>
      <c r="F32" s="526" t="s">
        <v>108</v>
      </c>
      <c r="G32" s="425" t="s">
        <v>546</v>
      </c>
      <c r="H32" s="426" t="s">
        <v>335</v>
      </c>
      <c r="I32" s="427">
        <f t="shared" ref="I32" si="72">I31*$G31</f>
        <v>0</v>
      </c>
      <c r="J32" s="427">
        <f t="shared" ref="J32" si="73">J31*$G31</f>
        <v>0</v>
      </c>
      <c r="K32" s="427">
        <f t="shared" ref="K32" si="74">K31*$G31</f>
        <v>0</v>
      </c>
      <c r="L32" s="427">
        <f t="shared" ref="L32" si="75">L31*$G31</f>
        <v>0</v>
      </c>
      <c r="M32" s="427">
        <f t="shared" ref="M32" si="76">M31*$G31</f>
        <v>0</v>
      </c>
      <c r="N32" s="427">
        <f t="shared" ref="N32" si="77">N31*$G31</f>
        <v>0</v>
      </c>
      <c r="O32" s="428">
        <f t="shared" ref="O32" si="78">O31*$G31</f>
        <v>253530</v>
      </c>
      <c r="P32" s="429">
        <f t="shared" si="40"/>
        <v>253530</v>
      </c>
      <c r="Q32" s="228"/>
    </row>
    <row r="33" spans="2:17" ht="16.5" thickTop="1" thickBot="1">
      <c r="B33" s="385"/>
      <c r="C33" s="447"/>
      <c r="D33" s="449" t="s">
        <v>529</v>
      </c>
      <c r="E33" s="447"/>
      <c r="F33" s="448">
        <f>SUMIF(H23:H32,"стоимость",P23:P32)</f>
        <v>1188510.5</v>
      </c>
      <c r="G33" s="446"/>
      <c r="H33" s="447"/>
      <c r="I33" s="447"/>
      <c r="J33" s="447"/>
      <c r="K33" s="447"/>
      <c r="L33" s="447"/>
      <c r="M33" s="447"/>
      <c r="N33" s="447"/>
      <c r="O33" s="447"/>
      <c r="P33" s="447"/>
    </row>
    <row r="34" spans="2:17" ht="15.75" thickTop="1">
      <c r="B34" s="422"/>
      <c r="C34" s="508">
        <f>C31+1</f>
        <v>12</v>
      </c>
      <c r="D34" s="530" t="s">
        <v>530</v>
      </c>
      <c r="E34" s="532" t="s">
        <v>125</v>
      </c>
      <c r="F34" s="529" t="s">
        <v>126</v>
      </c>
      <c r="G34" s="430">
        <v>247200.12</v>
      </c>
      <c r="H34" s="421" t="s">
        <v>312</v>
      </c>
      <c r="I34" s="420"/>
      <c r="J34" s="420">
        <v>3.5</v>
      </c>
      <c r="K34" s="420">
        <v>7</v>
      </c>
      <c r="L34" s="420"/>
      <c r="M34" s="420">
        <v>14</v>
      </c>
      <c r="N34" s="420"/>
      <c r="O34" s="431"/>
      <c r="P34" s="432">
        <f t="shared" ref="P34:P97" si="79">SUM(I34:O34)</f>
        <v>24.5</v>
      </c>
    </row>
    <row r="35" spans="2:17" ht="15.75" thickBot="1">
      <c r="B35" s="423"/>
      <c r="C35" s="424"/>
      <c r="D35" s="531" t="s">
        <v>530</v>
      </c>
      <c r="E35" s="533" t="s">
        <v>125</v>
      </c>
      <c r="F35" s="526" t="s">
        <v>126</v>
      </c>
      <c r="G35" s="425" t="s">
        <v>546</v>
      </c>
      <c r="H35" s="426" t="s">
        <v>335</v>
      </c>
      <c r="I35" s="427">
        <f t="shared" ref="I35" si="80">I34*$G34</f>
        <v>0</v>
      </c>
      <c r="J35" s="427">
        <f t="shared" ref="J35" si="81">J34*$G34</f>
        <v>865200.41999999993</v>
      </c>
      <c r="K35" s="427">
        <f t="shared" ref="K35" si="82">K34*$G34</f>
        <v>1730400.8399999999</v>
      </c>
      <c r="L35" s="427">
        <f t="shared" ref="L35" si="83">L34*$G34</f>
        <v>0</v>
      </c>
      <c r="M35" s="427">
        <f t="shared" ref="M35" si="84">M34*$G34</f>
        <v>3460801.6799999997</v>
      </c>
      <c r="N35" s="427">
        <f t="shared" ref="N35" si="85">N34*$G34</f>
        <v>0</v>
      </c>
      <c r="O35" s="428">
        <f t="shared" ref="O35" si="86">O34*$G34</f>
        <v>0</v>
      </c>
      <c r="P35" s="429">
        <f t="shared" si="79"/>
        <v>6056402.9399999995</v>
      </c>
      <c r="Q35" s="228"/>
    </row>
    <row r="36" spans="2:17" ht="15.75" thickTop="1">
      <c r="B36" s="422"/>
      <c r="C36" s="508">
        <f>C34+1</f>
        <v>13</v>
      </c>
      <c r="D36" s="530" t="s">
        <v>530</v>
      </c>
      <c r="E36" s="532" t="s">
        <v>125</v>
      </c>
      <c r="F36" s="529" t="s">
        <v>127</v>
      </c>
      <c r="G36" s="430">
        <v>70275.070000000007</v>
      </c>
      <c r="H36" s="421" t="s">
        <v>312</v>
      </c>
      <c r="I36" s="420"/>
      <c r="J36" s="420">
        <v>0.5</v>
      </c>
      <c r="K36" s="420">
        <v>1</v>
      </c>
      <c r="L36" s="420"/>
      <c r="M36" s="420">
        <v>4</v>
      </c>
      <c r="N36" s="420"/>
      <c r="O36" s="431"/>
      <c r="P36" s="432">
        <f t="shared" si="79"/>
        <v>5.5</v>
      </c>
    </row>
    <row r="37" spans="2:17" ht="15.75" thickBot="1">
      <c r="B37" s="423"/>
      <c r="C37" s="424"/>
      <c r="D37" s="531" t="s">
        <v>530</v>
      </c>
      <c r="E37" s="533" t="s">
        <v>125</v>
      </c>
      <c r="F37" s="526" t="s">
        <v>127</v>
      </c>
      <c r="G37" s="425" t="s">
        <v>546</v>
      </c>
      <c r="H37" s="426" t="s">
        <v>335</v>
      </c>
      <c r="I37" s="427">
        <f t="shared" ref="I37" si="87">I36*$G36</f>
        <v>0</v>
      </c>
      <c r="J37" s="427">
        <f t="shared" ref="J37" si="88">J36*$G36</f>
        <v>35137.535000000003</v>
      </c>
      <c r="K37" s="427">
        <f t="shared" ref="K37" si="89">K36*$G36</f>
        <v>70275.070000000007</v>
      </c>
      <c r="L37" s="427">
        <f t="shared" ref="L37" si="90">L36*$G36</f>
        <v>0</v>
      </c>
      <c r="M37" s="427">
        <f t="shared" ref="M37" si="91">M36*$G36</f>
        <v>281100.28000000003</v>
      </c>
      <c r="N37" s="427">
        <f t="shared" ref="N37" si="92">N36*$G36</f>
        <v>0</v>
      </c>
      <c r="O37" s="428">
        <f t="shared" ref="O37" si="93">O36*$G36</f>
        <v>0</v>
      </c>
      <c r="P37" s="429">
        <f t="shared" si="79"/>
        <v>386512.88500000001</v>
      </c>
      <c r="Q37" s="228"/>
    </row>
    <row r="38" spans="2:17" ht="15.75" thickTop="1">
      <c r="B38" s="422"/>
      <c r="C38" s="508">
        <f t="shared" ref="C38" si="94">C36+1</f>
        <v>14</v>
      </c>
      <c r="D38" s="530" t="s">
        <v>530</v>
      </c>
      <c r="E38" s="532" t="s">
        <v>125</v>
      </c>
      <c r="F38" s="529" t="s">
        <v>128</v>
      </c>
      <c r="G38" s="430">
        <v>198854.02</v>
      </c>
      <c r="H38" s="421" t="s">
        <v>312</v>
      </c>
      <c r="I38" s="420"/>
      <c r="J38" s="420"/>
      <c r="K38" s="420"/>
      <c r="L38" s="420"/>
      <c r="M38" s="420"/>
      <c r="N38" s="420"/>
      <c r="O38" s="431"/>
      <c r="P38" s="432">
        <f t="shared" si="79"/>
        <v>0</v>
      </c>
    </row>
    <row r="39" spans="2:17" ht="15.75" thickBot="1">
      <c r="B39" s="423"/>
      <c r="C39" s="424"/>
      <c r="D39" s="531" t="s">
        <v>530</v>
      </c>
      <c r="E39" s="533" t="s">
        <v>125</v>
      </c>
      <c r="F39" s="526" t="s">
        <v>128</v>
      </c>
      <c r="G39" s="425" t="s">
        <v>546</v>
      </c>
      <c r="H39" s="426" t="s">
        <v>335</v>
      </c>
      <c r="I39" s="427">
        <f t="shared" ref="I39" si="95">I38*$G38</f>
        <v>0</v>
      </c>
      <c r="J39" s="427">
        <f t="shared" ref="J39" si="96">J38*$G38</f>
        <v>0</v>
      </c>
      <c r="K39" s="427">
        <f t="shared" ref="K39" si="97">K38*$G38</f>
        <v>0</v>
      </c>
      <c r="L39" s="427">
        <f t="shared" ref="L39" si="98">L38*$G38</f>
        <v>0</v>
      </c>
      <c r="M39" s="427">
        <f t="shared" ref="M39" si="99">M38*$G38</f>
        <v>0</v>
      </c>
      <c r="N39" s="427">
        <f t="shared" ref="N39" si="100">N38*$G38</f>
        <v>0</v>
      </c>
      <c r="O39" s="428">
        <f t="shared" ref="O39" si="101">O38*$G38</f>
        <v>0</v>
      </c>
      <c r="P39" s="429">
        <f t="shared" si="79"/>
        <v>0</v>
      </c>
      <c r="Q39" s="228"/>
    </row>
    <row r="40" spans="2:17" ht="15.75" thickTop="1">
      <c r="B40" s="422"/>
      <c r="C40" s="508">
        <f t="shared" ref="C40" si="102">C38+1</f>
        <v>15</v>
      </c>
      <c r="D40" s="530" t="s">
        <v>530</v>
      </c>
      <c r="E40" s="532" t="s">
        <v>125</v>
      </c>
      <c r="F40" s="529" t="s">
        <v>129</v>
      </c>
      <c r="G40" s="430">
        <v>945000</v>
      </c>
      <c r="H40" s="421" t="s">
        <v>312</v>
      </c>
      <c r="I40" s="420"/>
      <c r="J40" s="420"/>
      <c r="K40" s="420"/>
      <c r="L40" s="420"/>
      <c r="M40" s="420"/>
      <c r="N40" s="420"/>
      <c r="O40" s="431">
        <v>9</v>
      </c>
      <c r="P40" s="432">
        <f t="shared" si="79"/>
        <v>9</v>
      </c>
    </row>
    <row r="41" spans="2:17" ht="15.75" thickBot="1">
      <c r="B41" s="423"/>
      <c r="C41" s="424"/>
      <c r="D41" s="531" t="s">
        <v>530</v>
      </c>
      <c r="E41" s="533" t="s">
        <v>125</v>
      </c>
      <c r="F41" s="526" t="s">
        <v>129</v>
      </c>
      <c r="G41" s="425" t="s">
        <v>546</v>
      </c>
      <c r="H41" s="426" t="s">
        <v>335</v>
      </c>
      <c r="I41" s="427">
        <f t="shared" ref="I41" si="103">I40*$G40</f>
        <v>0</v>
      </c>
      <c r="J41" s="427">
        <f t="shared" ref="J41" si="104">J40*$G40</f>
        <v>0</v>
      </c>
      <c r="K41" s="427">
        <f t="shared" ref="K41" si="105">K40*$G40</f>
        <v>0</v>
      </c>
      <c r="L41" s="427">
        <f t="shared" ref="L41" si="106">L40*$G40</f>
        <v>0</v>
      </c>
      <c r="M41" s="427">
        <f t="shared" ref="M41" si="107">M40*$G40</f>
        <v>0</v>
      </c>
      <c r="N41" s="427">
        <f t="shared" ref="N41" si="108">N40*$G40</f>
        <v>0</v>
      </c>
      <c r="O41" s="428">
        <f t="shared" ref="O41" si="109">O40*$G40</f>
        <v>8505000</v>
      </c>
      <c r="P41" s="429">
        <f t="shared" si="79"/>
        <v>8505000</v>
      </c>
      <c r="Q41" s="228"/>
    </row>
    <row r="42" spans="2:17" ht="15.75" thickTop="1">
      <c r="B42" s="422"/>
      <c r="C42" s="508">
        <f t="shared" ref="C42" si="110">C40+1</f>
        <v>16</v>
      </c>
      <c r="D42" s="530" t="s">
        <v>530</v>
      </c>
      <c r="E42" s="532" t="s">
        <v>125</v>
      </c>
      <c r="F42" s="529" t="s">
        <v>130</v>
      </c>
      <c r="G42" s="430">
        <v>389250</v>
      </c>
      <c r="H42" s="421" t="s">
        <v>312</v>
      </c>
      <c r="I42" s="420"/>
      <c r="J42" s="420"/>
      <c r="K42" s="420"/>
      <c r="L42" s="420"/>
      <c r="M42" s="420"/>
      <c r="N42" s="420"/>
      <c r="O42" s="431">
        <v>2</v>
      </c>
      <c r="P42" s="432">
        <f t="shared" si="79"/>
        <v>2</v>
      </c>
    </row>
    <row r="43" spans="2:17" ht="15.75" thickBot="1">
      <c r="B43" s="423"/>
      <c r="C43" s="424"/>
      <c r="D43" s="531" t="s">
        <v>530</v>
      </c>
      <c r="E43" s="533" t="s">
        <v>125</v>
      </c>
      <c r="F43" s="526" t="s">
        <v>130</v>
      </c>
      <c r="G43" s="425" t="s">
        <v>546</v>
      </c>
      <c r="H43" s="426" t="s">
        <v>335</v>
      </c>
      <c r="I43" s="427">
        <f t="shared" ref="I43" si="111">I42*$G42</f>
        <v>0</v>
      </c>
      <c r="J43" s="427">
        <f t="shared" ref="J43" si="112">J42*$G42</f>
        <v>0</v>
      </c>
      <c r="K43" s="427">
        <f t="shared" ref="K43" si="113">K42*$G42</f>
        <v>0</v>
      </c>
      <c r="L43" s="427">
        <f t="shared" ref="L43" si="114">L42*$G42</f>
        <v>0</v>
      </c>
      <c r="M43" s="427">
        <f t="shared" ref="M43" si="115">M42*$G42</f>
        <v>0</v>
      </c>
      <c r="N43" s="427">
        <f t="shared" ref="N43" si="116">N42*$G42</f>
        <v>0</v>
      </c>
      <c r="O43" s="428">
        <f t="shared" ref="O43" si="117">O42*$G42</f>
        <v>778500</v>
      </c>
      <c r="P43" s="429">
        <f t="shared" si="79"/>
        <v>778500</v>
      </c>
      <c r="Q43" s="228"/>
    </row>
    <row r="44" spans="2:17" ht="15.75" thickTop="1">
      <c r="B44" s="422"/>
      <c r="C44" s="508">
        <f t="shared" ref="C44" si="118">C42+1</f>
        <v>17</v>
      </c>
      <c r="D44" s="530" t="s">
        <v>530</v>
      </c>
      <c r="E44" s="532" t="s">
        <v>125</v>
      </c>
      <c r="F44" s="529" t="s">
        <v>131</v>
      </c>
      <c r="G44" s="430">
        <v>28407.86</v>
      </c>
      <c r="H44" s="421" t="s">
        <v>312</v>
      </c>
      <c r="I44" s="420"/>
      <c r="J44" s="420"/>
      <c r="K44" s="420"/>
      <c r="L44" s="420"/>
      <c r="M44" s="420">
        <v>14</v>
      </c>
      <c r="N44" s="420"/>
      <c r="O44" s="431"/>
      <c r="P44" s="432">
        <f t="shared" si="79"/>
        <v>14</v>
      </c>
    </row>
    <row r="45" spans="2:17" ht="15.75" thickBot="1">
      <c r="B45" s="423"/>
      <c r="C45" s="424"/>
      <c r="D45" s="531" t="s">
        <v>530</v>
      </c>
      <c r="E45" s="533" t="s">
        <v>125</v>
      </c>
      <c r="F45" s="526" t="s">
        <v>131</v>
      </c>
      <c r="G45" s="425" t="s">
        <v>546</v>
      </c>
      <c r="H45" s="426" t="s">
        <v>335</v>
      </c>
      <c r="I45" s="427">
        <f t="shared" ref="I45" si="119">I44*$G44</f>
        <v>0</v>
      </c>
      <c r="J45" s="427">
        <f t="shared" ref="J45" si="120">J44*$G44</f>
        <v>0</v>
      </c>
      <c r="K45" s="427">
        <f t="shared" ref="K45" si="121">K44*$G44</f>
        <v>0</v>
      </c>
      <c r="L45" s="427">
        <f t="shared" ref="L45" si="122">L44*$G44</f>
        <v>0</v>
      </c>
      <c r="M45" s="427">
        <f t="shared" ref="M45" si="123">M44*$G44</f>
        <v>397710.04000000004</v>
      </c>
      <c r="N45" s="427">
        <f t="shared" ref="N45" si="124">N44*$G44</f>
        <v>0</v>
      </c>
      <c r="O45" s="428">
        <f t="shared" ref="O45" si="125">O44*$G44</f>
        <v>0</v>
      </c>
      <c r="P45" s="429">
        <f t="shared" si="79"/>
        <v>397710.04000000004</v>
      </c>
      <c r="Q45" s="228"/>
    </row>
    <row r="46" spans="2:17" ht="15.75" thickTop="1">
      <c r="B46" s="422"/>
      <c r="C46" s="508">
        <f t="shared" ref="C46" si="126">C44+1</f>
        <v>18</v>
      </c>
      <c r="D46" s="530" t="s">
        <v>530</v>
      </c>
      <c r="E46" s="532" t="s">
        <v>125</v>
      </c>
      <c r="F46" s="529" t="s">
        <v>132</v>
      </c>
      <c r="G46" s="430">
        <v>36878.519999999997</v>
      </c>
      <c r="H46" s="421" t="s">
        <v>312</v>
      </c>
      <c r="I46" s="420">
        <v>1</v>
      </c>
      <c r="J46" s="420"/>
      <c r="K46" s="420"/>
      <c r="L46" s="420"/>
      <c r="M46" s="420"/>
      <c r="N46" s="420"/>
      <c r="O46" s="431"/>
      <c r="P46" s="432">
        <f t="shared" si="79"/>
        <v>1</v>
      </c>
    </row>
    <row r="47" spans="2:17" ht="15.75" thickBot="1">
      <c r="B47" s="423"/>
      <c r="C47" s="424"/>
      <c r="D47" s="531" t="s">
        <v>530</v>
      </c>
      <c r="E47" s="533" t="s">
        <v>125</v>
      </c>
      <c r="F47" s="526" t="s">
        <v>132</v>
      </c>
      <c r="G47" s="425" t="s">
        <v>546</v>
      </c>
      <c r="H47" s="426" t="s">
        <v>335</v>
      </c>
      <c r="I47" s="427">
        <f t="shared" ref="I47" si="127">I46*$G46</f>
        <v>36878.519999999997</v>
      </c>
      <c r="J47" s="427">
        <f t="shared" ref="J47" si="128">J46*$G46</f>
        <v>0</v>
      </c>
      <c r="K47" s="427">
        <f t="shared" ref="K47" si="129">K46*$G46</f>
        <v>0</v>
      </c>
      <c r="L47" s="427">
        <f t="shared" ref="L47" si="130">L46*$G46</f>
        <v>0</v>
      </c>
      <c r="M47" s="427">
        <f t="shared" ref="M47" si="131">M46*$G46</f>
        <v>0</v>
      </c>
      <c r="N47" s="427">
        <f t="shared" ref="N47" si="132">N46*$G46</f>
        <v>0</v>
      </c>
      <c r="O47" s="428">
        <f t="shared" ref="O47" si="133">O46*$G46</f>
        <v>0</v>
      </c>
      <c r="P47" s="429">
        <f t="shared" si="79"/>
        <v>36878.519999999997</v>
      </c>
      <c r="Q47" s="228"/>
    </row>
    <row r="48" spans="2:17" ht="16.5" thickTop="1" thickBot="1">
      <c r="B48" s="385"/>
      <c r="C48" s="447"/>
      <c r="D48" s="449" t="s">
        <v>531</v>
      </c>
      <c r="E48" s="447"/>
      <c r="F48" s="448">
        <f>SUMIF(H34:H47,"стоимость",P34:P47)</f>
        <v>16161004.384999998</v>
      </c>
      <c r="G48" s="446"/>
      <c r="H48" s="447"/>
      <c r="I48" s="447"/>
      <c r="J48" s="447"/>
      <c r="K48" s="447"/>
      <c r="L48" s="447"/>
      <c r="M48" s="447"/>
      <c r="N48" s="447"/>
      <c r="O48" s="447"/>
      <c r="P48" s="447"/>
    </row>
    <row r="49" spans="2:17" ht="15.75" thickTop="1">
      <c r="B49" s="422"/>
      <c r="C49" s="508">
        <f>C46+1</f>
        <v>19</v>
      </c>
      <c r="D49" s="530" t="s">
        <v>532</v>
      </c>
      <c r="E49" s="532" t="s">
        <v>134</v>
      </c>
      <c r="F49" s="529" t="s">
        <v>135</v>
      </c>
      <c r="G49" s="430">
        <v>3463667</v>
      </c>
      <c r="H49" s="421" t="s">
        <v>312</v>
      </c>
      <c r="I49" s="420"/>
      <c r="J49" s="420"/>
      <c r="K49" s="420"/>
      <c r="L49" s="420"/>
      <c r="M49" s="420"/>
      <c r="N49" s="420"/>
      <c r="O49" s="431"/>
      <c r="P49" s="432">
        <f t="shared" si="79"/>
        <v>0</v>
      </c>
    </row>
    <row r="50" spans="2:17" ht="15.75" thickBot="1">
      <c r="B50" s="423"/>
      <c r="C50" s="424"/>
      <c r="D50" s="531" t="s">
        <v>532</v>
      </c>
      <c r="E50" s="533" t="s">
        <v>134</v>
      </c>
      <c r="F50" s="526" t="s">
        <v>135</v>
      </c>
      <c r="G50" s="425" t="s">
        <v>547</v>
      </c>
      <c r="H50" s="426" t="s">
        <v>335</v>
      </c>
      <c r="I50" s="427">
        <f t="shared" ref="I50" si="134">I49*$G49</f>
        <v>0</v>
      </c>
      <c r="J50" s="427">
        <f t="shared" ref="J50" si="135">J49*$G49</f>
        <v>0</v>
      </c>
      <c r="K50" s="427">
        <f t="shared" ref="K50" si="136">K49*$G49</f>
        <v>0</v>
      </c>
      <c r="L50" s="427">
        <f t="shared" ref="L50" si="137">L49*$G49</f>
        <v>0</v>
      </c>
      <c r="M50" s="427">
        <f t="shared" ref="M50" si="138">M49*$G49</f>
        <v>0</v>
      </c>
      <c r="N50" s="427">
        <f t="shared" ref="N50" si="139">N49*$G49</f>
        <v>0</v>
      </c>
      <c r="O50" s="428">
        <f t="shared" ref="O50" si="140">O49*$G49</f>
        <v>0</v>
      </c>
      <c r="P50" s="429">
        <f t="shared" si="79"/>
        <v>0</v>
      </c>
      <c r="Q50" s="228"/>
    </row>
    <row r="51" spans="2:17" ht="15.75" thickTop="1">
      <c r="B51" s="422"/>
      <c r="C51" s="508">
        <f>C49+1</f>
        <v>20</v>
      </c>
      <c r="D51" s="530" t="s">
        <v>532</v>
      </c>
      <c r="E51" s="532" t="s">
        <v>134</v>
      </c>
      <c r="F51" s="529" t="s">
        <v>137</v>
      </c>
      <c r="G51" s="430">
        <v>6117970.9986800002</v>
      </c>
      <c r="H51" s="421" t="s">
        <v>312</v>
      </c>
      <c r="I51" s="420"/>
      <c r="J51" s="420">
        <v>0.2</v>
      </c>
      <c r="K51" s="420">
        <v>0.2</v>
      </c>
      <c r="L51" s="420">
        <v>0.2</v>
      </c>
      <c r="M51" s="420">
        <v>0.2</v>
      </c>
      <c r="N51" s="420"/>
      <c r="O51" s="431">
        <v>0.2</v>
      </c>
      <c r="P51" s="432">
        <f t="shared" si="79"/>
        <v>1</v>
      </c>
    </row>
    <row r="52" spans="2:17" ht="15.75" thickBot="1">
      <c r="B52" s="423"/>
      <c r="C52" s="424"/>
      <c r="D52" s="531" t="s">
        <v>532</v>
      </c>
      <c r="E52" s="533" t="s">
        <v>134</v>
      </c>
      <c r="F52" s="526" t="s">
        <v>137</v>
      </c>
      <c r="G52" s="425" t="s">
        <v>547</v>
      </c>
      <c r="H52" s="426" t="s">
        <v>335</v>
      </c>
      <c r="I52" s="427">
        <f t="shared" ref="I52" si="141">I51*$G51</f>
        <v>0</v>
      </c>
      <c r="J52" s="427">
        <f t="shared" ref="J52" si="142">J51*$G51</f>
        <v>1223594.199736</v>
      </c>
      <c r="K52" s="427">
        <f t="shared" ref="K52" si="143">K51*$G51</f>
        <v>1223594.199736</v>
      </c>
      <c r="L52" s="427">
        <f t="shared" ref="L52" si="144">L51*$G51</f>
        <v>1223594.199736</v>
      </c>
      <c r="M52" s="427">
        <f t="shared" ref="M52" si="145">M51*$G51</f>
        <v>1223594.199736</v>
      </c>
      <c r="N52" s="427">
        <f t="shared" ref="N52" si="146">N51*$G51</f>
        <v>0</v>
      </c>
      <c r="O52" s="428">
        <f t="shared" ref="O52" si="147">O51*$G51</f>
        <v>1223594.199736</v>
      </c>
      <c r="P52" s="429">
        <f t="shared" si="79"/>
        <v>6117970.9986800002</v>
      </c>
      <c r="Q52" s="228"/>
    </row>
    <row r="53" spans="2:17" ht="15.75" thickTop="1">
      <c r="B53" s="422"/>
      <c r="C53" s="508">
        <f t="shared" ref="C53" si="148">C51+1</f>
        <v>21</v>
      </c>
      <c r="D53" s="530" t="s">
        <v>532</v>
      </c>
      <c r="E53" s="532" t="s">
        <v>134</v>
      </c>
      <c r="F53" s="529" t="s">
        <v>138</v>
      </c>
      <c r="G53" s="430">
        <v>611797.09986800002</v>
      </c>
      <c r="H53" s="421" t="s">
        <v>312</v>
      </c>
      <c r="I53" s="420"/>
      <c r="J53" s="420">
        <v>0.2</v>
      </c>
      <c r="K53" s="420">
        <v>0.2</v>
      </c>
      <c r="L53" s="420">
        <v>0.2</v>
      </c>
      <c r="M53" s="420">
        <v>0.2</v>
      </c>
      <c r="N53" s="420"/>
      <c r="O53" s="431">
        <v>0.2</v>
      </c>
      <c r="P53" s="432">
        <f t="shared" si="79"/>
        <v>1</v>
      </c>
    </row>
    <row r="54" spans="2:17" ht="15.75" thickBot="1">
      <c r="B54" s="423"/>
      <c r="C54" s="424"/>
      <c r="D54" s="531" t="s">
        <v>532</v>
      </c>
      <c r="E54" s="533" t="s">
        <v>134</v>
      </c>
      <c r="F54" s="526" t="s">
        <v>138</v>
      </c>
      <c r="G54" s="425" t="s">
        <v>547</v>
      </c>
      <c r="H54" s="426" t="s">
        <v>335</v>
      </c>
      <c r="I54" s="427">
        <f t="shared" ref="I54" si="149">I53*$G53</f>
        <v>0</v>
      </c>
      <c r="J54" s="427">
        <f t="shared" ref="J54" si="150">J53*$G53</f>
        <v>122359.41997360002</v>
      </c>
      <c r="K54" s="427">
        <f t="shared" ref="K54" si="151">K53*$G53</f>
        <v>122359.41997360002</v>
      </c>
      <c r="L54" s="427">
        <f t="shared" ref="L54" si="152">L53*$G53</f>
        <v>122359.41997360002</v>
      </c>
      <c r="M54" s="427">
        <f t="shared" ref="M54" si="153">M53*$G53</f>
        <v>122359.41997360002</v>
      </c>
      <c r="N54" s="427">
        <f t="shared" ref="N54" si="154">N53*$G53</f>
        <v>0</v>
      </c>
      <c r="O54" s="428">
        <f t="shared" ref="O54" si="155">O53*$G53</f>
        <v>122359.41997360002</v>
      </c>
      <c r="P54" s="429">
        <f t="shared" si="79"/>
        <v>611797.09986800002</v>
      </c>
      <c r="Q54" s="228"/>
    </row>
    <row r="55" spans="2:17" ht="15.75" thickTop="1">
      <c r="B55" s="422"/>
      <c r="C55" s="508">
        <f t="shared" ref="C55" si="156">C53+1</f>
        <v>22</v>
      </c>
      <c r="D55" s="530" t="s">
        <v>532</v>
      </c>
      <c r="E55" s="532" t="s">
        <v>134</v>
      </c>
      <c r="F55" s="529" t="s">
        <v>139</v>
      </c>
      <c r="G55" s="430">
        <v>346366.7</v>
      </c>
      <c r="H55" s="421" t="s">
        <v>312</v>
      </c>
      <c r="I55" s="420"/>
      <c r="J55" s="420"/>
      <c r="K55" s="420"/>
      <c r="L55" s="420"/>
      <c r="M55" s="420"/>
      <c r="N55" s="420"/>
      <c r="O55" s="431"/>
      <c r="P55" s="432">
        <f t="shared" si="79"/>
        <v>0</v>
      </c>
    </row>
    <row r="56" spans="2:17" ht="15.75" thickBot="1">
      <c r="B56" s="423"/>
      <c r="C56" s="424"/>
      <c r="D56" s="531" t="s">
        <v>532</v>
      </c>
      <c r="E56" s="533" t="s">
        <v>134</v>
      </c>
      <c r="F56" s="526" t="s">
        <v>139</v>
      </c>
      <c r="G56" s="425" t="s">
        <v>547</v>
      </c>
      <c r="H56" s="426" t="s">
        <v>335</v>
      </c>
      <c r="I56" s="427">
        <f t="shared" ref="I56" si="157">I55*$G55</f>
        <v>0</v>
      </c>
      <c r="J56" s="427">
        <f t="shared" ref="J56" si="158">J55*$G55</f>
        <v>0</v>
      </c>
      <c r="K56" s="427">
        <f t="shared" ref="K56" si="159">K55*$G55</f>
        <v>0</v>
      </c>
      <c r="L56" s="427">
        <f t="shared" ref="L56" si="160">L55*$G55</f>
        <v>0</v>
      </c>
      <c r="M56" s="427">
        <f t="shared" ref="M56" si="161">M55*$G55</f>
        <v>0</v>
      </c>
      <c r="N56" s="427">
        <f t="shared" ref="N56" si="162">N55*$G55</f>
        <v>0</v>
      </c>
      <c r="O56" s="428">
        <f t="shared" ref="O56" si="163">O55*$G55</f>
        <v>0</v>
      </c>
      <c r="P56" s="429">
        <f t="shared" si="79"/>
        <v>0</v>
      </c>
      <c r="Q56" s="228"/>
    </row>
    <row r="57" spans="2:17" ht="16.5" thickTop="1" thickBot="1">
      <c r="B57" s="385"/>
      <c r="C57" s="447"/>
      <c r="D57" s="449" t="s">
        <v>533</v>
      </c>
      <c r="E57" s="447"/>
      <c r="F57" s="448">
        <f>SUMIF(H49:H56,"стоимость",P49:P56)</f>
        <v>6729768.0985480007</v>
      </c>
      <c r="G57" s="446"/>
      <c r="H57" s="447"/>
      <c r="I57" s="447"/>
      <c r="J57" s="447"/>
      <c r="K57" s="447"/>
      <c r="L57" s="447"/>
      <c r="M57" s="447"/>
      <c r="N57" s="447"/>
      <c r="O57" s="447"/>
      <c r="P57" s="447"/>
    </row>
    <row r="58" spans="2:17" ht="15.75" thickTop="1">
      <c r="B58" s="422"/>
      <c r="C58" s="508">
        <f>C55+1</f>
        <v>23</v>
      </c>
      <c r="D58" s="530" t="s">
        <v>325</v>
      </c>
      <c r="E58" s="532" t="s">
        <v>143</v>
      </c>
      <c r="F58" s="529" t="s">
        <v>146</v>
      </c>
      <c r="G58" s="430">
        <v>1108924.71</v>
      </c>
      <c r="H58" s="421" t="s">
        <v>312</v>
      </c>
      <c r="I58" s="420"/>
      <c r="J58" s="420">
        <v>1</v>
      </c>
      <c r="K58" s="420"/>
      <c r="L58" s="420"/>
      <c r="M58" s="420"/>
      <c r="N58" s="420"/>
      <c r="O58" s="431"/>
      <c r="P58" s="432">
        <f t="shared" si="79"/>
        <v>1</v>
      </c>
    </row>
    <row r="59" spans="2:17" ht="15.75" thickBot="1">
      <c r="B59" s="423"/>
      <c r="C59" s="424"/>
      <c r="D59" s="531" t="s">
        <v>325</v>
      </c>
      <c r="E59" s="533" t="s">
        <v>143</v>
      </c>
      <c r="F59" s="526" t="s">
        <v>146</v>
      </c>
      <c r="G59" s="425" t="s">
        <v>546</v>
      </c>
      <c r="H59" s="426" t="s">
        <v>335</v>
      </c>
      <c r="I59" s="427">
        <f t="shared" ref="I59" si="164">I58*$G58</f>
        <v>0</v>
      </c>
      <c r="J59" s="427">
        <f t="shared" ref="J59" si="165">J58*$G58</f>
        <v>1108924.71</v>
      </c>
      <c r="K59" s="427">
        <f t="shared" ref="K59" si="166">K58*$G58</f>
        <v>0</v>
      </c>
      <c r="L59" s="427">
        <f t="shared" ref="L59" si="167">L58*$G58</f>
        <v>0</v>
      </c>
      <c r="M59" s="427">
        <f t="shared" ref="M59" si="168">M58*$G58</f>
        <v>0</v>
      </c>
      <c r="N59" s="427">
        <f t="shared" ref="N59" si="169">N58*$G58</f>
        <v>0</v>
      </c>
      <c r="O59" s="428">
        <f t="shared" ref="O59" si="170">O58*$G58</f>
        <v>0</v>
      </c>
      <c r="P59" s="429">
        <f t="shared" si="79"/>
        <v>1108924.71</v>
      </c>
      <c r="Q59" s="228"/>
    </row>
    <row r="60" spans="2:17" ht="15.75" thickTop="1">
      <c r="B60" s="422"/>
      <c r="C60" s="508">
        <f>C58+1</f>
        <v>24</v>
      </c>
      <c r="D60" s="530" t="s">
        <v>325</v>
      </c>
      <c r="E60" s="532" t="s">
        <v>143</v>
      </c>
      <c r="F60" s="529" t="s">
        <v>147</v>
      </c>
      <c r="G60" s="430">
        <v>1526297.5350000001</v>
      </c>
      <c r="H60" s="421" t="s">
        <v>312</v>
      </c>
      <c r="I60" s="420"/>
      <c r="J60" s="420"/>
      <c r="K60" s="420">
        <v>1</v>
      </c>
      <c r="L60" s="420"/>
      <c r="M60" s="420"/>
      <c r="N60" s="420"/>
      <c r="O60" s="431"/>
      <c r="P60" s="432">
        <f t="shared" si="79"/>
        <v>1</v>
      </c>
    </row>
    <row r="61" spans="2:17" ht="15.75" thickBot="1">
      <c r="B61" s="423"/>
      <c r="C61" s="424"/>
      <c r="D61" s="531" t="s">
        <v>325</v>
      </c>
      <c r="E61" s="533" t="s">
        <v>143</v>
      </c>
      <c r="F61" s="526" t="s">
        <v>147</v>
      </c>
      <c r="G61" s="425" t="s">
        <v>546</v>
      </c>
      <c r="H61" s="426" t="s">
        <v>335</v>
      </c>
      <c r="I61" s="427">
        <f t="shared" ref="I61" si="171">I60*$G60</f>
        <v>0</v>
      </c>
      <c r="J61" s="427">
        <f t="shared" ref="J61" si="172">J60*$G60</f>
        <v>0</v>
      </c>
      <c r="K61" s="427">
        <f t="shared" ref="K61" si="173">K60*$G60</f>
        <v>1526297.5350000001</v>
      </c>
      <c r="L61" s="427">
        <f t="shared" ref="L61" si="174">L60*$G60</f>
        <v>0</v>
      </c>
      <c r="M61" s="427">
        <f t="shared" ref="M61" si="175">M60*$G60</f>
        <v>0</v>
      </c>
      <c r="N61" s="427">
        <f t="shared" ref="N61" si="176">N60*$G60</f>
        <v>0</v>
      </c>
      <c r="O61" s="428">
        <f t="shared" ref="O61" si="177">O60*$G60</f>
        <v>0</v>
      </c>
      <c r="P61" s="429">
        <f t="shared" si="79"/>
        <v>1526297.5350000001</v>
      </c>
      <c r="Q61" s="228"/>
    </row>
    <row r="62" spans="2:17" ht="15.75" thickTop="1">
      <c r="B62" s="422"/>
      <c r="C62" s="508">
        <f t="shared" ref="C62" si="178">C60+1</f>
        <v>25</v>
      </c>
      <c r="D62" s="530" t="s">
        <v>325</v>
      </c>
      <c r="E62" s="532" t="s">
        <v>143</v>
      </c>
      <c r="F62" s="529" t="s">
        <v>148</v>
      </c>
      <c r="G62" s="430">
        <v>1567470.1500000001</v>
      </c>
      <c r="H62" s="421" t="s">
        <v>312</v>
      </c>
      <c r="I62" s="420"/>
      <c r="J62" s="420"/>
      <c r="K62" s="420"/>
      <c r="L62" s="420"/>
      <c r="M62" s="420">
        <v>1</v>
      </c>
      <c r="N62" s="420"/>
      <c r="O62" s="431"/>
      <c r="P62" s="432">
        <f t="shared" si="79"/>
        <v>1</v>
      </c>
    </row>
    <row r="63" spans="2:17" ht="15.75" thickBot="1">
      <c r="B63" s="423"/>
      <c r="C63" s="424"/>
      <c r="D63" s="531" t="s">
        <v>325</v>
      </c>
      <c r="E63" s="533" t="s">
        <v>143</v>
      </c>
      <c r="F63" s="526" t="s">
        <v>148</v>
      </c>
      <c r="G63" s="425" t="s">
        <v>546</v>
      </c>
      <c r="H63" s="426" t="s">
        <v>335</v>
      </c>
      <c r="I63" s="427">
        <f t="shared" ref="I63" si="179">I62*$G62</f>
        <v>0</v>
      </c>
      <c r="J63" s="427">
        <f t="shared" ref="J63" si="180">J62*$G62</f>
        <v>0</v>
      </c>
      <c r="K63" s="427">
        <f t="shared" ref="K63" si="181">K62*$G62</f>
        <v>0</v>
      </c>
      <c r="L63" s="427">
        <f t="shared" ref="L63" si="182">L62*$G62</f>
        <v>0</v>
      </c>
      <c r="M63" s="427">
        <f t="shared" ref="M63" si="183">M62*$G62</f>
        <v>1567470.1500000001</v>
      </c>
      <c r="N63" s="427">
        <f t="shared" ref="N63" si="184">N62*$G62</f>
        <v>0</v>
      </c>
      <c r="O63" s="428">
        <f t="shared" ref="O63" si="185">O62*$G62</f>
        <v>0</v>
      </c>
      <c r="P63" s="429">
        <f t="shared" si="79"/>
        <v>1567470.1500000001</v>
      </c>
      <c r="Q63" s="228"/>
    </row>
    <row r="64" spans="2:17" ht="15.75" thickTop="1">
      <c r="B64" s="422"/>
      <c r="C64" s="508">
        <f t="shared" ref="C64" si="186">C62+1</f>
        <v>26</v>
      </c>
      <c r="D64" s="530" t="s">
        <v>325</v>
      </c>
      <c r="E64" s="532" t="s">
        <v>143</v>
      </c>
      <c r="F64" s="529" t="s">
        <v>152</v>
      </c>
      <c r="G64" s="430">
        <v>634645.50000000012</v>
      </c>
      <c r="H64" s="421" t="s">
        <v>312</v>
      </c>
      <c r="I64" s="420"/>
      <c r="J64" s="420"/>
      <c r="K64" s="420"/>
      <c r="L64" s="420"/>
      <c r="M64" s="420"/>
      <c r="N64" s="420"/>
      <c r="O64" s="431"/>
      <c r="P64" s="432">
        <f t="shared" si="79"/>
        <v>0</v>
      </c>
    </row>
    <row r="65" spans="2:17" ht="15.75" thickBot="1">
      <c r="B65" s="423"/>
      <c r="C65" s="424"/>
      <c r="D65" s="531" t="s">
        <v>325</v>
      </c>
      <c r="E65" s="533" t="s">
        <v>143</v>
      </c>
      <c r="F65" s="526" t="s">
        <v>152</v>
      </c>
      <c r="G65" s="425" t="s">
        <v>546</v>
      </c>
      <c r="H65" s="426" t="s">
        <v>335</v>
      </c>
      <c r="I65" s="427">
        <f t="shared" ref="I65" si="187">I64*$G64</f>
        <v>0</v>
      </c>
      <c r="J65" s="427">
        <f t="shared" ref="J65" si="188">J64*$G64</f>
        <v>0</v>
      </c>
      <c r="K65" s="427">
        <f t="shared" ref="K65" si="189">K64*$G64</f>
        <v>0</v>
      </c>
      <c r="L65" s="427">
        <f t="shared" ref="L65" si="190">L64*$G64</f>
        <v>0</v>
      </c>
      <c r="M65" s="427">
        <f t="shared" ref="M65" si="191">M64*$G64</f>
        <v>0</v>
      </c>
      <c r="N65" s="427">
        <f t="shared" ref="N65" si="192">N64*$G64</f>
        <v>0</v>
      </c>
      <c r="O65" s="428">
        <f t="shared" ref="O65" si="193">O64*$G64</f>
        <v>0</v>
      </c>
      <c r="P65" s="429">
        <f t="shared" si="79"/>
        <v>0</v>
      </c>
      <c r="Q65" s="228"/>
    </row>
    <row r="66" spans="2:17" ht="15.75" thickTop="1">
      <c r="B66" s="422"/>
      <c r="C66" s="508">
        <f t="shared" ref="C66" si="194">C64+1</f>
        <v>27</v>
      </c>
      <c r="D66" s="530" t="s">
        <v>325</v>
      </c>
      <c r="E66" s="532" t="s">
        <v>143</v>
      </c>
      <c r="F66" s="529" t="s">
        <v>158</v>
      </c>
      <c r="G66" s="430">
        <v>412633.98</v>
      </c>
      <c r="H66" s="421" t="s">
        <v>312</v>
      </c>
      <c r="I66" s="420"/>
      <c r="J66" s="420"/>
      <c r="K66" s="420"/>
      <c r="L66" s="420"/>
      <c r="M66" s="420">
        <v>3</v>
      </c>
      <c r="N66" s="420"/>
      <c r="O66" s="431"/>
      <c r="P66" s="432">
        <f t="shared" si="79"/>
        <v>3</v>
      </c>
    </row>
    <row r="67" spans="2:17" ht="15.75" thickBot="1">
      <c r="B67" s="423"/>
      <c r="C67" s="424"/>
      <c r="D67" s="531" t="s">
        <v>325</v>
      </c>
      <c r="E67" s="533" t="s">
        <v>143</v>
      </c>
      <c r="F67" s="526" t="s">
        <v>158</v>
      </c>
      <c r="G67" s="425" t="s">
        <v>546</v>
      </c>
      <c r="H67" s="426" t="s">
        <v>335</v>
      </c>
      <c r="I67" s="427">
        <f t="shared" ref="I67" si="195">I66*$G66</f>
        <v>0</v>
      </c>
      <c r="J67" s="427">
        <f t="shared" ref="J67" si="196">J66*$G66</f>
        <v>0</v>
      </c>
      <c r="K67" s="427">
        <f t="shared" ref="K67" si="197">K66*$G66</f>
        <v>0</v>
      </c>
      <c r="L67" s="427">
        <f t="shared" ref="L67" si="198">L66*$G66</f>
        <v>0</v>
      </c>
      <c r="M67" s="427">
        <f t="shared" ref="M67" si="199">M66*$G66</f>
        <v>1237901.94</v>
      </c>
      <c r="N67" s="427">
        <f t="shared" ref="N67" si="200">N66*$G66</f>
        <v>0</v>
      </c>
      <c r="O67" s="428">
        <f t="shared" ref="O67" si="201">O66*$G66</f>
        <v>0</v>
      </c>
      <c r="P67" s="429">
        <f t="shared" si="79"/>
        <v>1237901.94</v>
      </c>
      <c r="Q67" s="228"/>
    </row>
    <row r="68" spans="2:17" ht="16.5" thickTop="1" thickBot="1">
      <c r="B68" s="385"/>
      <c r="C68" s="447"/>
      <c r="D68" s="449" t="s">
        <v>534</v>
      </c>
      <c r="E68" s="447"/>
      <c r="F68" s="448">
        <f>SUMIF(H58:H67,"стоимость",P58:P67)</f>
        <v>5440594.3350000009</v>
      </c>
      <c r="G68" s="446"/>
      <c r="H68" s="447"/>
      <c r="I68" s="447"/>
      <c r="J68" s="447"/>
      <c r="K68" s="447"/>
      <c r="L68" s="447"/>
      <c r="M68" s="447"/>
      <c r="N68" s="447"/>
      <c r="O68" s="447"/>
      <c r="P68" s="447"/>
    </row>
    <row r="69" spans="2:17" ht="15.75" thickTop="1">
      <c r="B69" s="422"/>
      <c r="C69" s="508">
        <f>C66+1</f>
        <v>28</v>
      </c>
      <c r="D69" s="530" t="s">
        <v>535</v>
      </c>
      <c r="E69" s="532" t="s">
        <v>160</v>
      </c>
      <c r="F69" s="529" t="s">
        <v>162</v>
      </c>
      <c r="G69" s="430">
        <v>27961.27</v>
      </c>
      <c r="H69" s="421" t="s">
        <v>312</v>
      </c>
      <c r="I69" s="420">
        <f>I20</f>
        <v>1</v>
      </c>
      <c r="J69" s="420">
        <f t="shared" ref="J69:O69" si="202">J20</f>
        <v>4</v>
      </c>
      <c r="K69" s="420">
        <f t="shared" si="202"/>
        <v>8</v>
      </c>
      <c r="L69" s="420">
        <f t="shared" si="202"/>
        <v>0</v>
      </c>
      <c r="M69" s="420">
        <f t="shared" si="202"/>
        <v>18</v>
      </c>
      <c r="N69" s="420">
        <f t="shared" si="202"/>
        <v>0</v>
      </c>
      <c r="O69" s="431">
        <f t="shared" si="202"/>
        <v>11</v>
      </c>
      <c r="P69" s="432">
        <f t="shared" si="79"/>
        <v>42</v>
      </c>
    </row>
    <row r="70" spans="2:17" ht="15.75" thickBot="1">
      <c r="B70" s="423"/>
      <c r="C70" s="424"/>
      <c r="D70" s="531" t="s">
        <v>535</v>
      </c>
      <c r="E70" s="533" t="s">
        <v>160</v>
      </c>
      <c r="F70" s="526" t="s">
        <v>162</v>
      </c>
      <c r="G70" s="425" t="s">
        <v>548</v>
      </c>
      <c r="H70" s="426" t="s">
        <v>335</v>
      </c>
      <c r="I70" s="427">
        <f t="shared" ref="I70" si="203">I69*$G69</f>
        <v>27961.27</v>
      </c>
      <c r="J70" s="427">
        <f t="shared" ref="J70" si="204">J69*$G69</f>
        <v>111845.08</v>
      </c>
      <c r="K70" s="427">
        <f t="shared" ref="K70" si="205">K69*$G69</f>
        <v>223690.16</v>
      </c>
      <c r="L70" s="427">
        <f t="shared" ref="L70" si="206">L69*$G69</f>
        <v>0</v>
      </c>
      <c r="M70" s="427">
        <f t="shared" ref="M70" si="207">M69*$G69</f>
        <v>503302.86</v>
      </c>
      <c r="N70" s="427">
        <f t="shared" ref="N70" si="208">N69*$G69</f>
        <v>0</v>
      </c>
      <c r="O70" s="428">
        <f t="shared" ref="O70" si="209">O69*$G69</f>
        <v>307573.97000000003</v>
      </c>
      <c r="P70" s="429">
        <f t="shared" si="79"/>
        <v>1174373.3400000001</v>
      </c>
      <c r="Q70" s="228"/>
    </row>
    <row r="71" spans="2:17" ht="15.75" thickTop="1">
      <c r="B71" s="422"/>
      <c r="C71" s="508">
        <f>C69+1</f>
        <v>29</v>
      </c>
      <c r="D71" s="530" t="s">
        <v>535</v>
      </c>
      <c r="E71" s="532" t="s">
        <v>160</v>
      </c>
      <c r="F71" s="529" t="s">
        <v>163</v>
      </c>
      <c r="G71" s="430">
        <v>6590</v>
      </c>
      <c r="H71" s="421" t="s">
        <v>312</v>
      </c>
      <c r="I71" s="420">
        <f>I20</f>
        <v>1</v>
      </c>
      <c r="J71" s="420">
        <f t="shared" ref="J71:O71" si="210">J20</f>
        <v>4</v>
      </c>
      <c r="K71" s="420">
        <f t="shared" si="210"/>
        <v>8</v>
      </c>
      <c r="L71" s="420">
        <f t="shared" si="210"/>
        <v>0</v>
      </c>
      <c r="M71" s="420">
        <f t="shared" si="210"/>
        <v>18</v>
      </c>
      <c r="N71" s="420">
        <f t="shared" si="210"/>
        <v>0</v>
      </c>
      <c r="O71" s="431">
        <f t="shared" si="210"/>
        <v>11</v>
      </c>
      <c r="P71" s="432">
        <f t="shared" si="79"/>
        <v>42</v>
      </c>
    </row>
    <row r="72" spans="2:17" ht="15.75" thickBot="1">
      <c r="B72" s="423"/>
      <c r="C72" s="424"/>
      <c r="D72" s="531" t="s">
        <v>535</v>
      </c>
      <c r="E72" s="533" t="s">
        <v>160</v>
      </c>
      <c r="F72" s="526" t="s">
        <v>163</v>
      </c>
      <c r="G72" s="425" t="s">
        <v>548</v>
      </c>
      <c r="H72" s="426" t="s">
        <v>335</v>
      </c>
      <c r="I72" s="427">
        <f t="shared" ref="I72" si="211">I71*$G71</f>
        <v>6590</v>
      </c>
      <c r="J72" s="427">
        <f t="shared" ref="J72" si="212">J71*$G71</f>
        <v>26360</v>
      </c>
      <c r="K72" s="427">
        <f t="shared" ref="K72" si="213">K71*$G71</f>
        <v>52720</v>
      </c>
      <c r="L72" s="427">
        <f t="shared" ref="L72" si="214">L71*$G71</f>
        <v>0</v>
      </c>
      <c r="M72" s="427">
        <f t="shared" ref="M72" si="215">M71*$G71</f>
        <v>118620</v>
      </c>
      <c r="N72" s="427">
        <f t="shared" ref="N72" si="216">N71*$G71</f>
        <v>0</v>
      </c>
      <c r="O72" s="428">
        <f t="shared" ref="O72" si="217">O71*$G71</f>
        <v>72490</v>
      </c>
      <c r="P72" s="429">
        <f t="shared" si="79"/>
        <v>276780</v>
      </c>
      <c r="Q72" s="228"/>
    </row>
    <row r="73" spans="2:17" ht="16.5" thickTop="1" thickBot="1">
      <c r="B73" s="385"/>
      <c r="C73" s="447"/>
      <c r="D73" s="449" t="s">
        <v>536</v>
      </c>
      <c r="E73" s="447"/>
      <c r="F73" s="448">
        <f>SUMIF(H69:H72,"стоимость",P69:P72)</f>
        <v>1451153.34</v>
      </c>
      <c r="G73" s="446"/>
      <c r="H73" s="447"/>
      <c r="I73" s="447"/>
      <c r="J73" s="447"/>
      <c r="K73" s="447"/>
      <c r="L73" s="447"/>
      <c r="M73" s="447"/>
      <c r="N73" s="447"/>
      <c r="O73" s="447"/>
      <c r="P73" s="447"/>
    </row>
    <row r="74" spans="2:17" ht="15.75" thickTop="1">
      <c r="B74" s="422"/>
      <c r="C74" s="508">
        <f>C71+1</f>
        <v>30</v>
      </c>
      <c r="D74" s="530" t="s">
        <v>537</v>
      </c>
      <c r="E74" s="532" t="s">
        <v>160</v>
      </c>
      <c r="F74" s="529" t="s">
        <v>165</v>
      </c>
      <c r="G74" s="430">
        <v>90000</v>
      </c>
      <c r="H74" s="421" t="s">
        <v>312</v>
      </c>
      <c r="I74" s="420"/>
      <c r="J74" s="420">
        <v>1</v>
      </c>
      <c r="K74" s="420"/>
      <c r="L74" s="420"/>
      <c r="M74" s="420"/>
      <c r="N74" s="420"/>
      <c r="O74" s="431"/>
      <c r="P74" s="432">
        <f t="shared" si="79"/>
        <v>1</v>
      </c>
    </row>
    <row r="75" spans="2:17" ht="15.75" thickBot="1">
      <c r="B75" s="423"/>
      <c r="C75" s="424"/>
      <c r="D75" s="531" t="s">
        <v>537</v>
      </c>
      <c r="E75" s="533" t="s">
        <v>160</v>
      </c>
      <c r="F75" s="526" t="s">
        <v>165</v>
      </c>
      <c r="G75" s="425" t="s">
        <v>546</v>
      </c>
      <c r="H75" s="426" t="s">
        <v>335</v>
      </c>
      <c r="I75" s="427">
        <f t="shared" ref="I75" si="218">I74*$G74</f>
        <v>0</v>
      </c>
      <c r="J75" s="427">
        <f t="shared" ref="J75" si="219">J74*$G74</f>
        <v>90000</v>
      </c>
      <c r="K75" s="427">
        <f t="shared" ref="K75" si="220">K74*$G74</f>
        <v>0</v>
      </c>
      <c r="L75" s="427">
        <f t="shared" ref="L75" si="221">L74*$G74</f>
        <v>0</v>
      </c>
      <c r="M75" s="427">
        <f t="shared" ref="M75" si="222">M74*$G74</f>
        <v>0</v>
      </c>
      <c r="N75" s="427">
        <f t="shared" ref="N75" si="223">N74*$G74</f>
        <v>0</v>
      </c>
      <c r="O75" s="428">
        <f t="shared" ref="O75" si="224">O74*$G74</f>
        <v>0</v>
      </c>
      <c r="P75" s="429">
        <f t="shared" si="79"/>
        <v>90000</v>
      </c>
      <c r="Q75" s="228"/>
    </row>
    <row r="76" spans="2:17" ht="15.75" thickTop="1">
      <c r="B76" s="422"/>
      <c r="C76" s="508">
        <f>C74+1</f>
        <v>31</v>
      </c>
      <c r="D76" s="530" t="s">
        <v>537</v>
      </c>
      <c r="E76" s="532" t="s">
        <v>160</v>
      </c>
      <c r="F76" s="529" t="s">
        <v>166</v>
      </c>
      <c r="G76" s="430">
        <v>120000</v>
      </c>
      <c r="H76" s="421" t="s">
        <v>312</v>
      </c>
      <c r="I76" s="420"/>
      <c r="J76" s="420"/>
      <c r="K76" s="420">
        <v>1</v>
      </c>
      <c r="L76" s="420"/>
      <c r="M76" s="420"/>
      <c r="N76" s="420"/>
      <c r="O76" s="431"/>
      <c r="P76" s="432">
        <f t="shared" si="79"/>
        <v>1</v>
      </c>
    </row>
    <row r="77" spans="2:17" ht="15.75" thickBot="1">
      <c r="B77" s="423"/>
      <c r="C77" s="424"/>
      <c r="D77" s="531" t="s">
        <v>537</v>
      </c>
      <c r="E77" s="533" t="s">
        <v>160</v>
      </c>
      <c r="F77" s="526" t="s">
        <v>166</v>
      </c>
      <c r="G77" s="425" t="s">
        <v>546</v>
      </c>
      <c r="H77" s="426" t="s">
        <v>335</v>
      </c>
      <c r="I77" s="427">
        <f t="shared" ref="I77" si="225">I76*$G76</f>
        <v>0</v>
      </c>
      <c r="J77" s="427">
        <f t="shared" ref="J77" si="226">J76*$G76</f>
        <v>0</v>
      </c>
      <c r="K77" s="427">
        <f t="shared" ref="K77" si="227">K76*$G76</f>
        <v>120000</v>
      </c>
      <c r="L77" s="427">
        <f t="shared" ref="L77" si="228">L76*$G76</f>
        <v>0</v>
      </c>
      <c r="M77" s="427">
        <f t="shared" ref="M77" si="229">M76*$G76</f>
        <v>0</v>
      </c>
      <c r="N77" s="427">
        <f t="shared" ref="N77" si="230">N76*$G76</f>
        <v>0</v>
      </c>
      <c r="O77" s="428">
        <f t="shared" ref="O77" si="231">O76*$G76</f>
        <v>0</v>
      </c>
      <c r="P77" s="429">
        <f t="shared" si="79"/>
        <v>120000</v>
      </c>
      <c r="Q77" s="228"/>
    </row>
    <row r="78" spans="2:17" ht="15.75" thickTop="1">
      <c r="B78" s="422"/>
      <c r="C78" s="508">
        <f t="shared" ref="C78" si="232">C76+1</f>
        <v>32</v>
      </c>
      <c r="D78" s="530" t="s">
        <v>537</v>
      </c>
      <c r="E78" s="532" t="s">
        <v>160</v>
      </c>
      <c r="F78" s="529" t="s">
        <v>167</v>
      </c>
      <c r="G78" s="430">
        <v>1500000</v>
      </c>
      <c r="H78" s="421" t="s">
        <v>312</v>
      </c>
      <c r="I78" s="420"/>
      <c r="J78" s="420"/>
      <c r="K78" s="420"/>
      <c r="L78" s="420"/>
      <c r="M78" s="420">
        <v>1</v>
      </c>
      <c r="N78" s="420"/>
      <c r="O78" s="431"/>
      <c r="P78" s="432">
        <f t="shared" si="79"/>
        <v>1</v>
      </c>
    </row>
    <row r="79" spans="2:17" ht="15.75" thickBot="1">
      <c r="B79" s="423"/>
      <c r="C79" s="424"/>
      <c r="D79" s="531" t="s">
        <v>537</v>
      </c>
      <c r="E79" s="533" t="s">
        <v>160</v>
      </c>
      <c r="F79" s="526" t="s">
        <v>167</v>
      </c>
      <c r="G79" s="425" t="s">
        <v>546</v>
      </c>
      <c r="H79" s="426" t="s">
        <v>335</v>
      </c>
      <c r="I79" s="427">
        <f t="shared" ref="I79" si="233">I78*$G78</f>
        <v>0</v>
      </c>
      <c r="J79" s="427">
        <f t="shared" ref="J79" si="234">J78*$G78</f>
        <v>0</v>
      </c>
      <c r="K79" s="427">
        <f t="shared" ref="K79" si="235">K78*$G78</f>
        <v>0</v>
      </c>
      <c r="L79" s="427">
        <f t="shared" ref="L79" si="236">L78*$G78</f>
        <v>0</v>
      </c>
      <c r="M79" s="427">
        <f t="shared" ref="M79" si="237">M78*$G78</f>
        <v>1500000</v>
      </c>
      <c r="N79" s="427">
        <f t="shared" ref="N79" si="238">N78*$G78</f>
        <v>0</v>
      </c>
      <c r="O79" s="428">
        <f t="shared" ref="O79" si="239">O78*$G78</f>
        <v>0</v>
      </c>
      <c r="P79" s="429">
        <f t="shared" si="79"/>
        <v>1500000</v>
      </c>
      <c r="Q79" s="228"/>
    </row>
    <row r="80" spans="2:17" ht="15.75" thickTop="1">
      <c r="B80" s="422"/>
      <c r="C80" s="508">
        <f t="shared" ref="C80" si="240">C78+1</f>
        <v>33</v>
      </c>
      <c r="D80" s="530" t="s">
        <v>537</v>
      </c>
      <c r="E80" s="532" t="s">
        <v>160</v>
      </c>
      <c r="F80" s="529" t="s">
        <v>168</v>
      </c>
      <c r="G80" s="430">
        <v>200000</v>
      </c>
      <c r="H80" s="421" t="s">
        <v>312</v>
      </c>
      <c r="I80" s="420"/>
      <c r="J80" s="420"/>
      <c r="K80" s="420"/>
      <c r="L80" s="420"/>
      <c r="M80" s="420">
        <v>1</v>
      </c>
      <c r="N80" s="420"/>
      <c r="O80" s="431"/>
      <c r="P80" s="432">
        <f t="shared" ref="P80:P81" si="241">SUM(I80:O80)</f>
        <v>1</v>
      </c>
    </row>
    <row r="81" spans="2:17" ht="15.75" thickBot="1">
      <c r="B81" s="423"/>
      <c r="C81" s="424"/>
      <c r="D81" s="531" t="s">
        <v>537</v>
      </c>
      <c r="E81" s="533" t="s">
        <v>160</v>
      </c>
      <c r="F81" s="526" t="s">
        <v>168</v>
      </c>
      <c r="G81" s="425" t="s">
        <v>546</v>
      </c>
      <c r="H81" s="426" t="s">
        <v>335</v>
      </c>
      <c r="I81" s="427">
        <f t="shared" ref="I81" si="242">I80*$G80</f>
        <v>0</v>
      </c>
      <c r="J81" s="427">
        <f t="shared" ref="J81" si="243">J80*$G80</f>
        <v>0</v>
      </c>
      <c r="K81" s="427">
        <f t="shared" ref="K81" si="244">K80*$G80</f>
        <v>0</v>
      </c>
      <c r="L81" s="427">
        <f t="shared" ref="L81" si="245">L80*$G80</f>
        <v>0</v>
      </c>
      <c r="M81" s="427">
        <f t="shared" ref="M81" si="246">M80*$G80</f>
        <v>200000</v>
      </c>
      <c r="N81" s="427">
        <f t="shared" ref="N81" si="247">N80*$G80</f>
        <v>0</v>
      </c>
      <c r="O81" s="428">
        <f t="shared" ref="O81" si="248">O80*$G80</f>
        <v>0</v>
      </c>
      <c r="P81" s="429">
        <f t="shared" si="241"/>
        <v>200000</v>
      </c>
      <c r="Q81" s="228"/>
    </row>
    <row r="82" spans="2:17" ht="15.75" thickTop="1">
      <c r="B82" s="422"/>
      <c r="C82" s="508">
        <f t="shared" ref="C82" si="249">C80+1</f>
        <v>34</v>
      </c>
      <c r="D82" s="530" t="s">
        <v>537</v>
      </c>
      <c r="E82" s="532" t="s">
        <v>160</v>
      </c>
      <c r="F82" s="529" t="s">
        <v>172</v>
      </c>
      <c r="G82" s="430">
        <v>800000</v>
      </c>
      <c r="H82" s="421" t="s">
        <v>312</v>
      </c>
      <c r="I82" s="420"/>
      <c r="J82" s="420"/>
      <c r="K82" s="420"/>
      <c r="L82" s="420"/>
      <c r="M82" s="420"/>
      <c r="N82" s="420"/>
      <c r="O82" s="431">
        <v>1</v>
      </c>
      <c r="P82" s="432">
        <f t="shared" si="79"/>
        <v>1</v>
      </c>
    </row>
    <row r="83" spans="2:17" ht="15.75" thickBot="1">
      <c r="B83" s="423"/>
      <c r="C83" s="424"/>
      <c r="D83" s="531" t="s">
        <v>537</v>
      </c>
      <c r="E83" s="533" t="s">
        <v>160</v>
      </c>
      <c r="F83" s="526" t="s">
        <v>168</v>
      </c>
      <c r="G83" s="425" t="s">
        <v>546</v>
      </c>
      <c r="H83" s="426" t="s">
        <v>335</v>
      </c>
      <c r="I83" s="427">
        <f t="shared" ref="I83" si="250">I82*$G82</f>
        <v>0</v>
      </c>
      <c r="J83" s="427">
        <f t="shared" ref="J83" si="251">J82*$G82</f>
        <v>0</v>
      </c>
      <c r="K83" s="427">
        <f t="shared" ref="K83" si="252">K82*$G82</f>
        <v>0</v>
      </c>
      <c r="L83" s="427">
        <f t="shared" ref="L83" si="253">L82*$G82</f>
        <v>0</v>
      </c>
      <c r="M83" s="427">
        <f t="shared" ref="M83" si="254">M82*$G82</f>
        <v>0</v>
      </c>
      <c r="N83" s="427">
        <f t="shared" ref="N83" si="255">N82*$G82</f>
        <v>0</v>
      </c>
      <c r="O83" s="428">
        <f t="shared" ref="O83" si="256">O82*$G82</f>
        <v>800000</v>
      </c>
      <c r="P83" s="429">
        <f t="shared" si="79"/>
        <v>800000</v>
      </c>
      <c r="Q83" s="228"/>
    </row>
    <row r="84" spans="2:17" ht="16.5" thickTop="1" thickBot="1">
      <c r="B84" s="385"/>
      <c r="C84" s="447"/>
      <c r="D84" s="449" t="s">
        <v>538</v>
      </c>
      <c r="E84" s="447"/>
      <c r="F84" s="448">
        <f>SUMIF(H74:H83,"стоимость",P74:P83)</f>
        <v>2710000</v>
      </c>
      <c r="G84" s="446"/>
      <c r="H84" s="447"/>
      <c r="I84" s="447"/>
      <c r="J84" s="447"/>
      <c r="K84" s="447"/>
      <c r="L84" s="447"/>
      <c r="M84" s="447"/>
      <c r="N84" s="447"/>
      <c r="O84" s="447"/>
      <c r="P84" s="447"/>
    </row>
    <row r="85" spans="2:17" ht="15.75" thickTop="1">
      <c r="B85" s="422"/>
      <c r="C85" s="508">
        <f>C82+1</f>
        <v>35</v>
      </c>
      <c r="D85" s="530" t="s">
        <v>326</v>
      </c>
      <c r="E85" s="532"/>
      <c r="F85" s="529" t="s">
        <v>326</v>
      </c>
      <c r="G85" s="430"/>
      <c r="H85" s="421" t="s">
        <v>312</v>
      </c>
      <c r="I85" s="420"/>
      <c r="J85" s="420"/>
      <c r="K85" s="420"/>
      <c r="L85" s="420"/>
      <c r="M85" s="420"/>
      <c r="N85" s="420"/>
      <c r="O85" s="431"/>
      <c r="P85" s="432">
        <f t="shared" si="79"/>
        <v>0</v>
      </c>
    </row>
    <row r="86" spans="2:17" ht="15.75" thickBot="1">
      <c r="B86" s="423"/>
      <c r="C86" s="424"/>
      <c r="D86" s="531" t="s">
        <v>326</v>
      </c>
      <c r="E86" s="533"/>
      <c r="F86" s="526"/>
      <c r="G86" s="425"/>
      <c r="H86" s="426" t="s">
        <v>335</v>
      </c>
      <c r="I86" s="427">
        <f t="shared" ref="I86" si="257">I85*$G85</f>
        <v>0</v>
      </c>
      <c r="J86" s="427">
        <f t="shared" ref="J86" si="258">J85*$G85</f>
        <v>0</v>
      </c>
      <c r="K86" s="427">
        <f t="shared" ref="K86" si="259">K85*$G85</f>
        <v>0</v>
      </c>
      <c r="L86" s="427">
        <f t="shared" ref="L86" si="260">L85*$G85</f>
        <v>0</v>
      </c>
      <c r="M86" s="427">
        <f t="shared" ref="M86" si="261">M85*$G85</f>
        <v>0</v>
      </c>
      <c r="N86" s="427">
        <f t="shared" ref="N86" si="262">N85*$G85</f>
        <v>0</v>
      </c>
      <c r="O86" s="428">
        <f t="shared" ref="O86" si="263">O85*$G85</f>
        <v>0</v>
      </c>
      <c r="P86" s="429">
        <f t="shared" si="79"/>
        <v>0</v>
      </c>
      <c r="Q86" s="228"/>
    </row>
    <row r="87" spans="2:17" ht="5.25" customHeight="1" thickTop="1" thickBot="1"/>
    <row r="88" spans="2:17" ht="15.75" thickTop="1">
      <c r="B88" s="422"/>
      <c r="C88" s="508">
        <f>C85+1</f>
        <v>36</v>
      </c>
      <c r="D88" s="530" t="s">
        <v>235</v>
      </c>
      <c r="E88" s="532" t="s">
        <v>179</v>
      </c>
      <c r="F88" s="529" t="s">
        <v>180</v>
      </c>
      <c r="G88" s="430">
        <v>20526</v>
      </c>
      <c r="H88" s="421" t="s">
        <v>312</v>
      </c>
      <c r="I88" s="420">
        <f t="shared" ref="I88:O88" si="264">I20</f>
        <v>1</v>
      </c>
      <c r="J88" s="420">
        <f t="shared" si="264"/>
        <v>4</v>
      </c>
      <c r="K88" s="420">
        <f t="shared" si="264"/>
        <v>8</v>
      </c>
      <c r="L88" s="420">
        <f t="shared" si="264"/>
        <v>0</v>
      </c>
      <c r="M88" s="420">
        <f t="shared" si="264"/>
        <v>18</v>
      </c>
      <c r="N88" s="420">
        <f t="shared" si="264"/>
        <v>0</v>
      </c>
      <c r="O88" s="431">
        <f t="shared" si="264"/>
        <v>11</v>
      </c>
      <c r="P88" s="432">
        <f t="shared" si="79"/>
        <v>42</v>
      </c>
    </row>
    <row r="89" spans="2:17" ht="15.75" thickBot="1">
      <c r="B89" s="423"/>
      <c r="C89" s="424"/>
      <c r="D89" s="531" t="s">
        <v>235</v>
      </c>
      <c r="E89" s="533" t="s">
        <v>179</v>
      </c>
      <c r="F89" s="526" t="s">
        <v>180</v>
      </c>
      <c r="G89" s="425" t="s">
        <v>548</v>
      </c>
      <c r="H89" s="426" t="s">
        <v>335</v>
      </c>
      <c r="I89" s="427">
        <f t="shared" ref="I89" si="265">I88*$G88</f>
        <v>20526</v>
      </c>
      <c r="J89" s="427">
        <f t="shared" ref="J89" si="266">J88*$G88</f>
        <v>82104</v>
      </c>
      <c r="K89" s="427">
        <f t="shared" ref="K89" si="267">K88*$G88</f>
        <v>164208</v>
      </c>
      <c r="L89" s="427">
        <f t="shared" ref="L89" si="268">L88*$G88</f>
        <v>0</v>
      </c>
      <c r="M89" s="427">
        <f t="shared" ref="M89" si="269">M88*$G88</f>
        <v>369468</v>
      </c>
      <c r="N89" s="427">
        <f t="shared" ref="N89" si="270">N88*$G88</f>
        <v>0</v>
      </c>
      <c r="O89" s="428">
        <f t="shared" ref="O89" si="271">O88*$G88</f>
        <v>225786</v>
      </c>
      <c r="P89" s="429">
        <f t="shared" si="79"/>
        <v>862092</v>
      </c>
      <c r="Q89" s="228"/>
    </row>
    <row r="90" spans="2:17" ht="5.25" customHeight="1" thickTop="1" thickBot="1"/>
    <row r="91" spans="2:17" ht="15.75" thickTop="1">
      <c r="B91" s="422"/>
      <c r="C91" s="508">
        <f>C88+1</f>
        <v>37</v>
      </c>
      <c r="D91" s="530" t="s">
        <v>327</v>
      </c>
      <c r="E91" s="532" t="s">
        <v>184</v>
      </c>
      <c r="F91" s="529" t="s">
        <v>183</v>
      </c>
      <c r="G91" s="430">
        <v>115300</v>
      </c>
      <c r="H91" s="421" t="s">
        <v>312</v>
      </c>
      <c r="I91" s="420"/>
      <c r="J91" s="420"/>
      <c r="K91" s="420"/>
      <c r="L91" s="420"/>
      <c r="M91" s="420"/>
      <c r="N91" s="420"/>
      <c r="O91" s="431">
        <v>1</v>
      </c>
      <c r="P91" s="432">
        <f t="shared" si="79"/>
        <v>1</v>
      </c>
    </row>
    <row r="92" spans="2:17" ht="15.75" thickBot="1">
      <c r="B92" s="423"/>
      <c r="C92" s="424"/>
      <c r="D92" s="531" t="s">
        <v>327</v>
      </c>
      <c r="E92" s="533" t="s">
        <v>184</v>
      </c>
      <c r="F92" s="526" t="s">
        <v>183</v>
      </c>
      <c r="G92" s="425" t="s">
        <v>546</v>
      </c>
      <c r="H92" s="426" t="s">
        <v>335</v>
      </c>
      <c r="I92" s="427">
        <f t="shared" ref="I92" si="272">I91*$G91</f>
        <v>0</v>
      </c>
      <c r="J92" s="427">
        <f t="shared" ref="J92" si="273">J91*$G91</f>
        <v>0</v>
      </c>
      <c r="K92" s="427">
        <f t="shared" ref="K92" si="274">K91*$G91</f>
        <v>0</v>
      </c>
      <c r="L92" s="427">
        <f t="shared" ref="L92" si="275">L91*$G91</f>
        <v>0</v>
      </c>
      <c r="M92" s="427">
        <f t="shared" ref="M92" si="276">M91*$G91</f>
        <v>0</v>
      </c>
      <c r="N92" s="427">
        <f t="shared" ref="N92" si="277">N91*$G91</f>
        <v>0</v>
      </c>
      <c r="O92" s="428">
        <f t="shared" ref="O92" si="278">O91*$G91</f>
        <v>115300</v>
      </c>
      <c r="P92" s="429">
        <f t="shared" si="79"/>
        <v>115300</v>
      </c>
      <c r="Q92" s="228"/>
    </row>
    <row r="93" spans="2:17" ht="5.25" customHeight="1" thickTop="1" thickBot="1"/>
    <row r="94" spans="2:17" ht="15.75" thickTop="1">
      <c r="B94" s="422"/>
      <c r="C94" s="508">
        <f>C91+1</f>
        <v>38</v>
      </c>
      <c r="D94" s="530" t="s">
        <v>539</v>
      </c>
      <c r="E94" s="532" t="s">
        <v>187</v>
      </c>
      <c r="F94" s="529" t="s">
        <v>189</v>
      </c>
      <c r="G94" s="430">
        <v>4533200</v>
      </c>
      <c r="H94" s="421" t="s">
        <v>312</v>
      </c>
      <c r="I94" s="420"/>
      <c r="J94" s="420"/>
      <c r="K94" s="420"/>
      <c r="L94" s="420"/>
      <c r="M94" s="420"/>
      <c r="N94" s="420"/>
      <c r="O94" s="431">
        <v>1</v>
      </c>
      <c r="P94" s="432">
        <f t="shared" si="79"/>
        <v>1</v>
      </c>
    </row>
    <row r="95" spans="2:17" ht="15.75" thickBot="1">
      <c r="B95" s="423"/>
      <c r="C95" s="424"/>
      <c r="D95" s="531" t="s">
        <v>539</v>
      </c>
      <c r="E95" s="533" t="s">
        <v>187</v>
      </c>
      <c r="F95" s="526" t="s">
        <v>189</v>
      </c>
      <c r="G95" s="425" t="s">
        <v>546</v>
      </c>
      <c r="H95" s="426" t="s">
        <v>335</v>
      </c>
      <c r="I95" s="427">
        <f t="shared" ref="I95" si="279">I94*$G94</f>
        <v>0</v>
      </c>
      <c r="J95" s="427">
        <f t="shared" ref="J95" si="280">J94*$G94</f>
        <v>0</v>
      </c>
      <c r="K95" s="427">
        <f t="shared" ref="K95" si="281">K94*$G94</f>
        <v>0</v>
      </c>
      <c r="L95" s="427">
        <f t="shared" ref="L95" si="282">L94*$G94</f>
        <v>0</v>
      </c>
      <c r="M95" s="427">
        <f t="shared" ref="M95" si="283">M94*$G94</f>
        <v>0</v>
      </c>
      <c r="N95" s="427">
        <f t="shared" ref="N95" si="284">N94*$G94</f>
        <v>0</v>
      </c>
      <c r="O95" s="428">
        <f t="shared" ref="O95" si="285">O94*$G94</f>
        <v>4533200</v>
      </c>
      <c r="P95" s="429">
        <f t="shared" si="79"/>
        <v>4533200</v>
      </c>
      <c r="Q95" s="228"/>
    </row>
    <row r="96" spans="2:17" ht="5.25" customHeight="1" thickTop="1" thickBot="1"/>
    <row r="97" spans="2:17" ht="15.75" thickTop="1">
      <c r="B97" s="422"/>
      <c r="C97" s="508">
        <f>C94+1</f>
        <v>39</v>
      </c>
      <c r="D97" s="530" t="s">
        <v>540</v>
      </c>
      <c r="E97" s="532"/>
      <c r="F97" s="529" t="s">
        <v>197</v>
      </c>
      <c r="G97" s="430">
        <v>2586</v>
      </c>
      <c r="H97" s="421" t="s">
        <v>312</v>
      </c>
      <c r="I97" s="420"/>
      <c r="J97" s="420">
        <v>380</v>
      </c>
      <c r="K97" s="420"/>
      <c r="L97" s="420"/>
      <c r="M97" s="420"/>
      <c r="N97" s="420"/>
      <c r="O97" s="431"/>
      <c r="P97" s="432">
        <f t="shared" si="79"/>
        <v>380</v>
      </c>
    </row>
    <row r="98" spans="2:17" ht="15.75" thickBot="1">
      <c r="B98" s="423"/>
      <c r="C98" s="424"/>
      <c r="D98" s="531" t="s">
        <v>540</v>
      </c>
      <c r="E98" s="533"/>
      <c r="F98" s="526" t="s">
        <v>197</v>
      </c>
      <c r="G98" s="425" t="s">
        <v>408</v>
      </c>
      <c r="H98" s="426" t="s">
        <v>335</v>
      </c>
      <c r="I98" s="427">
        <f t="shared" ref="I98" si="286">I97*$G97</f>
        <v>0</v>
      </c>
      <c r="J98" s="427">
        <f t="shared" ref="J98" si="287">J97*$G97</f>
        <v>982680</v>
      </c>
      <c r="K98" s="427">
        <f t="shared" ref="K98" si="288">K97*$G97</f>
        <v>0</v>
      </c>
      <c r="L98" s="427">
        <f t="shared" ref="L98" si="289">L97*$G97</f>
        <v>0</v>
      </c>
      <c r="M98" s="427">
        <f t="shared" ref="M98" si="290">M97*$G97</f>
        <v>0</v>
      </c>
      <c r="N98" s="427">
        <f t="shared" ref="N98" si="291">N97*$G97</f>
        <v>0</v>
      </c>
      <c r="O98" s="428">
        <f t="shared" ref="O98" si="292">O97*$G97</f>
        <v>0</v>
      </c>
      <c r="P98" s="429">
        <f t="shared" ref="P98:P115" si="293">SUM(I98:O98)</f>
        <v>982680</v>
      </c>
      <c r="Q98" s="228"/>
    </row>
    <row r="99" spans="2:17" ht="15.75" thickTop="1">
      <c r="B99" s="422"/>
      <c r="C99" s="508">
        <f>C97+1</f>
        <v>40</v>
      </c>
      <c r="D99" s="530" t="s">
        <v>540</v>
      </c>
      <c r="E99" s="532"/>
      <c r="F99" s="529" t="s">
        <v>199</v>
      </c>
      <c r="G99" s="430">
        <v>1799.6</v>
      </c>
      <c r="H99" s="421" t="s">
        <v>312</v>
      </c>
      <c r="I99" s="420"/>
      <c r="J99" s="420"/>
      <c r="K99" s="420">
        <v>1380</v>
      </c>
      <c r="L99" s="420"/>
      <c r="M99" s="420"/>
      <c r="N99" s="420"/>
      <c r="O99" s="431"/>
      <c r="P99" s="432">
        <f t="shared" si="293"/>
        <v>1380</v>
      </c>
    </row>
    <row r="100" spans="2:17" ht="15.75" thickBot="1">
      <c r="B100" s="423"/>
      <c r="C100" s="424"/>
      <c r="D100" s="531" t="s">
        <v>540</v>
      </c>
      <c r="E100" s="533"/>
      <c r="F100" s="526" t="s">
        <v>199</v>
      </c>
      <c r="G100" s="425" t="s">
        <v>408</v>
      </c>
      <c r="H100" s="426" t="s">
        <v>335</v>
      </c>
      <c r="I100" s="427">
        <f t="shared" ref="I100" si="294">I99*$G99</f>
        <v>0</v>
      </c>
      <c r="J100" s="427">
        <f t="shared" ref="J100" si="295">J99*$G99</f>
        <v>0</v>
      </c>
      <c r="K100" s="427">
        <f t="shared" ref="K100" si="296">K99*$G99</f>
        <v>2483448</v>
      </c>
      <c r="L100" s="427">
        <f t="shared" ref="L100" si="297">L99*$G99</f>
        <v>0</v>
      </c>
      <c r="M100" s="427">
        <f t="shared" ref="M100" si="298">M99*$G99</f>
        <v>0</v>
      </c>
      <c r="N100" s="427">
        <f t="shared" ref="N100" si="299">N99*$G99</f>
        <v>0</v>
      </c>
      <c r="O100" s="428">
        <f t="shared" ref="O100" si="300">O99*$G99</f>
        <v>0</v>
      </c>
      <c r="P100" s="429">
        <f t="shared" si="293"/>
        <v>2483448</v>
      </c>
      <c r="Q100" s="228"/>
    </row>
    <row r="101" spans="2:17" ht="15.75" thickTop="1">
      <c r="B101" s="422"/>
      <c r="C101" s="508">
        <f t="shared" ref="C101" si="301">C99+1</f>
        <v>41</v>
      </c>
      <c r="D101" s="530" t="s">
        <v>540</v>
      </c>
      <c r="E101" s="532"/>
      <c r="F101" s="529" t="s">
        <v>201</v>
      </c>
      <c r="G101" s="430">
        <v>1660</v>
      </c>
      <c r="H101" s="421" t="s">
        <v>312</v>
      </c>
      <c r="I101" s="420"/>
      <c r="J101" s="420"/>
      <c r="K101" s="420"/>
      <c r="L101" s="420"/>
      <c r="M101" s="420">
        <v>2400</v>
      </c>
      <c r="N101" s="420"/>
      <c r="O101" s="431"/>
      <c r="P101" s="432">
        <f t="shared" si="293"/>
        <v>2400</v>
      </c>
    </row>
    <row r="102" spans="2:17" ht="15.75" thickBot="1">
      <c r="B102" s="423"/>
      <c r="C102" s="424"/>
      <c r="D102" s="531" t="s">
        <v>540</v>
      </c>
      <c r="E102" s="533"/>
      <c r="F102" s="526" t="s">
        <v>201</v>
      </c>
      <c r="G102" s="425" t="s">
        <v>408</v>
      </c>
      <c r="H102" s="426" t="s">
        <v>335</v>
      </c>
      <c r="I102" s="427">
        <f t="shared" ref="I102" si="302">I101*$G101</f>
        <v>0</v>
      </c>
      <c r="J102" s="427">
        <f t="shared" ref="J102" si="303">J101*$G101</f>
        <v>0</v>
      </c>
      <c r="K102" s="427">
        <f t="shared" ref="K102" si="304">K101*$G101</f>
        <v>0</v>
      </c>
      <c r="L102" s="427">
        <f t="shared" ref="L102" si="305">L101*$G101</f>
        <v>0</v>
      </c>
      <c r="M102" s="427">
        <f t="shared" ref="M102" si="306">M101*$G101</f>
        <v>3984000</v>
      </c>
      <c r="N102" s="427">
        <f t="shared" ref="N102" si="307">N101*$G101</f>
        <v>0</v>
      </c>
      <c r="O102" s="428">
        <f t="shared" ref="O102" si="308">O101*$G101</f>
        <v>0</v>
      </c>
      <c r="P102" s="429">
        <f t="shared" si="293"/>
        <v>3984000</v>
      </c>
      <c r="Q102" s="228"/>
    </row>
    <row r="103" spans="2:17" ht="15.75" thickTop="1">
      <c r="B103" s="422"/>
      <c r="C103" s="508">
        <f t="shared" ref="C103" si="309">C101+1</f>
        <v>42</v>
      </c>
      <c r="D103" s="530" t="s">
        <v>540</v>
      </c>
      <c r="E103" s="532"/>
      <c r="F103" s="529" t="s">
        <v>202</v>
      </c>
      <c r="G103" s="430">
        <v>1880</v>
      </c>
      <c r="H103" s="421" t="s">
        <v>312</v>
      </c>
      <c r="I103" s="420"/>
      <c r="J103" s="420"/>
      <c r="K103" s="420"/>
      <c r="L103" s="420"/>
      <c r="M103" s="420">
        <v>1800</v>
      </c>
      <c r="N103" s="420"/>
      <c r="O103" s="431"/>
      <c r="P103" s="432">
        <f t="shared" si="293"/>
        <v>1800</v>
      </c>
    </row>
    <row r="104" spans="2:17" ht="15.75" thickBot="1">
      <c r="B104" s="423"/>
      <c r="C104" s="424"/>
      <c r="D104" s="531" t="s">
        <v>540</v>
      </c>
      <c r="E104" s="533"/>
      <c r="F104" s="526" t="s">
        <v>202</v>
      </c>
      <c r="G104" s="425" t="s">
        <v>408</v>
      </c>
      <c r="H104" s="426" t="s">
        <v>335</v>
      </c>
      <c r="I104" s="427">
        <f t="shared" ref="I104" si="310">I103*$G103</f>
        <v>0</v>
      </c>
      <c r="J104" s="427">
        <f t="shared" ref="J104" si="311">J103*$G103</f>
        <v>0</v>
      </c>
      <c r="K104" s="427">
        <f t="shared" ref="K104" si="312">K103*$G103</f>
        <v>0</v>
      </c>
      <c r="L104" s="427">
        <f t="shared" ref="L104" si="313">L103*$G103</f>
        <v>0</v>
      </c>
      <c r="M104" s="427">
        <f t="shared" ref="M104" si="314">M103*$G103</f>
        <v>3384000</v>
      </c>
      <c r="N104" s="427">
        <f t="shared" ref="N104" si="315">N103*$G103</f>
        <v>0</v>
      </c>
      <c r="O104" s="428">
        <f t="shared" ref="O104" si="316">O103*$G103</f>
        <v>0</v>
      </c>
      <c r="P104" s="429">
        <f t="shared" si="293"/>
        <v>3384000</v>
      </c>
      <c r="Q104" s="228"/>
    </row>
    <row r="105" spans="2:17" ht="15.75" thickTop="1">
      <c r="B105" s="422"/>
      <c r="C105" s="508">
        <f t="shared" ref="C105" si="317">C103+1</f>
        <v>43</v>
      </c>
      <c r="D105" s="530" t="s">
        <v>540</v>
      </c>
      <c r="E105" s="532"/>
      <c r="F105" s="529" t="s">
        <v>206</v>
      </c>
      <c r="G105" s="430">
        <v>950</v>
      </c>
      <c r="H105" s="421" t="s">
        <v>312</v>
      </c>
      <c r="I105" s="420"/>
      <c r="J105" s="420"/>
      <c r="K105" s="420"/>
      <c r="L105" s="420"/>
      <c r="M105" s="420"/>
      <c r="N105" s="420"/>
      <c r="O105" s="431">
        <v>1020</v>
      </c>
      <c r="P105" s="432">
        <f t="shared" si="293"/>
        <v>1020</v>
      </c>
    </row>
    <row r="106" spans="2:17" ht="15.75" thickBot="1">
      <c r="B106" s="423"/>
      <c r="C106" s="424"/>
      <c r="D106" s="531" t="s">
        <v>540</v>
      </c>
      <c r="E106" s="533"/>
      <c r="F106" s="526" t="s">
        <v>206</v>
      </c>
      <c r="G106" s="425" t="s">
        <v>408</v>
      </c>
      <c r="H106" s="426" t="s">
        <v>335</v>
      </c>
      <c r="I106" s="427">
        <f t="shared" ref="I106" si="318">I105*$G105</f>
        <v>0</v>
      </c>
      <c r="J106" s="427">
        <f t="shared" ref="J106" si="319">J105*$G105</f>
        <v>0</v>
      </c>
      <c r="K106" s="427">
        <f t="shared" ref="K106" si="320">K105*$G105</f>
        <v>0</v>
      </c>
      <c r="L106" s="427">
        <f t="shared" ref="L106" si="321">L105*$G105</f>
        <v>0</v>
      </c>
      <c r="M106" s="427">
        <f t="shared" ref="M106" si="322">M105*$G105</f>
        <v>0</v>
      </c>
      <c r="N106" s="427">
        <f t="shared" ref="N106" si="323">N105*$G105</f>
        <v>0</v>
      </c>
      <c r="O106" s="428">
        <f t="shared" ref="O106" si="324">O105*$G105</f>
        <v>969000</v>
      </c>
      <c r="P106" s="429">
        <f t="shared" si="293"/>
        <v>969000</v>
      </c>
      <c r="Q106" s="228"/>
    </row>
    <row r="107" spans="2:17" ht="15.75" thickTop="1">
      <c r="B107" s="422"/>
      <c r="C107" s="508">
        <f t="shared" ref="C107" si="325">C105+1</f>
        <v>44</v>
      </c>
      <c r="D107" s="530" t="s">
        <v>540</v>
      </c>
      <c r="E107" s="532"/>
      <c r="F107" s="529" t="s">
        <v>212</v>
      </c>
      <c r="G107" s="430">
        <v>68700.960000000006</v>
      </c>
      <c r="H107" s="421" t="s">
        <v>312</v>
      </c>
      <c r="I107" s="420"/>
      <c r="J107" s="420"/>
      <c r="K107" s="420"/>
      <c r="L107" s="420">
        <v>0.6</v>
      </c>
      <c r="M107" s="420">
        <v>0.4</v>
      </c>
      <c r="N107" s="420"/>
      <c r="O107" s="431"/>
      <c r="P107" s="432">
        <f t="shared" si="293"/>
        <v>1</v>
      </c>
    </row>
    <row r="108" spans="2:17" ht="15.75" thickBot="1">
      <c r="B108" s="423"/>
      <c r="C108" s="424"/>
      <c r="D108" s="531" t="s">
        <v>540</v>
      </c>
      <c r="E108" s="533"/>
      <c r="F108" s="526" t="s">
        <v>212</v>
      </c>
      <c r="G108" s="425" t="s">
        <v>408</v>
      </c>
      <c r="H108" s="426" t="s">
        <v>335</v>
      </c>
      <c r="I108" s="427">
        <f t="shared" ref="I108" si="326">I107*$G107</f>
        <v>0</v>
      </c>
      <c r="J108" s="427">
        <f t="shared" ref="J108" si="327">J107*$G107</f>
        <v>0</v>
      </c>
      <c r="K108" s="427">
        <f t="shared" ref="K108" si="328">K107*$G107</f>
        <v>0</v>
      </c>
      <c r="L108" s="427">
        <f t="shared" ref="L108" si="329">L107*$G107</f>
        <v>41220.576000000001</v>
      </c>
      <c r="M108" s="427">
        <f t="shared" ref="M108" si="330">M107*$G107</f>
        <v>27480.384000000005</v>
      </c>
      <c r="N108" s="427">
        <f t="shared" ref="N108" si="331">N107*$G107</f>
        <v>0</v>
      </c>
      <c r="O108" s="428">
        <f t="shared" ref="O108" si="332">O107*$G107</f>
        <v>0</v>
      </c>
      <c r="P108" s="429">
        <f t="shared" si="293"/>
        <v>68700.960000000006</v>
      </c>
      <c r="Q108" s="228"/>
    </row>
    <row r="109" spans="2:17" ht="16.5" thickTop="1" thickBot="1">
      <c r="B109" s="385"/>
      <c r="C109" s="447"/>
      <c r="D109" s="449" t="s">
        <v>541</v>
      </c>
      <c r="E109" s="447"/>
      <c r="F109" s="448">
        <f>SUMIF(H97:H108,"стоимость",P97:P108)</f>
        <v>11871828.960000001</v>
      </c>
      <c r="G109" s="446"/>
      <c r="H109" s="447"/>
      <c r="I109" s="447"/>
      <c r="J109" s="447"/>
      <c r="K109" s="447"/>
      <c r="L109" s="447"/>
      <c r="M109" s="447"/>
      <c r="N109" s="447"/>
      <c r="O109" s="447"/>
      <c r="P109" s="447"/>
    </row>
    <row r="110" spans="2:17" ht="15.75" thickTop="1">
      <c r="B110" s="422"/>
      <c r="C110" s="508">
        <f>C107+1</f>
        <v>45</v>
      </c>
      <c r="D110" s="530" t="s">
        <v>328</v>
      </c>
      <c r="E110" s="532"/>
      <c r="F110" s="529" t="s">
        <v>214</v>
      </c>
      <c r="G110" s="430">
        <v>500000</v>
      </c>
      <c r="H110" s="421" t="s">
        <v>312</v>
      </c>
      <c r="I110" s="420">
        <v>1</v>
      </c>
      <c r="J110" s="420"/>
      <c r="K110" s="420"/>
      <c r="L110" s="420"/>
      <c r="M110" s="420"/>
      <c r="N110" s="420"/>
      <c r="O110" s="431"/>
      <c r="P110" s="432">
        <f t="shared" si="293"/>
        <v>1</v>
      </c>
    </row>
    <row r="111" spans="2:17" ht="15.75" thickBot="1">
      <c r="B111" s="423"/>
      <c r="C111" s="424"/>
      <c r="D111" s="531" t="s">
        <v>328</v>
      </c>
      <c r="E111" s="533"/>
      <c r="F111" s="526" t="s">
        <v>214</v>
      </c>
      <c r="G111" s="425" t="s">
        <v>547</v>
      </c>
      <c r="H111" s="426" t="s">
        <v>335</v>
      </c>
      <c r="I111" s="427">
        <f t="shared" ref="I111" si="333">I110*$G110</f>
        <v>500000</v>
      </c>
      <c r="J111" s="427">
        <f t="shared" ref="J111" si="334">J110*$G110</f>
        <v>0</v>
      </c>
      <c r="K111" s="427">
        <f t="shared" ref="K111" si="335">K110*$G110</f>
        <v>0</v>
      </c>
      <c r="L111" s="427">
        <f t="shared" ref="L111" si="336">L110*$G110</f>
        <v>0</v>
      </c>
      <c r="M111" s="427">
        <f t="shared" ref="M111" si="337">M110*$G110</f>
        <v>0</v>
      </c>
      <c r="N111" s="427">
        <f t="shared" ref="N111" si="338">N110*$G110</f>
        <v>0</v>
      </c>
      <c r="O111" s="428">
        <f t="shared" ref="O111" si="339">O110*$G110</f>
        <v>0</v>
      </c>
      <c r="P111" s="429">
        <f t="shared" si="293"/>
        <v>500000</v>
      </c>
      <c r="Q111" s="228"/>
    </row>
    <row r="112" spans="2:17" ht="15.75" thickTop="1">
      <c r="B112" s="422"/>
      <c r="C112" s="508">
        <f>C110+1</f>
        <v>46</v>
      </c>
      <c r="D112" s="530" t="s">
        <v>328</v>
      </c>
      <c r="E112" s="532"/>
      <c r="F112" s="529" t="s">
        <v>217</v>
      </c>
      <c r="G112" s="512">
        <v>0.1045</v>
      </c>
      <c r="H112" s="421" t="s">
        <v>312</v>
      </c>
      <c r="I112" s="420"/>
      <c r="J112" s="420"/>
      <c r="K112" s="420"/>
      <c r="L112" s="420"/>
      <c r="M112" s="420"/>
      <c r="N112" s="420"/>
      <c r="O112" s="431"/>
      <c r="P112" s="432">
        <f t="shared" si="293"/>
        <v>0</v>
      </c>
    </row>
    <row r="113" spans="2:17" ht="15.75" thickBot="1">
      <c r="B113" s="423"/>
      <c r="C113" s="424"/>
      <c r="D113" s="531" t="s">
        <v>328</v>
      </c>
      <c r="E113" s="533"/>
      <c r="F113" s="526" t="s">
        <v>217</v>
      </c>
      <c r="G113" s="425" t="s">
        <v>454</v>
      </c>
      <c r="H113" s="426" t="s">
        <v>335</v>
      </c>
      <c r="I113" s="427">
        <f t="shared" ref="I113:N113" si="340">(I98+I100+I102+I104+I106+I108+I131+I133+I135+I146)*$G$112</f>
        <v>767040.56260920002</v>
      </c>
      <c r="J113" s="427">
        <f t="shared" si="340"/>
        <v>102690.06</v>
      </c>
      <c r="K113" s="427">
        <f t="shared" si="340"/>
        <v>259520.31599999999</v>
      </c>
      <c r="L113" s="427">
        <f t="shared" si="340"/>
        <v>4307.5501919999997</v>
      </c>
      <c r="M113" s="427">
        <f t="shared" si="340"/>
        <v>772827.70012799988</v>
      </c>
      <c r="N113" s="427">
        <f t="shared" si="340"/>
        <v>0</v>
      </c>
      <c r="O113" s="428">
        <f>(O98+O100+O102+O104+O106+O108+O131+O133+O135+O146)*$G$112</f>
        <v>101260.5</v>
      </c>
      <c r="P113" s="429">
        <f t="shared" si="293"/>
        <v>2007646.6889292002</v>
      </c>
      <c r="Q113" s="228"/>
    </row>
    <row r="114" spans="2:17" ht="15.75" thickTop="1">
      <c r="B114" s="422"/>
      <c r="C114" s="508">
        <f>C112+1</f>
        <v>47</v>
      </c>
      <c r="D114" s="530" t="s">
        <v>328</v>
      </c>
      <c r="E114" s="532"/>
      <c r="F114" s="529" t="s">
        <v>218</v>
      </c>
      <c r="G114" s="430">
        <v>11871828.960000001</v>
      </c>
      <c r="H114" s="421" t="s">
        <v>312</v>
      </c>
      <c r="I114" s="420">
        <v>3.1649999999999998E-2</v>
      </c>
      <c r="J114" s="420"/>
      <c r="K114" s="420"/>
      <c r="L114" s="420"/>
      <c r="M114" s="420"/>
      <c r="N114" s="420"/>
      <c r="O114" s="431"/>
      <c r="P114" s="432">
        <f t="shared" si="293"/>
        <v>3.1649999999999998E-2</v>
      </c>
    </row>
    <row r="115" spans="2:17" ht="15.75" thickBot="1">
      <c r="B115" s="423"/>
      <c r="C115" s="424"/>
      <c r="D115" s="531" t="s">
        <v>328</v>
      </c>
      <c r="E115" s="533"/>
      <c r="F115" s="526" t="s">
        <v>218</v>
      </c>
      <c r="G115" s="425" t="s">
        <v>547</v>
      </c>
      <c r="H115" s="426" t="s">
        <v>335</v>
      </c>
      <c r="I115" s="427">
        <f t="shared" ref="I115" si="341">I114*$G114</f>
        <v>375743.38658400002</v>
      </c>
      <c r="J115" s="427">
        <f t="shared" ref="J115" si="342">J114*$G114</f>
        <v>0</v>
      </c>
      <c r="K115" s="427">
        <f t="shared" ref="K115" si="343">K114*$G114</f>
        <v>0</v>
      </c>
      <c r="L115" s="427">
        <f t="shared" ref="L115" si="344">L114*$G114</f>
        <v>0</v>
      </c>
      <c r="M115" s="427">
        <f t="shared" ref="M115" si="345">M114*$G114</f>
        <v>0</v>
      </c>
      <c r="N115" s="427">
        <f t="shared" ref="N115" si="346">N114*$G114</f>
        <v>0</v>
      </c>
      <c r="O115" s="428">
        <f t="shared" ref="O115" si="347">O114*$G114</f>
        <v>0</v>
      </c>
      <c r="P115" s="429">
        <f t="shared" si="293"/>
        <v>375743.38658400002</v>
      </c>
      <c r="Q115" s="228"/>
    </row>
    <row r="116" spans="2:17" ht="15.75" thickTop="1">
      <c r="B116" s="385"/>
      <c r="C116" s="447"/>
      <c r="D116" s="449" t="s">
        <v>627</v>
      </c>
      <c r="E116" s="447"/>
      <c r="F116" s="475">
        <f>SUMIF(H110:H115,"стоимость",P110:P115)</f>
        <v>2883390.0755132004</v>
      </c>
      <c r="G116" s="446"/>
      <c r="H116" s="447"/>
      <c r="I116" s="447"/>
      <c r="J116" s="447"/>
      <c r="K116" s="447"/>
      <c r="L116" s="447"/>
      <c r="M116" s="447"/>
      <c r="N116" s="447"/>
      <c r="O116" s="447"/>
      <c r="P116" s="447"/>
    </row>
    <row r="117" spans="2:17" ht="18.75">
      <c r="B117" s="396"/>
      <c r="C117" s="405" t="s">
        <v>542</v>
      </c>
      <c r="D117" s="398"/>
      <c r="E117" s="397"/>
      <c r="F117" s="406">
        <f>F116+F109+P95+P92+P89+P86+F84+F73+F68+F57+F48+F33+P21</f>
        <v>101191801.69406119</v>
      </c>
      <c r="G117" s="400"/>
      <c r="H117" s="401"/>
      <c r="I117" s="399"/>
      <c r="J117" s="399"/>
      <c r="K117" s="399"/>
      <c r="L117" s="399"/>
      <c r="M117" s="399"/>
      <c r="N117" s="399"/>
      <c r="O117" s="399"/>
      <c r="P117" s="399"/>
    </row>
    <row r="118" spans="2:17">
      <c r="F118" s="271">
        <f>F117-'[2]Скважина пример'!$D$173</f>
        <v>332752.70209501684</v>
      </c>
    </row>
    <row r="119" spans="2:17" ht="16.5" thickBot="1">
      <c r="B119" s="373">
        <v>3</v>
      </c>
      <c r="C119" s="373" t="s">
        <v>322</v>
      </c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</row>
    <row r="120" spans="2:17" ht="15.75" thickTop="1">
      <c r="B120" s="422"/>
      <c r="C120" s="508">
        <f>C114+1</f>
        <v>48</v>
      </c>
      <c r="D120" s="530" t="s">
        <v>322</v>
      </c>
      <c r="E120" s="532"/>
      <c r="F120" s="529" t="s">
        <v>223</v>
      </c>
      <c r="G120" s="430">
        <v>12057246</v>
      </c>
      <c r="H120" s="421" t="s">
        <v>312</v>
      </c>
      <c r="I120" s="420">
        <v>1</v>
      </c>
      <c r="J120" s="420"/>
      <c r="K120" s="420"/>
      <c r="L120" s="420"/>
      <c r="M120" s="420"/>
      <c r="N120" s="420"/>
      <c r="O120" s="431"/>
      <c r="P120" s="432">
        <f t="shared" ref="P120:P141" si="348">SUM(I120:O120)</f>
        <v>1</v>
      </c>
    </row>
    <row r="121" spans="2:17" ht="15.75" thickBot="1">
      <c r="B121" s="423"/>
      <c r="C121" s="424"/>
      <c r="D121" s="531" t="s">
        <v>322</v>
      </c>
      <c r="E121" s="533"/>
      <c r="F121" s="526" t="s">
        <v>223</v>
      </c>
      <c r="G121" s="425" t="s">
        <v>549</v>
      </c>
      <c r="H121" s="426" t="s">
        <v>335</v>
      </c>
      <c r="I121" s="427">
        <f t="shared" ref="I121" si="349">I120*$G120</f>
        <v>12057246</v>
      </c>
      <c r="J121" s="427">
        <f t="shared" ref="J121" si="350">J120*$G120</f>
        <v>0</v>
      </c>
      <c r="K121" s="427">
        <f t="shared" ref="K121" si="351">K120*$G120</f>
        <v>0</v>
      </c>
      <c r="L121" s="427">
        <f t="shared" ref="L121" si="352">L120*$G120</f>
        <v>0</v>
      </c>
      <c r="M121" s="427">
        <f t="shared" ref="M121" si="353">M120*$G120</f>
        <v>0</v>
      </c>
      <c r="N121" s="427">
        <f t="shared" ref="N121" si="354">N120*$G120</f>
        <v>0</v>
      </c>
      <c r="O121" s="428">
        <f t="shared" ref="O121" si="355">O120*$G120</f>
        <v>0</v>
      </c>
      <c r="P121" s="429">
        <f t="shared" si="348"/>
        <v>12057246</v>
      </c>
      <c r="Q121" s="228"/>
    </row>
    <row r="122" spans="2:17" ht="15.75" thickTop="1">
      <c r="B122" s="422"/>
      <c r="C122" s="508">
        <f>C120+1</f>
        <v>49</v>
      </c>
      <c r="D122" s="530" t="s">
        <v>322</v>
      </c>
      <c r="E122" s="532"/>
      <c r="F122" s="529" t="s">
        <v>224</v>
      </c>
      <c r="G122" s="430">
        <v>4572000</v>
      </c>
      <c r="H122" s="421" t="s">
        <v>312</v>
      </c>
      <c r="I122" s="420">
        <v>1</v>
      </c>
      <c r="J122" s="420"/>
      <c r="K122" s="420"/>
      <c r="L122" s="420"/>
      <c r="M122" s="420"/>
      <c r="N122" s="420"/>
      <c r="O122" s="431"/>
      <c r="P122" s="432">
        <f t="shared" si="348"/>
        <v>1</v>
      </c>
    </row>
    <row r="123" spans="2:17" ht="15.75" thickBot="1">
      <c r="B123" s="423"/>
      <c r="C123" s="424"/>
      <c r="D123" s="531" t="s">
        <v>322</v>
      </c>
      <c r="E123" s="533"/>
      <c r="F123" s="526" t="s">
        <v>224</v>
      </c>
      <c r="G123" s="425" t="s">
        <v>549</v>
      </c>
      <c r="H123" s="426" t="s">
        <v>335</v>
      </c>
      <c r="I123" s="427">
        <f t="shared" ref="I123" si="356">I122*$G122</f>
        <v>4572000</v>
      </c>
      <c r="J123" s="427">
        <f t="shared" ref="J123" si="357">J122*$G122</f>
        <v>0</v>
      </c>
      <c r="K123" s="427">
        <f t="shared" ref="K123" si="358">K122*$G122</f>
        <v>0</v>
      </c>
      <c r="L123" s="427">
        <f t="shared" ref="L123" si="359">L122*$G122</f>
        <v>0</v>
      </c>
      <c r="M123" s="427">
        <f t="shared" ref="M123" si="360">M122*$G122</f>
        <v>0</v>
      </c>
      <c r="N123" s="427">
        <f t="shared" ref="N123" si="361">N122*$G122</f>
        <v>0</v>
      </c>
      <c r="O123" s="428">
        <f t="shared" ref="O123" si="362">O122*$G122</f>
        <v>0</v>
      </c>
      <c r="P123" s="429">
        <f t="shared" si="348"/>
        <v>4572000</v>
      </c>
      <c r="Q123" s="228"/>
    </row>
    <row r="124" spans="2:17" ht="15.75" thickTop="1">
      <c r="B124" s="422"/>
      <c r="C124" s="508">
        <f t="shared" ref="C124" si="363">C122+1</f>
        <v>50</v>
      </c>
      <c r="D124" s="530" t="s">
        <v>322</v>
      </c>
      <c r="E124" s="532"/>
      <c r="F124" s="529" t="s">
        <v>225</v>
      </c>
      <c r="G124" s="430">
        <v>125520</v>
      </c>
      <c r="H124" s="421" t="s">
        <v>312</v>
      </c>
      <c r="I124" s="420">
        <v>9</v>
      </c>
      <c r="J124" s="420"/>
      <c r="K124" s="420"/>
      <c r="L124" s="420"/>
      <c r="M124" s="420"/>
      <c r="N124" s="420"/>
      <c r="O124" s="431"/>
      <c r="P124" s="432">
        <f t="shared" si="348"/>
        <v>9</v>
      </c>
    </row>
    <row r="125" spans="2:17" ht="15.75" thickBot="1">
      <c r="B125" s="423"/>
      <c r="C125" s="424"/>
      <c r="D125" s="531" t="s">
        <v>322</v>
      </c>
      <c r="E125" s="533"/>
      <c r="F125" s="526" t="s">
        <v>225</v>
      </c>
      <c r="G125" s="425" t="s">
        <v>550</v>
      </c>
      <c r="H125" s="426" t="s">
        <v>335</v>
      </c>
      <c r="I125" s="427">
        <f t="shared" ref="I125" si="364">I124*$G124</f>
        <v>1129680</v>
      </c>
      <c r="J125" s="427">
        <f t="shared" ref="J125" si="365">J124*$G124</f>
        <v>0</v>
      </c>
      <c r="K125" s="427">
        <f t="shared" ref="K125" si="366">K124*$G124</f>
        <v>0</v>
      </c>
      <c r="L125" s="427">
        <f t="shared" ref="L125" si="367">L124*$G124</f>
        <v>0</v>
      </c>
      <c r="M125" s="427">
        <f t="shared" ref="M125" si="368">M124*$G124</f>
        <v>0</v>
      </c>
      <c r="N125" s="427">
        <f t="shared" ref="N125" si="369">N124*$G124</f>
        <v>0</v>
      </c>
      <c r="O125" s="428">
        <f t="shared" ref="O125" si="370">O124*$G124</f>
        <v>0</v>
      </c>
      <c r="P125" s="429">
        <f t="shared" si="348"/>
        <v>1129680</v>
      </c>
      <c r="Q125" s="228"/>
    </row>
    <row r="126" spans="2:17" ht="15.75" thickTop="1">
      <c r="B126" s="422"/>
      <c r="C126" s="508">
        <f t="shared" ref="C126" si="371">C124+1</f>
        <v>51</v>
      </c>
      <c r="D126" s="530" t="s">
        <v>322</v>
      </c>
      <c r="E126" s="532"/>
      <c r="F126" s="529" t="s">
        <v>227</v>
      </c>
      <c r="G126" s="430">
        <v>0</v>
      </c>
      <c r="H126" s="421" t="s">
        <v>312</v>
      </c>
      <c r="I126" s="420"/>
      <c r="J126" s="420"/>
      <c r="K126" s="420"/>
      <c r="L126" s="420"/>
      <c r="M126" s="420"/>
      <c r="N126" s="420"/>
      <c r="O126" s="431"/>
      <c r="P126" s="432">
        <f t="shared" si="348"/>
        <v>0</v>
      </c>
    </row>
    <row r="127" spans="2:17" ht="15.75" thickBot="1">
      <c r="B127" s="423"/>
      <c r="C127" s="424"/>
      <c r="D127" s="531" t="s">
        <v>322</v>
      </c>
      <c r="E127" s="533"/>
      <c r="F127" s="526" t="s">
        <v>227</v>
      </c>
      <c r="G127" s="425" t="s">
        <v>550</v>
      </c>
      <c r="H127" s="426" t="s">
        <v>335</v>
      </c>
      <c r="I127" s="427">
        <f t="shared" ref="I127" si="372">I126*$G126</f>
        <v>0</v>
      </c>
      <c r="J127" s="427">
        <f t="shared" ref="J127" si="373">J126*$G126</f>
        <v>0</v>
      </c>
      <c r="K127" s="427">
        <f t="shared" ref="K127" si="374">K126*$G126</f>
        <v>0</v>
      </c>
      <c r="L127" s="427">
        <f t="shared" ref="L127" si="375">L126*$G126</f>
        <v>0</v>
      </c>
      <c r="M127" s="427">
        <f t="shared" ref="M127" si="376">M126*$G126</f>
        <v>0</v>
      </c>
      <c r="N127" s="427">
        <f t="shared" ref="N127" si="377">N126*$G126</f>
        <v>0</v>
      </c>
      <c r="O127" s="428">
        <f t="shared" ref="O127" si="378">O126*$G126</f>
        <v>0</v>
      </c>
      <c r="P127" s="429">
        <f t="shared" si="348"/>
        <v>0</v>
      </c>
      <c r="Q127" s="228"/>
    </row>
    <row r="128" spans="2:17" ht="15.75" thickTop="1">
      <c r="B128" s="422"/>
      <c r="C128" s="508">
        <f t="shared" ref="C128" si="379">C126+1</f>
        <v>52</v>
      </c>
      <c r="D128" s="530" t="s">
        <v>322</v>
      </c>
      <c r="E128" s="532"/>
      <c r="F128" s="529" t="s">
        <v>228</v>
      </c>
      <c r="G128" s="430">
        <v>254904</v>
      </c>
      <c r="H128" s="421" t="s">
        <v>312</v>
      </c>
      <c r="I128" s="420">
        <v>1</v>
      </c>
      <c r="J128" s="420"/>
      <c r="K128" s="420"/>
      <c r="L128" s="420"/>
      <c r="M128" s="420"/>
      <c r="N128" s="420"/>
      <c r="O128" s="431"/>
      <c r="P128" s="432">
        <f t="shared" si="348"/>
        <v>1</v>
      </c>
    </row>
    <row r="129" spans="2:17" ht="15.75" thickBot="1">
      <c r="B129" s="423"/>
      <c r="C129" s="424"/>
      <c r="D129" s="531" t="s">
        <v>322</v>
      </c>
      <c r="E129" s="533"/>
      <c r="F129" s="526" t="s">
        <v>228</v>
      </c>
      <c r="G129" s="425" t="s">
        <v>549</v>
      </c>
      <c r="H129" s="426" t="s">
        <v>335</v>
      </c>
      <c r="I129" s="427">
        <f t="shared" ref="I129" si="380">I128*$G128</f>
        <v>254904</v>
      </c>
      <c r="J129" s="427">
        <f t="shared" ref="J129" si="381">J128*$G128</f>
        <v>0</v>
      </c>
      <c r="K129" s="427">
        <f t="shared" ref="K129" si="382">K128*$G128</f>
        <v>0</v>
      </c>
      <c r="L129" s="427">
        <f t="shared" ref="L129" si="383">L128*$G128</f>
        <v>0</v>
      </c>
      <c r="M129" s="427">
        <f t="shared" ref="M129" si="384">M128*$G128</f>
        <v>0</v>
      </c>
      <c r="N129" s="427">
        <f t="shared" ref="N129" si="385">N128*$G128</f>
        <v>0</v>
      </c>
      <c r="O129" s="428">
        <f t="shared" ref="O129" si="386">O128*$G128</f>
        <v>0</v>
      </c>
      <c r="P129" s="429">
        <f t="shared" si="348"/>
        <v>254904</v>
      </c>
      <c r="Q129" s="228"/>
    </row>
    <row r="130" spans="2:17" ht="15.75" thickTop="1">
      <c r="B130" s="422"/>
      <c r="C130" s="508">
        <f t="shared" ref="C130" si="387">C128+1</f>
        <v>53</v>
      </c>
      <c r="D130" s="530" t="s">
        <v>322</v>
      </c>
      <c r="E130" s="532"/>
      <c r="F130" s="529" t="s">
        <v>229</v>
      </c>
      <c r="G130" s="430">
        <v>18900</v>
      </c>
      <c r="H130" s="421" t="s">
        <v>312</v>
      </c>
      <c r="I130" s="420">
        <v>300</v>
      </c>
      <c r="J130" s="420"/>
      <c r="K130" s="420"/>
      <c r="L130" s="420"/>
      <c r="M130" s="420"/>
      <c r="N130" s="420"/>
      <c r="O130" s="431"/>
      <c r="P130" s="432">
        <f t="shared" si="348"/>
        <v>300</v>
      </c>
    </row>
    <row r="131" spans="2:17" ht="15.75" thickBot="1">
      <c r="B131" s="423"/>
      <c r="C131" s="424"/>
      <c r="D131" s="531" t="s">
        <v>322</v>
      </c>
      <c r="E131" s="533"/>
      <c r="F131" s="526" t="s">
        <v>229</v>
      </c>
      <c r="G131" s="425" t="s">
        <v>551</v>
      </c>
      <c r="H131" s="426" t="s">
        <v>335</v>
      </c>
      <c r="I131" s="427">
        <f t="shared" ref="I131" si="388">I130*$G130</f>
        <v>5670000</v>
      </c>
      <c r="J131" s="427">
        <f t="shared" ref="J131" si="389">J130*$G130</f>
        <v>0</v>
      </c>
      <c r="K131" s="427">
        <f t="shared" ref="K131" si="390">K130*$G130</f>
        <v>0</v>
      </c>
      <c r="L131" s="427">
        <f t="shared" ref="L131" si="391">L130*$G130</f>
        <v>0</v>
      </c>
      <c r="M131" s="427">
        <f t="shared" ref="M131" si="392">M130*$G130</f>
        <v>0</v>
      </c>
      <c r="N131" s="427">
        <f t="shared" ref="N131" si="393">N130*$G130</f>
        <v>0</v>
      </c>
      <c r="O131" s="428">
        <f t="shared" ref="O131" si="394">O130*$G130</f>
        <v>0</v>
      </c>
      <c r="P131" s="429">
        <f t="shared" si="348"/>
        <v>5670000</v>
      </c>
      <c r="Q131" s="228"/>
    </row>
    <row r="132" spans="2:17" ht="15.75" thickTop="1">
      <c r="B132" s="422"/>
      <c r="C132" s="508">
        <f t="shared" ref="C132" si="395">C130+1</f>
        <v>54</v>
      </c>
      <c r="D132" s="530" t="s">
        <v>322</v>
      </c>
      <c r="E132" s="532"/>
      <c r="F132" s="529" t="s">
        <v>231</v>
      </c>
      <c r="G132" s="430">
        <v>88752</v>
      </c>
      <c r="H132" s="421" t="s">
        <v>312</v>
      </c>
      <c r="I132" s="420">
        <v>1</v>
      </c>
      <c r="J132" s="420"/>
      <c r="K132" s="420"/>
      <c r="L132" s="420"/>
      <c r="M132" s="420"/>
      <c r="N132" s="420"/>
      <c r="O132" s="431"/>
      <c r="P132" s="432">
        <f t="shared" si="348"/>
        <v>1</v>
      </c>
    </row>
    <row r="133" spans="2:17" ht="15.75" thickBot="1">
      <c r="B133" s="423"/>
      <c r="C133" s="424"/>
      <c r="D133" s="531" t="s">
        <v>322</v>
      </c>
      <c r="E133" s="533"/>
      <c r="F133" s="526" t="s">
        <v>231</v>
      </c>
      <c r="G133" s="425" t="s">
        <v>423</v>
      </c>
      <c r="H133" s="426" t="s">
        <v>335</v>
      </c>
      <c r="I133" s="427">
        <f t="shared" ref="I133" si="396">I132*$G132</f>
        <v>88752</v>
      </c>
      <c r="J133" s="427">
        <f t="shared" ref="J133" si="397">J132*$G132</f>
        <v>0</v>
      </c>
      <c r="K133" s="427">
        <f t="shared" ref="K133" si="398">K132*$G132</f>
        <v>0</v>
      </c>
      <c r="L133" s="427">
        <f t="shared" ref="L133" si="399">L132*$G132</f>
        <v>0</v>
      </c>
      <c r="M133" s="427">
        <f t="shared" ref="M133" si="400">M132*$G132</f>
        <v>0</v>
      </c>
      <c r="N133" s="427">
        <f t="shared" ref="N133" si="401">N132*$G132</f>
        <v>0</v>
      </c>
      <c r="O133" s="428">
        <f t="shared" ref="O133" si="402">O132*$G132</f>
        <v>0</v>
      </c>
      <c r="P133" s="429">
        <f t="shared" si="348"/>
        <v>88752</v>
      </c>
      <c r="Q133" s="228"/>
    </row>
    <row r="134" spans="2:17" ht="15.75" thickTop="1">
      <c r="B134" s="422"/>
      <c r="C134" s="508">
        <f t="shared" ref="C134" si="403">C132+1</f>
        <v>55</v>
      </c>
      <c r="D134" s="530" t="s">
        <v>322</v>
      </c>
      <c r="E134" s="532"/>
      <c r="F134" s="529" t="s">
        <v>233</v>
      </c>
      <c r="G134" s="430">
        <v>381349.07760000002</v>
      </c>
      <c r="H134" s="421" t="s">
        <v>312</v>
      </c>
      <c r="I134" s="420">
        <v>1</v>
      </c>
      <c r="J134" s="420"/>
      <c r="K134" s="420"/>
      <c r="L134" s="420"/>
      <c r="M134" s="420"/>
      <c r="N134" s="420"/>
      <c r="O134" s="431"/>
      <c r="P134" s="432">
        <f t="shared" si="348"/>
        <v>1</v>
      </c>
    </row>
    <row r="135" spans="2:17" ht="15.75" thickBot="1">
      <c r="B135" s="423"/>
      <c r="C135" s="424"/>
      <c r="D135" s="531" t="s">
        <v>322</v>
      </c>
      <c r="E135" s="533"/>
      <c r="F135" s="526" t="s">
        <v>233</v>
      </c>
      <c r="G135" s="425" t="s">
        <v>423</v>
      </c>
      <c r="H135" s="426" t="s">
        <v>335</v>
      </c>
      <c r="I135" s="427">
        <f t="shared" ref="I135" si="404">I134*$G134</f>
        <v>381349.07760000002</v>
      </c>
      <c r="J135" s="427">
        <f t="shared" ref="J135" si="405">J134*$G134</f>
        <v>0</v>
      </c>
      <c r="K135" s="427">
        <f t="shared" ref="K135" si="406">K134*$G134</f>
        <v>0</v>
      </c>
      <c r="L135" s="427">
        <f t="shared" ref="L135" si="407">L134*$G134</f>
        <v>0</v>
      </c>
      <c r="M135" s="427">
        <f t="shared" ref="M135" si="408">M134*$G134</f>
        <v>0</v>
      </c>
      <c r="N135" s="427">
        <f t="shared" ref="N135" si="409">N134*$G134</f>
        <v>0</v>
      </c>
      <c r="O135" s="428">
        <f t="shared" ref="O135" si="410">O134*$G134</f>
        <v>0</v>
      </c>
      <c r="P135" s="429">
        <f t="shared" si="348"/>
        <v>381349.07760000002</v>
      </c>
      <c r="Q135" s="228"/>
    </row>
    <row r="136" spans="2:17" ht="15.75" thickTop="1">
      <c r="B136" s="422"/>
      <c r="C136" s="508">
        <f t="shared" ref="C136" si="411">C134+1</f>
        <v>56</v>
      </c>
      <c r="D136" s="530" t="s">
        <v>322</v>
      </c>
      <c r="E136" s="532"/>
      <c r="F136" s="529" t="s">
        <v>234</v>
      </c>
      <c r="G136" s="430">
        <v>461147.136</v>
      </c>
      <c r="H136" s="421" t="s">
        <v>312</v>
      </c>
      <c r="I136" s="420">
        <v>1</v>
      </c>
      <c r="J136" s="420"/>
      <c r="K136" s="420"/>
      <c r="L136" s="420"/>
      <c r="M136" s="420"/>
      <c r="N136" s="420"/>
      <c r="O136" s="431"/>
      <c r="P136" s="432">
        <f t="shared" si="348"/>
        <v>1</v>
      </c>
    </row>
    <row r="137" spans="2:17" ht="15.75" thickBot="1">
      <c r="B137" s="423"/>
      <c r="C137" s="424"/>
      <c r="D137" s="531" t="s">
        <v>322</v>
      </c>
      <c r="E137" s="533"/>
      <c r="F137" s="526" t="s">
        <v>234</v>
      </c>
      <c r="G137" s="425" t="s">
        <v>549</v>
      </c>
      <c r="H137" s="426" t="s">
        <v>335</v>
      </c>
      <c r="I137" s="427">
        <f t="shared" ref="I137" si="412">I136*$G136</f>
        <v>461147.136</v>
      </c>
      <c r="J137" s="427">
        <f t="shared" ref="J137" si="413">J136*$G136</f>
        <v>0</v>
      </c>
      <c r="K137" s="427">
        <f t="shared" ref="K137" si="414">K136*$G136</f>
        <v>0</v>
      </c>
      <c r="L137" s="427">
        <f t="shared" ref="L137" si="415">L136*$G136</f>
        <v>0</v>
      </c>
      <c r="M137" s="427">
        <f t="shared" ref="M137" si="416">M136*$G136</f>
        <v>0</v>
      </c>
      <c r="N137" s="427">
        <f t="shared" ref="N137" si="417">N136*$G136</f>
        <v>0</v>
      </c>
      <c r="O137" s="428">
        <f t="shared" ref="O137" si="418">O136*$G136</f>
        <v>0</v>
      </c>
      <c r="P137" s="429">
        <f t="shared" si="348"/>
        <v>461147.136</v>
      </c>
      <c r="Q137" s="228"/>
    </row>
    <row r="138" spans="2:17" ht="15.75" thickTop="1">
      <c r="B138" s="422"/>
      <c r="C138" s="508">
        <f t="shared" ref="C138" si="419">C136+1</f>
        <v>57</v>
      </c>
      <c r="D138" s="530" t="s">
        <v>322</v>
      </c>
      <c r="E138" s="532"/>
      <c r="F138" s="529" t="s">
        <v>235</v>
      </c>
      <c r="G138" s="430">
        <v>16078.7205792</v>
      </c>
      <c r="H138" s="421" t="s">
        <v>312</v>
      </c>
      <c r="I138" s="420">
        <v>11</v>
      </c>
      <c r="J138" s="420"/>
      <c r="K138" s="420"/>
      <c r="L138" s="420"/>
      <c r="M138" s="420"/>
      <c r="N138" s="420"/>
      <c r="O138" s="431"/>
      <c r="P138" s="432">
        <f t="shared" si="348"/>
        <v>11</v>
      </c>
    </row>
    <row r="139" spans="2:17" ht="15.75" thickBot="1">
      <c r="B139" s="423"/>
      <c r="C139" s="424"/>
      <c r="D139" s="531" t="s">
        <v>322</v>
      </c>
      <c r="E139" s="533"/>
      <c r="F139" s="526" t="s">
        <v>235</v>
      </c>
      <c r="G139" s="425" t="s">
        <v>548</v>
      </c>
      <c r="H139" s="426" t="s">
        <v>335</v>
      </c>
      <c r="I139" s="427">
        <f t="shared" ref="I139" si="420">I138*$G138</f>
        <v>176865.92637120001</v>
      </c>
      <c r="J139" s="427">
        <f t="shared" ref="J139" si="421">J138*$G138</f>
        <v>0</v>
      </c>
      <c r="K139" s="427">
        <f t="shared" ref="K139" si="422">K138*$G138</f>
        <v>0</v>
      </c>
      <c r="L139" s="427">
        <f t="shared" ref="L139" si="423">L138*$G138</f>
        <v>0</v>
      </c>
      <c r="M139" s="427">
        <f t="shared" ref="M139" si="424">M138*$G138</f>
        <v>0</v>
      </c>
      <c r="N139" s="427">
        <f t="shared" ref="N139" si="425">N138*$G138</f>
        <v>0</v>
      </c>
      <c r="O139" s="428">
        <f t="shared" ref="O139" si="426">O138*$G138</f>
        <v>0</v>
      </c>
      <c r="P139" s="429">
        <f t="shared" si="348"/>
        <v>176865.92637120001</v>
      </c>
      <c r="Q139" s="228"/>
    </row>
    <row r="140" spans="2:17" ht="15.75" thickTop="1">
      <c r="B140" s="422"/>
      <c r="C140" s="508">
        <f t="shared" ref="C140" si="427">C138+1</f>
        <v>58</v>
      </c>
      <c r="D140" s="530" t="s">
        <v>322</v>
      </c>
      <c r="E140" s="532"/>
      <c r="F140" s="529" t="s">
        <v>236</v>
      </c>
      <c r="G140" s="430">
        <v>100000</v>
      </c>
      <c r="H140" s="421" t="s">
        <v>312</v>
      </c>
      <c r="I140" s="420">
        <v>1</v>
      </c>
      <c r="J140" s="420"/>
      <c r="K140" s="420"/>
      <c r="L140" s="420"/>
      <c r="M140" s="420"/>
      <c r="N140" s="420"/>
      <c r="O140" s="431"/>
      <c r="P140" s="432">
        <f t="shared" si="348"/>
        <v>1</v>
      </c>
    </row>
    <row r="141" spans="2:17" ht="15.75" thickBot="1">
      <c r="B141" s="423"/>
      <c r="C141" s="424"/>
      <c r="D141" s="531" t="s">
        <v>322</v>
      </c>
      <c r="E141" s="533"/>
      <c r="F141" s="526" t="s">
        <v>236</v>
      </c>
      <c r="G141" s="425" t="s">
        <v>549</v>
      </c>
      <c r="H141" s="426" t="s">
        <v>335</v>
      </c>
      <c r="I141" s="427">
        <f t="shared" ref="I141" si="428">I140*$G140</f>
        <v>100000</v>
      </c>
      <c r="J141" s="427">
        <f t="shared" ref="J141" si="429">J140*$G140</f>
        <v>0</v>
      </c>
      <c r="K141" s="427">
        <f t="shared" ref="K141" si="430">K140*$G140</f>
        <v>0</v>
      </c>
      <c r="L141" s="427">
        <f t="shared" ref="L141" si="431">L140*$G140</f>
        <v>0</v>
      </c>
      <c r="M141" s="427">
        <f t="shared" ref="M141" si="432">M140*$G140</f>
        <v>0</v>
      </c>
      <c r="N141" s="427">
        <f t="shared" ref="N141" si="433">N140*$G140</f>
        <v>0</v>
      </c>
      <c r="O141" s="428">
        <f t="shared" ref="O141" si="434">O140*$G140</f>
        <v>0</v>
      </c>
      <c r="P141" s="429">
        <f t="shared" si="348"/>
        <v>100000</v>
      </c>
      <c r="Q141" s="228"/>
    </row>
    <row r="142" spans="2:17" ht="19.5" thickTop="1">
      <c r="B142" s="396"/>
      <c r="C142" s="405" t="s">
        <v>544</v>
      </c>
      <c r="D142" s="398"/>
      <c r="E142" s="397"/>
      <c r="F142" s="406">
        <f>SUMIF(H120:H141,"стоимость",P120:P141)</f>
        <v>24891944.139971197</v>
      </c>
      <c r="G142" s="400"/>
      <c r="H142" s="401"/>
      <c r="I142" s="399"/>
      <c r="J142" s="399"/>
      <c r="K142" s="399"/>
      <c r="L142" s="399"/>
      <c r="M142" s="399"/>
      <c r="N142" s="399"/>
      <c r="O142" s="399"/>
      <c r="P142" s="399"/>
    </row>
    <row r="143" spans="2:17">
      <c r="F143" s="271"/>
    </row>
    <row r="144" spans="2:17" ht="16.5" thickBot="1">
      <c r="B144" s="373">
        <v>4</v>
      </c>
      <c r="C144" s="373" t="s">
        <v>323</v>
      </c>
      <c r="D144" s="372"/>
      <c r="E144" s="372"/>
      <c r="F144" s="372"/>
      <c r="G144" s="372"/>
      <c r="H144" s="372"/>
      <c r="I144" s="372"/>
      <c r="J144" s="372"/>
      <c r="K144" s="372"/>
      <c r="L144" s="372"/>
      <c r="M144" s="372"/>
      <c r="N144" s="372"/>
      <c r="O144" s="372"/>
      <c r="P144" s="372"/>
    </row>
    <row r="145" spans="1:17" ht="15.75" thickTop="1">
      <c r="B145" s="422"/>
      <c r="C145" s="508">
        <f>C140+1</f>
        <v>59</v>
      </c>
      <c r="D145" s="530" t="s">
        <v>375</v>
      </c>
      <c r="E145" s="532"/>
      <c r="F145" s="529" t="s">
        <v>241</v>
      </c>
      <c r="G145" s="430">
        <v>1200000</v>
      </c>
      <c r="H145" s="421" t="s">
        <v>312</v>
      </c>
      <c r="I145" s="420">
        <v>1</v>
      </c>
      <c r="J145" s="420"/>
      <c r="K145" s="420"/>
      <c r="L145" s="420"/>
      <c r="M145" s="420"/>
      <c r="N145" s="420"/>
      <c r="O145" s="431"/>
      <c r="P145" s="432">
        <f t="shared" ref="P145:P146" si="435">SUM(I145:O145)</f>
        <v>1</v>
      </c>
    </row>
    <row r="146" spans="1:17" ht="15.75" thickBot="1">
      <c r="B146" s="423"/>
      <c r="C146" s="424"/>
      <c r="D146" s="531" t="s">
        <v>375</v>
      </c>
      <c r="E146" s="533"/>
      <c r="F146" s="526" t="s">
        <v>241</v>
      </c>
      <c r="G146" s="425" t="s">
        <v>552</v>
      </c>
      <c r="H146" s="426" t="s">
        <v>335</v>
      </c>
      <c r="I146" s="427">
        <f t="shared" ref="I146" si="436">I145*$G145</f>
        <v>1200000</v>
      </c>
      <c r="J146" s="427">
        <f t="shared" ref="J146" si="437">J145*$G145</f>
        <v>0</v>
      </c>
      <c r="K146" s="427">
        <f t="shared" ref="K146" si="438">K145*$G145</f>
        <v>0</v>
      </c>
      <c r="L146" s="427">
        <f t="shared" ref="L146" si="439">L145*$G145</f>
        <v>0</v>
      </c>
      <c r="M146" s="427">
        <f t="shared" ref="M146" si="440">M145*$G145</f>
        <v>0</v>
      </c>
      <c r="N146" s="427">
        <f t="shared" ref="N146" si="441">N145*$G145</f>
        <v>0</v>
      </c>
      <c r="O146" s="428">
        <f t="shared" ref="O146" si="442">O145*$G145</f>
        <v>0</v>
      </c>
      <c r="P146" s="429">
        <f t="shared" si="435"/>
        <v>1200000</v>
      </c>
      <c r="Q146" s="228"/>
    </row>
    <row r="147" spans="1:17" ht="19.5" thickTop="1">
      <c r="B147" s="396"/>
      <c r="C147" s="405"/>
      <c r="D147" s="398" t="s">
        <v>543</v>
      </c>
      <c r="E147" s="397"/>
      <c r="F147" s="406">
        <f>SUMIF(H145:H146,"стоимость",P145:P146)</f>
        <v>1200000</v>
      </c>
      <c r="G147" s="400"/>
      <c r="H147" s="401"/>
      <c r="I147" s="399"/>
      <c r="J147" s="399"/>
      <c r="K147" s="399"/>
      <c r="L147" s="399"/>
      <c r="M147" s="399"/>
      <c r="N147" s="399"/>
      <c r="O147" s="399"/>
      <c r="P147" s="399"/>
    </row>
    <row r="149" spans="1:17" ht="23.25">
      <c r="A149" s="409"/>
      <c r="B149" s="409"/>
      <c r="C149" s="418" t="s">
        <v>545</v>
      </c>
      <c r="D149" s="410"/>
      <c r="E149" s="411"/>
      <c r="F149" s="433">
        <f>F147+F142+F117+F17</f>
        <v>166564745.83403239</v>
      </c>
      <c r="G149" s="412"/>
      <c r="H149" s="413"/>
      <c r="I149" s="414"/>
      <c r="J149" s="414"/>
      <c r="K149" s="414"/>
      <c r="L149" s="414"/>
      <c r="M149" s="414"/>
      <c r="N149" s="414"/>
      <c r="O149" s="414"/>
      <c r="P149" s="414"/>
    </row>
    <row r="151" spans="1:17" ht="18.75">
      <c r="B151" s="268"/>
      <c r="C151" s="268" t="s">
        <v>314</v>
      </c>
      <c r="D151" s="269"/>
      <c r="E151" s="269"/>
      <c r="F151" s="269"/>
      <c r="G151" s="494"/>
      <c r="H151" s="494"/>
      <c r="I151" s="494"/>
      <c r="J151" s="494"/>
      <c r="K151" s="494"/>
      <c r="L151" s="494"/>
      <c r="M151" s="494"/>
      <c r="N151" s="494"/>
      <c r="O151" s="494"/>
      <c r="P151" s="494"/>
    </row>
    <row r="152" spans="1:17" ht="9.75" customHeight="1"/>
    <row r="153" spans="1:17" ht="37.5">
      <c r="C153" s="493"/>
      <c r="D153" s="441" t="s">
        <v>331</v>
      </c>
      <c r="E153" s="441"/>
      <c r="F153" s="441" t="s">
        <v>329</v>
      </c>
      <c r="G153" s="441" t="s">
        <v>554</v>
      </c>
      <c r="H153" s="441" t="s">
        <v>332</v>
      </c>
      <c r="I153" s="441" t="s">
        <v>312</v>
      </c>
      <c r="J153" s="441" t="s">
        <v>348</v>
      </c>
    </row>
    <row r="154" spans="1:17" ht="6.75" customHeight="1" thickBot="1">
      <c r="C154" s="434"/>
      <c r="D154" s="435"/>
      <c r="E154" s="435"/>
      <c r="F154" s="435"/>
      <c r="G154" s="435"/>
      <c r="H154" s="435"/>
      <c r="I154" s="435"/>
      <c r="J154" s="228"/>
      <c r="K154" s="435"/>
      <c r="L154" s="435"/>
      <c r="M154" s="435"/>
      <c r="N154" s="435"/>
      <c r="O154" s="435"/>
    </row>
    <row r="155" spans="1:17" ht="18" customHeight="1" thickTop="1" thickBot="1">
      <c r="C155" s="436"/>
      <c r="D155" s="439" t="s">
        <v>375</v>
      </c>
      <c r="E155" s="437"/>
      <c r="F155" s="258" t="s">
        <v>344</v>
      </c>
      <c r="G155" s="438">
        <v>2000000</v>
      </c>
      <c r="H155" s="440" t="s">
        <v>350</v>
      </c>
      <c r="I155" s="439">
        <v>1</v>
      </c>
      <c r="J155" s="438">
        <f>G155*I155</f>
        <v>2000000</v>
      </c>
    </row>
    <row r="156" spans="1:17" ht="18" customHeight="1" thickTop="1" thickBot="1">
      <c r="C156" s="436"/>
      <c r="D156" s="439" t="s">
        <v>375</v>
      </c>
      <c r="E156" s="437"/>
      <c r="F156" s="258" t="s">
        <v>346</v>
      </c>
      <c r="G156" s="438">
        <v>700000</v>
      </c>
      <c r="H156" s="440" t="s">
        <v>350</v>
      </c>
      <c r="I156" s="439">
        <v>1</v>
      </c>
      <c r="J156" s="438">
        <f t="shared" ref="J156:J159" si="443">G156*I156</f>
        <v>700000</v>
      </c>
    </row>
    <row r="157" spans="1:17" ht="18" customHeight="1" thickTop="1" thickBot="1">
      <c r="C157" s="436"/>
      <c r="D157" s="439" t="s">
        <v>375</v>
      </c>
      <c r="E157" s="437"/>
      <c r="F157" s="258" t="s">
        <v>345</v>
      </c>
      <c r="G157" s="438">
        <v>900</v>
      </c>
      <c r="H157" s="440" t="s">
        <v>351</v>
      </c>
      <c r="I157" s="439">
        <v>2500</v>
      </c>
      <c r="J157" s="438">
        <f t="shared" si="443"/>
        <v>2250000</v>
      </c>
    </row>
    <row r="158" spans="1:17" ht="18" customHeight="1" thickTop="1" thickBot="1">
      <c r="C158" s="436"/>
      <c r="D158" s="439" t="s">
        <v>375</v>
      </c>
      <c r="E158" s="437"/>
      <c r="F158" s="258" t="s">
        <v>315</v>
      </c>
      <c r="G158" s="438">
        <v>300</v>
      </c>
      <c r="H158" s="440" t="s">
        <v>351</v>
      </c>
      <c r="I158" s="439">
        <v>700</v>
      </c>
      <c r="J158" s="438">
        <f t="shared" si="443"/>
        <v>210000</v>
      </c>
    </row>
    <row r="159" spans="1:17" ht="18" customHeight="1" thickTop="1" thickBot="1">
      <c r="C159" s="436"/>
      <c r="D159" s="439" t="s">
        <v>375</v>
      </c>
      <c r="E159" s="437"/>
      <c r="F159" s="258" t="s">
        <v>347</v>
      </c>
      <c r="G159" s="438">
        <v>500</v>
      </c>
      <c r="H159" s="440" t="s">
        <v>351</v>
      </c>
      <c r="I159" s="439">
        <v>2500</v>
      </c>
      <c r="J159" s="438">
        <f t="shared" si="443"/>
        <v>1250000</v>
      </c>
    </row>
    <row r="160" spans="1:17" ht="18" customHeight="1" thickTop="1" thickBot="1">
      <c r="C160" s="436"/>
      <c r="D160" s="439" t="s">
        <v>375</v>
      </c>
      <c r="E160" s="437"/>
      <c r="F160" s="258" t="s">
        <v>177</v>
      </c>
      <c r="G160" s="438"/>
      <c r="H160" s="440"/>
      <c r="I160" s="439"/>
      <c r="J160" s="438"/>
    </row>
    <row r="161" spans="1:18" ht="6.75" customHeight="1" thickTop="1"/>
    <row r="162" spans="1:18" ht="23.25">
      <c r="A162" s="409"/>
      <c r="B162" s="409"/>
      <c r="C162" s="418" t="s">
        <v>555</v>
      </c>
      <c r="D162" s="410"/>
      <c r="E162" s="411"/>
      <c r="F162" s="433"/>
      <c r="G162" s="412"/>
      <c r="H162" s="413"/>
      <c r="I162" s="414"/>
      <c r="J162" s="495">
        <f>SUM(J154:J161)</f>
        <v>6410000</v>
      </c>
      <c r="K162" s="414"/>
      <c r="L162" s="414"/>
      <c r="M162" s="414"/>
      <c r="N162" s="414"/>
      <c r="O162" s="414"/>
      <c r="P162" s="414"/>
    </row>
    <row r="163" spans="1:18" ht="18" customHeight="1">
      <c r="G163" s="293"/>
    </row>
    <row r="164" spans="1:18" ht="18" customHeight="1">
      <c r="A164" s="476"/>
      <c r="B164" s="476"/>
      <c r="C164" s="476"/>
      <c r="D164" s="477" t="s">
        <v>619</v>
      </c>
      <c r="E164" s="476"/>
      <c r="F164" s="476"/>
      <c r="G164" s="478"/>
      <c r="H164" s="476"/>
      <c r="I164" s="476"/>
      <c r="J164" s="476"/>
      <c r="K164" s="476"/>
      <c r="L164" s="476"/>
      <c r="M164" s="476"/>
      <c r="N164" s="476"/>
      <c r="O164" s="476"/>
      <c r="P164" s="476"/>
      <c r="Q164" s="476"/>
      <c r="R164" s="476"/>
    </row>
    <row r="165" spans="1:18" ht="9.75" customHeight="1">
      <c r="A165" s="476"/>
      <c r="R165" s="476"/>
    </row>
    <row r="166" spans="1:18" ht="18" customHeight="1">
      <c r="A166" s="476"/>
      <c r="D166" s="501" t="s">
        <v>567</v>
      </c>
      <c r="E166" s="502" t="s">
        <v>255</v>
      </c>
      <c r="F166" s="497"/>
      <c r="G166" s="496">
        <v>41518</v>
      </c>
      <c r="H166" s="496">
        <v>41548</v>
      </c>
      <c r="I166" s="496">
        <v>41579</v>
      </c>
      <c r="J166" s="496">
        <v>41609</v>
      </c>
      <c r="K166" s="496">
        <v>41640</v>
      </c>
      <c r="L166" s="496">
        <v>41671</v>
      </c>
      <c r="M166" s="496">
        <v>41699</v>
      </c>
      <c r="N166" s="496">
        <v>41730</v>
      </c>
      <c r="R166" s="476"/>
    </row>
    <row r="167" spans="1:18" ht="18" customHeight="1">
      <c r="A167" s="476"/>
      <c r="D167" s="479" t="s">
        <v>247</v>
      </c>
      <c r="E167" s="480">
        <v>41518</v>
      </c>
      <c r="F167" s="500" t="s">
        <v>613</v>
      </c>
      <c r="H167" s="498">
        <f>IF((I166-$E$171)&lt;($E$172-$E$171),(I166-$E$171),($E$172-$E$171))</f>
        <v>24</v>
      </c>
      <c r="I167" s="498">
        <f>IF(((J166-I166)+H167)&lt;($E$172-$E$171),(J166-I166),(($E$172-$E$171)-H167))</f>
        <v>18</v>
      </c>
      <c r="J167" s="498">
        <f>IF(((K166-J166)+I167+H167)&lt;($E$172-$E$171),(K166-J166),IF((($E$172-$E$171)-H167-I167)&lt;0,0,(($E$172-$E$171)-H167-I167)))</f>
        <v>0</v>
      </c>
      <c r="K167" s="498">
        <f>IF(((L166-K166)+J167+I167+H167)&lt;($E$172-$E$171),(L166-K166),IF((($E$172-$E$171)-I167-J167-H167)&lt;0,0,(($E$172-$E$171)-I167-J167-H167)))</f>
        <v>0</v>
      </c>
      <c r="L167" s="498">
        <f>IF(((M166-L166)+K167+J167+I167+H167)&lt;($E$172-$E$171),(M166-L166),IF((($E$172-$E$171)-J167-K167-I167-H167)&lt;0,0,(($E$172-$E$171)-J167-K167-I167-H167)))</f>
        <v>0</v>
      </c>
      <c r="M167" s="498">
        <f>IF(((N166-M166)+L167+K167+J167+I167+H167)&lt;($E$172-$E$171),(N166-M166),IF((($E$172-$E$171)-K167-L167-J167-I167-H167)&lt;0,0,(($E$172-$E$171)-K167-L167-J167-I167-H167)))</f>
        <v>0</v>
      </c>
      <c r="R167" s="476"/>
    </row>
    <row r="168" spans="1:18" ht="18.75">
      <c r="A168" s="476"/>
      <c r="D168" s="479" t="s">
        <v>586</v>
      </c>
      <c r="E168" s="480">
        <v>41548</v>
      </c>
      <c r="F168" s="500" t="s">
        <v>614</v>
      </c>
      <c r="H168" s="498">
        <f>IF(I167=0,0,IF(I167&gt;0,H167,H167+($E$174-$E$173)))</f>
        <v>24</v>
      </c>
      <c r="I168" s="498">
        <f>IF(I167=0,0,IF(J167&gt;0,I167,I167+($E$174-$E$173)))</f>
        <v>20</v>
      </c>
      <c r="J168" s="498">
        <f>IF(J167=0,0,IF(K167&gt;0,J167,J167+($E$174-$E$173)))</f>
        <v>0</v>
      </c>
      <c r="K168" s="498">
        <f>IF(K167=0,0,IF(L167&gt;0,K167,K167+($E$174-$E$173)))</f>
        <v>0</v>
      </c>
      <c r="L168" s="498">
        <f>IF(L167=0,0,IF(M167&gt;0,L167,L167+($E$174-$E$173)))</f>
        <v>0</v>
      </c>
      <c r="M168" s="498">
        <f>IF(M167=0,0,IF(N167&gt;0,M167,M167+($E$174-$E$173)))</f>
        <v>0</v>
      </c>
      <c r="R168" s="476"/>
    </row>
    <row r="169" spans="1:18" ht="18.75">
      <c r="A169" s="476"/>
      <c r="D169" s="479" t="s">
        <v>621</v>
      </c>
      <c r="E169" s="480">
        <f>E168</f>
        <v>41548</v>
      </c>
      <c r="F169" s="500" t="s">
        <v>615</v>
      </c>
      <c r="H169" s="499">
        <f>P190</f>
        <v>3152.7777777777778</v>
      </c>
      <c r="I169" s="499">
        <f>P191</f>
        <v>2047.2222222222222</v>
      </c>
      <c r="J169" s="499">
        <f>P192</f>
        <v>0</v>
      </c>
      <c r="K169" s="499">
        <f>P193</f>
        <v>0</v>
      </c>
      <c r="L169" s="499">
        <f>P194</f>
        <v>0</v>
      </c>
      <c r="M169" s="499">
        <f>P195</f>
        <v>0</v>
      </c>
      <c r="R169" s="476"/>
    </row>
    <row r="170" spans="1:18" ht="18.75">
      <c r="A170" s="476"/>
      <c r="D170" s="479" t="s">
        <v>622</v>
      </c>
      <c r="E170" s="480">
        <v>41555</v>
      </c>
      <c r="F170" s="500" t="s">
        <v>642</v>
      </c>
      <c r="H170" s="498">
        <f>IF($E$175&lt;I$166,IF(SUM($G$170:G170)&lt;($E$176-$E$175),IF(($E$176-$E$175-SUM($G$170:G170))&gt;(I166-H166),I166-H166,$E$176-$E$175-SUM($G$170:G170)),0),0)</f>
        <v>0</v>
      </c>
      <c r="I170" s="498">
        <f>IF($E$175&lt;J$166,IF(SUM($G$170:H170)&lt;($E$176-$E$175),IF(($E$176-$E$175-SUM($G$170:H170))&gt;(J166-I166),J166-I166,$E$176-$E$175-SUM($G$170:H170)),0),0)</f>
        <v>9</v>
      </c>
      <c r="J170" s="498">
        <f>IF($E$175&lt;K$166,IF(SUM($G$170:I170)&lt;($E$176-$E$175),IF(($E$176-$E$175-SUM($G$170:I170))&gt;(K166-J166),K166-J166,$E$176-$E$175-SUM($G$170:I170)),0),0)</f>
        <v>0</v>
      </c>
      <c r="K170" s="498">
        <f>IF($E$175&lt;L$166,IF(SUM($G$170:J170)&lt;($E$176-$E$175),IF(($E$176-$E$175-SUM($G$170:J170))&gt;(L166-K166),L166-K166,$E$176-$E$175-SUM($G$170:J170)),0),0)</f>
        <v>0</v>
      </c>
      <c r="L170" s="498">
        <f>IF($E$175&lt;M$166,IF(SUM($G$170:K170)&lt;($E$176-$E$175),IF(($E$176-$E$175-SUM($G$170:K170))&gt;(M166-L166),M166-L166,$E$176-$E$175-SUM($G$170:K170)),0),0)</f>
        <v>0</v>
      </c>
      <c r="M170" s="498">
        <f>IF($E$175&lt;N$166,IF(SUM($G$170:L170)&lt;($E$176-$E$175),IF(($E$176-$E$175-SUM($G$170:L170))&gt;(N166-M166),N166-M166,$E$176-$E$175-SUM($G$170:L170)),0),0)</f>
        <v>0</v>
      </c>
      <c r="R170" s="476"/>
    </row>
    <row r="171" spans="1:18" ht="18.75">
      <c r="A171" s="476"/>
      <c r="D171" s="479" t="s">
        <v>587</v>
      </c>
      <c r="E171" s="480">
        <f>E170</f>
        <v>41555</v>
      </c>
      <c r="F171" s="500" t="s">
        <v>643</v>
      </c>
      <c r="H171" s="498">
        <f>IF(I170=0,0,IF(I170&gt;0,H170,H170+($E$174-$E$173)))</f>
        <v>0</v>
      </c>
      <c r="I171" s="498">
        <f>IF(I170=0,0,IF(J170&gt;0,I170,I170+($E$174-$E$173)))</f>
        <v>11</v>
      </c>
      <c r="J171" s="498">
        <f>IF(J170=0,0,IF(K170&gt;0,J170,J170+($E$174-$E$173)))</f>
        <v>0</v>
      </c>
      <c r="K171" s="498">
        <f>IF(K170=0,0,IF(L170&gt;0,K170,K170+($E$174-$E$173)))</f>
        <v>0</v>
      </c>
      <c r="L171" s="498">
        <f>IF(L170=0,0,IF(M170&gt;0,L170,L170+($E$174-$E$173)))</f>
        <v>0</v>
      </c>
      <c r="M171" s="498">
        <f>IF(M170=0,0,IF(N170&gt;0,M170,M170+($E$174-$E$173)))</f>
        <v>0</v>
      </c>
      <c r="O171" t="s">
        <v>638</v>
      </c>
      <c r="R171" s="476"/>
    </row>
    <row r="172" spans="1:18" ht="18.75">
      <c r="A172" s="476"/>
      <c r="D172" s="479" t="s">
        <v>588</v>
      </c>
      <c r="E172" s="480">
        <f>E171+P88</f>
        <v>41597</v>
      </c>
      <c r="R172" s="476"/>
    </row>
    <row r="173" spans="1:18" ht="18.75">
      <c r="A173" s="476"/>
      <c r="D173" s="479" t="s">
        <v>573</v>
      </c>
      <c r="E173" s="480">
        <f>E172</f>
        <v>41597</v>
      </c>
      <c r="R173" s="476"/>
    </row>
    <row r="174" spans="1:18" ht="18.75">
      <c r="A174" s="476"/>
      <c r="D174" s="479" t="s">
        <v>577</v>
      </c>
      <c r="E174" s="480">
        <f>E173+2</f>
        <v>41599</v>
      </c>
      <c r="R174" s="476"/>
    </row>
    <row r="175" spans="1:18" ht="18.75">
      <c r="A175" s="476"/>
      <c r="D175" s="479" t="s">
        <v>607</v>
      </c>
      <c r="E175" s="480">
        <f>E172</f>
        <v>41597</v>
      </c>
      <c r="F175" s="293"/>
      <c r="R175" s="476"/>
    </row>
    <row r="176" spans="1:18" ht="18.75">
      <c r="A176" s="476"/>
      <c r="D176" s="479" t="s">
        <v>640</v>
      </c>
      <c r="E176" s="480">
        <f>E175+$P$124</f>
        <v>41606</v>
      </c>
      <c r="F176" s="293"/>
      <c r="R176" s="476"/>
    </row>
    <row r="177" spans="1:18" ht="18.75">
      <c r="A177" s="476"/>
      <c r="D177" s="479" t="s">
        <v>608</v>
      </c>
      <c r="E177" s="479"/>
      <c r="G177" s="482" t="s">
        <v>610</v>
      </c>
      <c r="H177" s="481"/>
      <c r="I177" s="481"/>
      <c r="J177" s="481"/>
      <c r="K177" s="481"/>
      <c r="L177" s="481"/>
      <c r="M177" s="481"/>
      <c r="N177" s="481"/>
      <c r="O177" s="481"/>
      <c r="P177" s="481"/>
      <c r="R177" s="476"/>
    </row>
    <row r="178" spans="1:18" ht="18.75">
      <c r="A178" s="476"/>
      <c r="D178" s="479" t="s">
        <v>257</v>
      </c>
      <c r="E178" s="479"/>
      <c r="R178" s="476"/>
    </row>
    <row r="179" spans="1:18" ht="31.5">
      <c r="A179" s="476"/>
      <c r="D179" s="479" t="s">
        <v>609</v>
      </c>
      <c r="E179" s="479">
        <f>E174-E171</f>
        <v>44</v>
      </c>
      <c r="G179" s="534" t="s">
        <v>553</v>
      </c>
      <c r="H179" s="535"/>
      <c r="I179" s="483" t="s">
        <v>85</v>
      </c>
      <c r="J179" s="483" t="s">
        <v>33</v>
      </c>
      <c r="K179" s="483" t="s">
        <v>34</v>
      </c>
      <c r="L179" s="483" t="s">
        <v>35</v>
      </c>
      <c r="M179" s="483" t="s">
        <v>36</v>
      </c>
      <c r="N179" s="483" t="s">
        <v>37</v>
      </c>
      <c r="O179" s="484" t="s">
        <v>38</v>
      </c>
      <c r="P179" s="484" t="s">
        <v>79</v>
      </c>
      <c r="Q179" t="s">
        <v>618</v>
      </c>
      <c r="R179" s="476"/>
    </row>
    <row r="180" spans="1:18" ht="18.75">
      <c r="A180" s="476"/>
      <c r="D180" s="479" t="s">
        <v>641</v>
      </c>
      <c r="E180" s="479">
        <f>E176-E171</f>
        <v>51</v>
      </c>
      <c r="G180" s="485" t="s">
        <v>612</v>
      </c>
      <c r="H180" s="486"/>
      <c r="I180" s="489">
        <f t="shared" ref="I180:O180" si="444">I20</f>
        <v>1</v>
      </c>
      <c r="J180" s="489">
        <f t="shared" si="444"/>
        <v>4</v>
      </c>
      <c r="K180" s="489">
        <f t="shared" si="444"/>
        <v>8</v>
      </c>
      <c r="L180" s="489">
        <f t="shared" si="444"/>
        <v>0</v>
      </c>
      <c r="M180" s="489">
        <f t="shared" si="444"/>
        <v>18</v>
      </c>
      <c r="N180" s="489">
        <f t="shared" si="444"/>
        <v>0</v>
      </c>
      <c r="O180" s="489">
        <f t="shared" si="444"/>
        <v>11</v>
      </c>
      <c r="P180" s="490">
        <f>SUM(I180:O180)</f>
        <v>42</v>
      </c>
      <c r="R180" s="476"/>
    </row>
    <row r="181" spans="1:18" ht="18.75">
      <c r="A181" s="476"/>
      <c r="G181" s="485" t="s">
        <v>612</v>
      </c>
      <c r="H181" s="486" t="s">
        <v>611</v>
      </c>
      <c r="I181" s="489">
        <f>I180</f>
        <v>1</v>
      </c>
      <c r="J181" s="489">
        <f>SUM($I$180:J180)</f>
        <v>5</v>
      </c>
      <c r="K181" s="489">
        <f>SUM($I$180:K180)</f>
        <v>13</v>
      </c>
      <c r="L181" s="489">
        <f>SUM($I$180:L180)</f>
        <v>13</v>
      </c>
      <c r="M181" s="489">
        <f>SUM($I$180:M180)</f>
        <v>31</v>
      </c>
      <c r="N181" s="489">
        <f>SUM($I$180:N180)</f>
        <v>31</v>
      </c>
      <c r="O181" s="489">
        <f>SUM($I$180:O180)</f>
        <v>42</v>
      </c>
      <c r="P181" s="490"/>
      <c r="R181" s="476"/>
    </row>
    <row r="182" spans="1:18" ht="18.75">
      <c r="A182" s="476"/>
      <c r="G182" s="488">
        <f>H166</f>
        <v>41548</v>
      </c>
      <c r="H182" s="487" t="s">
        <v>617</v>
      </c>
      <c r="I182" s="491">
        <f>IF($H$167&lt;SUM($I$180),SUM($I$180),I$180)</f>
        <v>1</v>
      </c>
      <c r="J182" s="491">
        <f>IF($H$167-SUM($I$180)&lt;0,0,IF($H$167&lt;SUM($I$180:J$180),$H$167-SUM($I$180),J$180))</f>
        <v>4</v>
      </c>
      <c r="K182" s="491">
        <f>IF($H$167-SUM($I$180:J$180)&lt;0,0,IF($H$167&lt;SUM($I$180:K$180),$H$167-SUM($I$180:J$180),K$180))</f>
        <v>8</v>
      </c>
      <c r="L182" s="491">
        <f>IF($H$167-SUM($I$180:K$180)&lt;0,0,IF($H$167&lt;SUM($I$180:L$180),$H$167-SUM($I$180:K$180),L$180))</f>
        <v>0</v>
      </c>
      <c r="M182" s="491">
        <f>IF($H$167-SUM($I$180:L$180)&lt;0,0,IF($H$167&lt;SUM($I$180:M$180),$H$167-SUM($I$180:L$180),M$180))</f>
        <v>11</v>
      </c>
      <c r="N182" s="491">
        <f>IF($H$167-SUM($I$180:M$180)&lt;0,0,IF($H$167&lt;SUM($I$180:N$180),$H$167-SUM($I$180:M$180),N$180))</f>
        <v>0</v>
      </c>
      <c r="O182" s="491">
        <f>IF($H$167-SUM($I$180:N$180)&lt;0,0,IF($H$167&lt;SUM($I$180:O$180),$H$167-SUM($I$180:N$180),O$180))</f>
        <v>0</v>
      </c>
      <c r="P182" s="490">
        <f>SUM(I182:O182)</f>
        <v>24</v>
      </c>
      <c r="Q182">
        <f>P182-H167</f>
        <v>0</v>
      </c>
      <c r="R182" s="476"/>
    </row>
    <row r="183" spans="1:18" ht="18.75">
      <c r="A183" s="476"/>
      <c r="G183" s="488">
        <f>I166</f>
        <v>41579</v>
      </c>
      <c r="H183" s="487" t="s">
        <v>617</v>
      </c>
      <c r="I183" s="491">
        <f>IF(I182=I$180,0,IF((I180-I182)&gt;$I$167,$I$167,I180-I182))</f>
        <v>0</v>
      </c>
      <c r="J183" s="491">
        <f>IF(J182=J$180,0,IF((SUM($I183:I183)+(J180-J182))&gt;$I$167,$I$167-SUM($I183:I183),J180-J182))</f>
        <v>0</v>
      </c>
      <c r="K183" s="491">
        <f>IF(K182=K$180,0,IF((SUM($I183:J183)+(K180-K182))&gt;$I$167,$I$167-SUM($I183:J183),K180-K182))</f>
        <v>0</v>
      </c>
      <c r="L183" s="491">
        <f>IF(L182=L$180,0,IF((SUM($I183:K183)+(L180-L182))&gt;$I$167,$I$167-SUM($I183:K183),L180-L182))</f>
        <v>0</v>
      </c>
      <c r="M183" s="491">
        <f>IF(M182=M$180,0,IF((SUM($I183:L183)+(M180-M182))&gt;$I$167,$I$167-SUM($I183:L183),M180-M182))</f>
        <v>7</v>
      </c>
      <c r="N183" s="491">
        <f>IF(N182=N$180,0,IF((SUM($I183:M183)+(N180-N182))&gt;$I$167,$I$167-SUM($I183:M183),N180-N182))</f>
        <v>0</v>
      </c>
      <c r="O183" s="491">
        <f>IF(O182=O$180,0,IF((SUM($I183:N183)+(O180-O182))&gt;$I$167,$I$167-SUM($I183:N183),O180-O182))</f>
        <v>11</v>
      </c>
      <c r="P183" s="490">
        <f>SUM(I183:O183)</f>
        <v>18</v>
      </c>
      <c r="Q183">
        <f>P183-I167</f>
        <v>0</v>
      </c>
      <c r="R183" s="476"/>
    </row>
    <row r="184" spans="1:18" ht="18.75">
      <c r="A184" s="476"/>
      <c r="G184" s="488">
        <f>J166</f>
        <v>41609</v>
      </c>
      <c r="H184" s="487" t="s">
        <v>617</v>
      </c>
      <c r="I184" s="491">
        <f>IF(SUM(I$182:I183)=I$180,0,IF((I$180-SUM(I$182:I183))&gt;$J$167,$J$167,I$180-SUM(I$182:I183)))</f>
        <v>0</v>
      </c>
      <c r="J184" s="491">
        <f>IF(SUM(J$182:J183)=J$180,0,IF((SUM($I184:I184)+(J$180-SUM(J$182:J183)))&gt;$J$167,$J$167-SUM($I184:I184),J$180-SUM(J$182:J183)))</f>
        <v>0</v>
      </c>
      <c r="K184" s="491">
        <f>IF(SUM(K$182:K183)=K$180,0,IF((SUM($I184:J184)+(K$180-SUM(K$182:K183)))&gt;$J$167,$J$167-SUM($I184:J184),K$180-SUM(K$182:K183)))</f>
        <v>0</v>
      </c>
      <c r="L184" s="491">
        <f>IF(SUM(L$182:L183)=L$180,0,IF((SUM($I184:K184)+(L$180-SUM(L$182:L183)))&gt;$J$167,$J$167-SUM($I184:K184),L$180-SUM(L$182:L183)))</f>
        <v>0</v>
      </c>
      <c r="M184" s="491">
        <f>IF(SUM(M$182:M183)=M$180,0,IF((SUM($I184:L184)+(M$180-SUM(M$182:M183)))&gt;$J$167,$J$167-SUM($I184:L184),M$180-SUM(M$182:M183)))</f>
        <v>0</v>
      </c>
      <c r="N184" s="491">
        <f>IF(SUM(N$182:N183)=N$180,0,IF((SUM($I184:M184)+(N$180-SUM(N$182:N183)))&gt;$J$167,$J$167-SUM($I184:M184),N$180-SUM(N$182:N183)))</f>
        <v>0</v>
      </c>
      <c r="O184" s="491">
        <f>IF(SUM(O$182:O183)=O$180,0,IF((SUM($I184:N184)+(O$180-SUM(O$182:O183)))&gt;$J$167,$J$167-SUM($I184:N184),O$180-SUM(O$182:O183)))</f>
        <v>0</v>
      </c>
      <c r="P184" s="490">
        <f>SUM(I184:O184)</f>
        <v>0</v>
      </c>
      <c r="Q184">
        <f>P184-J167</f>
        <v>0</v>
      </c>
      <c r="R184" s="476"/>
    </row>
    <row r="185" spans="1:18" ht="18.75">
      <c r="A185" s="476"/>
      <c r="G185" s="488">
        <f>K166</f>
        <v>41640</v>
      </c>
      <c r="H185" s="487" t="s">
        <v>617</v>
      </c>
      <c r="I185" s="491">
        <f>IF(SUM(I$182:I184)=I$180,0,IF((I$180-SUM(I$182:I184))&gt;$K$167,$K$167,I$180-SUM(I$182:I184)))</f>
        <v>0</v>
      </c>
      <c r="J185" s="491">
        <f>IF(SUM(J$182:J184)=J$180,0,IF((SUM($I185:I185)+(J$180-SUM(J$182:J184)))&gt;$K$167,$K$167-SUM($I185:I185),J$180-SUM(J$182:J184)))</f>
        <v>0</v>
      </c>
      <c r="K185" s="491">
        <f>IF(SUM(K$182:K184)=K$180,0,IF((SUM($I185:J185)+(K$180-SUM(K$182:K184)))&gt;$K$167,$K$167-SUM($I185:J185),K$180-SUM(K$182:K184)))</f>
        <v>0</v>
      </c>
      <c r="L185" s="491">
        <f>IF(SUM(L$182:L184)=L$180,0,IF((SUM($I185:K185)+(L$180-SUM(L$182:L184)))&gt;$K$167,$K$167-SUM($I185:K185),L$180-SUM(L$182:L184)))</f>
        <v>0</v>
      </c>
      <c r="M185" s="491">
        <f>IF(SUM(M$182:M184)=M$180,0,IF((SUM($I185:L185)+(M$180-SUM(M$182:M184)))&gt;$K$167,$K$167-SUM($I185:L185),M$180-SUM(M$182:M184)))</f>
        <v>0</v>
      </c>
      <c r="N185" s="491">
        <f>IF(SUM(N$182:N184)=N$180,0,IF((SUM($I185:M185)+(N$180-SUM(N$182:N184)))&gt;$K$167,$K$167-SUM($I185:M185),N$180-SUM(N$182:N184)))</f>
        <v>0</v>
      </c>
      <c r="O185" s="491">
        <f>IF(SUM(O$182:O184)=O$180,0,IF((SUM($I185:N185)+(O$180-SUM(O$182:O184)))&gt;$K$167,$K$167-SUM($I185:N185),O$180-SUM(O$182:O184)))</f>
        <v>0</v>
      </c>
      <c r="P185" s="490">
        <f t="shared" ref="P185:P187" si="445">SUM(I185:O185)</f>
        <v>0</v>
      </c>
      <c r="Q185">
        <f>P185-K167</f>
        <v>0</v>
      </c>
      <c r="R185" s="476"/>
    </row>
    <row r="186" spans="1:18" ht="18.75">
      <c r="A186" s="476"/>
      <c r="G186" s="488">
        <f>L166</f>
        <v>41671</v>
      </c>
      <c r="H186" s="487" t="s">
        <v>617</v>
      </c>
      <c r="I186" s="491">
        <f>IF(SUM(I$182:I185)=I$180,0,IF((I$180-SUM(I$182:I185))&gt;$L$167,$L$167,I$180-SUM(I$182:I185)))</f>
        <v>0</v>
      </c>
      <c r="J186" s="491">
        <f>IF(SUM(J$182:J185)=J$180,0,IF((SUM($I186:I186)+(J$180-SUM(J$182:J185)))&gt;$L$167,$L$167-SUM($I186:I186),J$180-SUM(J$182:J185)))</f>
        <v>0</v>
      </c>
      <c r="K186" s="491">
        <f>IF(SUM(K$182:K185)=K$180,0,IF((SUM($I186:J186)+(K$180-SUM(K$182:K185)))&gt;$L$167,$L$167-SUM($I186:J186),K$180-SUM(K$182:K185)))</f>
        <v>0</v>
      </c>
      <c r="L186" s="491">
        <f>IF(SUM(L$182:L185)=L$180,0,IF((SUM($I186:K186)+(L$180-SUM(L$182:L185)))&gt;$L$167,$L$167-SUM($I186:K186),L$180-SUM(L$182:L185)))</f>
        <v>0</v>
      </c>
      <c r="M186" s="491">
        <f>IF(SUM(M$182:M185)=M$180,0,IF((SUM($I186:L186)+(M$180-SUM(M$182:M185)))&gt;$L$167,$L$167-SUM($I186:L186),M$180-SUM(M$182:M185)))</f>
        <v>0</v>
      </c>
      <c r="N186" s="491">
        <f>IF(SUM(N$182:N185)=N$180,0,IF((SUM($I186:M186)+(N$180-SUM(N$182:N185)))&gt;$L$167,$L$167-SUM($I186:M186),N$180-SUM(N$182:N185)))</f>
        <v>0</v>
      </c>
      <c r="O186" s="491">
        <f>IF(SUM(O$182:O185)=O$180,0,IF((SUM($I186:N186)+(O$180-SUM(O$182:O185)))&gt;$L$167,$L$167-SUM($I186:N186),O$180-SUM(O$182:O185)))</f>
        <v>0</v>
      </c>
      <c r="P186" s="490">
        <f t="shared" si="445"/>
        <v>0</v>
      </c>
      <c r="Q186">
        <f>P186-L167</f>
        <v>0</v>
      </c>
      <c r="R186" s="476"/>
    </row>
    <row r="187" spans="1:18" ht="18.75">
      <c r="A187" s="476"/>
      <c r="G187" s="488">
        <f>M166</f>
        <v>41699</v>
      </c>
      <c r="H187" s="487" t="s">
        <v>617</v>
      </c>
      <c r="I187" s="491">
        <f>IF(SUM(I$182:I186)=I$180,0,IF((I$180-SUM(I$182:I186))&gt;$M$167,$M$167,I$180-SUM(I$182:I186)))</f>
        <v>0</v>
      </c>
      <c r="J187" s="491">
        <f>IF(SUM(J$182:J186)=J$180,0,IF((SUM($I187:I187)+(J$180-SUM(J$182:J186)))&gt;$M$167,$M$167-SUM($I187:I187),J$180-SUM(J$182:J186)))</f>
        <v>0</v>
      </c>
      <c r="K187" s="491">
        <f>IF(SUM(K$182:K186)=K$180,0,IF((SUM($I187:J187)+(K$180-SUM(K$182:K186)))&gt;$M$167,$M$167-SUM($I187:J187),K$180-SUM(K$182:K186)))</f>
        <v>0</v>
      </c>
      <c r="L187" s="491">
        <f>IF(SUM(L$182:L186)=L$180,0,IF((SUM($I187:K187)+(L$180-SUM(L$182:L186)))&gt;$M$167,$M$167-SUM($I187:K187),L$180-SUM(L$182:L186)))</f>
        <v>0</v>
      </c>
      <c r="M187" s="491">
        <f>IF(SUM(M$182:M186)=M$180,0,IF((SUM($I187:L187)+(M$180-SUM(M$182:M186)))&gt;$M$167,$M$167-SUM($I187:L187),M$180-SUM(M$182:M186)))</f>
        <v>0</v>
      </c>
      <c r="N187" s="491">
        <f>IF(SUM(N$182:N186)=N$180,0,IF((SUM($I187:M187)+(N$180-SUM(N$182:N186)))&gt;$M$167,$M$167-SUM($I187:M187),N$180-SUM(N$182:N186)))</f>
        <v>0</v>
      </c>
      <c r="O187" s="491">
        <f>IF(SUM(O$182:O186)=O$180,0,IF((SUM($I187:N187)+(O$180-SUM(O$182:O186)))&gt;$M$167,$M$167-SUM($I187:N187),O$180-SUM(O$182:O186)))</f>
        <v>0</v>
      </c>
      <c r="P187" s="490">
        <f t="shared" si="445"/>
        <v>0</v>
      </c>
      <c r="Q187">
        <f>P187-M167</f>
        <v>0</v>
      </c>
      <c r="R187" s="476"/>
    </row>
    <row r="188" spans="1:18" ht="18.75">
      <c r="A188" s="476"/>
      <c r="G188" s="485" t="s">
        <v>287</v>
      </c>
      <c r="H188" s="486"/>
      <c r="I188" s="489">
        <f>I23</f>
        <v>0</v>
      </c>
      <c r="J188" s="489">
        <f>J25</f>
        <v>360</v>
      </c>
      <c r="K188" s="489">
        <f>K27</f>
        <v>990</v>
      </c>
      <c r="L188" s="489">
        <f>L29</f>
        <v>0</v>
      </c>
      <c r="M188" s="489">
        <f>M29</f>
        <v>2950</v>
      </c>
      <c r="N188" s="489"/>
      <c r="O188" s="489">
        <f>O31</f>
        <v>900</v>
      </c>
      <c r="P188" s="490">
        <f>SUM(I188:O188)</f>
        <v>5200</v>
      </c>
      <c r="R188" s="476"/>
    </row>
    <row r="189" spans="1:18" ht="18.75">
      <c r="A189" s="476"/>
      <c r="G189" s="485" t="s">
        <v>287</v>
      </c>
      <c r="H189" s="486" t="s">
        <v>611</v>
      </c>
      <c r="I189" s="489">
        <f>I188</f>
        <v>0</v>
      </c>
      <c r="J189" s="489">
        <f>J188+I189</f>
        <v>360</v>
      </c>
      <c r="K189" s="489">
        <f t="shared" ref="K189:O189" si="446">K188+J189</f>
        <v>1350</v>
      </c>
      <c r="L189" s="489">
        <f t="shared" si="446"/>
        <v>1350</v>
      </c>
      <c r="M189" s="489">
        <f t="shared" si="446"/>
        <v>4300</v>
      </c>
      <c r="N189" s="489">
        <f t="shared" si="446"/>
        <v>4300</v>
      </c>
      <c r="O189" s="489">
        <f t="shared" si="446"/>
        <v>5200</v>
      </c>
      <c r="P189" s="490">
        <f>O189</f>
        <v>5200</v>
      </c>
      <c r="Q189" s="492">
        <f>SUM(P190:P195)-P189</f>
        <v>0</v>
      </c>
      <c r="R189" s="476"/>
    </row>
    <row r="190" spans="1:18" ht="18.75">
      <c r="A190" s="476"/>
      <c r="G190" s="488">
        <f>G182</f>
        <v>41548</v>
      </c>
      <c r="H190" s="487" t="s">
        <v>616</v>
      </c>
      <c r="I190" s="491">
        <f>IFERROR(I$188/I$180*I182,0)</f>
        <v>0</v>
      </c>
      <c r="J190" s="491">
        <f t="shared" ref="J190:O190" si="447">IFERROR(J$188/J$180*J182,0)</f>
        <v>360</v>
      </c>
      <c r="K190" s="491">
        <f t="shared" si="447"/>
        <v>990</v>
      </c>
      <c r="L190" s="491">
        <f t="shared" si="447"/>
        <v>0</v>
      </c>
      <c r="M190" s="491">
        <f t="shared" si="447"/>
        <v>1802.7777777777778</v>
      </c>
      <c r="N190" s="491">
        <f t="shared" si="447"/>
        <v>0</v>
      </c>
      <c r="O190" s="491">
        <f t="shared" si="447"/>
        <v>0</v>
      </c>
      <c r="P190" s="490">
        <f>SUM(I190:O190)</f>
        <v>3152.7777777777778</v>
      </c>
      <c r="R190" s="476"/>
    </row>
    <row r="191" spans="1:18" ht="18.75">
      <c r="A191" s="476"/>
      <c r="G191" s="488">
        <f t="shared" ref="G191:G195" si="448">G183</f>
        <v>41579</v>
      </c>
      <c r="H191" s="487" t="s">
        <v>616</v>
      </c>
      <c r="I191" s="491">
        <f t="shared" ref="I191:O191" si="449">IFERROR(I$188/I$180*I183,0)</f>
        <v>0</v>
      </c>
      <c r="J191" s="491">
        <f t="shared" si="449"/>
        <v>0</v>
      </c>
      <c r="K191" s="491">
        <f t="shared" si="449"/>
        <v>0</v>
      </c>
      <c r="L191" s="491">
        <f t="shared" si="449"/>
        <v>0</v>
      </c>
      <c r="M191" s="491">
        <f t="shared" si="449"/>
        <v>1147.2222222222222</v>
      </c>
      <c r="N191" s="491">
        <f t="shared" si="449"/>
        <v>0</v>
      </c>
      <c r="O191" s="491">
        <f t="shared" si="449"/>
        <v>900</v>
      </c>
      <c r="P191" s="490">
        <f t="shared" ref="P191:P195" si="450">SUM(I191:O191)</f>
        <v>2047.2222222222222</v>
      </c>
      <c r="R191" s="476"/>
    </row>
    <row r="192" spans="1:18" ht="18.75">
      <c r="A192" s="476"/>
      <c r="G192" s="488">
        <f t="shared" si="448"/>
        <v>41609</v>
      </c>
      <c r="H192" s="487" t="s">
        <v>616</v>
      </c>
      <c r="I192" s="491">
        <f t="shared" ref="I192:O192" si="451">IFERROR(I$188/I$180*I184,0)</f>
        <v>0</v>
      </c>
      <c r="J192" s="491">
        <f t="shared" si="451"/>
        <v>0</v>
      </c>
      <c r="K192" s="491">
        <f t="shared" si="451"/>
        <v>0</v>
      </c>
      <c r="L192" s="491">
        <f t="shared" si="451"/>
        <v>0</v>
      </c>
      <c r="M192" s="491">
        <f t="shared" si="451"/>
        <v>0</v>
      </c>
      <c r="N192" s="491">
        <f t="shared" si="451"/>
        <v>0</v>
      </c>
      <c r="O192" s="491">
        <f t="shared" si="451"/>
        <v>0</v>
      </c>
      <c r="P192" s="490">
        <f t="shared" si="450"/>
        <v>0</v>
      </c>
      <c r="R192" s="476"/>
    </row>
    <row r="193" spans="1:18" ht="18.75">
      <c r="A193" s="476"/>
      <c r="G193" s="488">
        <f t="shared" si="448"/>
        <v>41640</v>
      </c>
      <c r="H193" s="487" t="s">
        <v>616</v>
      </c>
      <c r="I193" s="491">
        <f t="shared" ref="I193:O193" si="452">IFERROR(I$188/I$180*I185,0)</f>
        <v>0</v>
      </c>
      <c r="J193" s="491">
        <f t="shared" si="452"/>
        <v>0</v>
      </c>
      <c r="K193" s="491">
        <f t="shared" si="452"/>
        <v>0</v>
      </c>
      <c r="L193" s="491">
        <f t="shared" si="452"/>
        <v>0</v>
      </c>
      <c r="M193" s="491">
        <f t="shared" si="452"/>
        <v>0</v>
      </c>
      <c r="N193" s="491">
        <f t="shared" si="452"/>
        <v>0</v>
      </c>
      <c r="O193" s="491">
        <f t="shared" si="452"/>
        <v>0</v>
      </c>
      <c r="P193" s="490">
        <f t="shared" si="450"/>
        <v>0</v>
      </c>
      <c r="R193" s="476"/>
    </row>
    <row r="194" spans="1:18" ht="18.75">
      <c r="A194" s="476"/>
      <c r="G194" s="488">
        <f t="shared" si="448"/>
        <v>41671</v>
      </c>
      <c r="H194" s="487" t="s">
        <v>616</v>
      </c>
      <c r="I194" s="491">
        <f t="shared" ref="I194:O194" si="453">IFERROR(I$188/I$180*I186,0)</f>
        <v>0</v>
      </c>
      <c r="J194" s="491">
        <f t="shared" si="453"/>
        <v>0</v>
      </c>
      <c r="K194" s="491">
        <f t="shared" si="453"/>
        <v>0</v>
      </c>
      <c r="L194" s="491">
        <f t="shared" si="453"/>
        <v>0</v>
      </c>
      <c r="M194" s="491">
        <f t="shared" si="453"/>
        <v>0</v>
      </c>
      <c r="N194" s="491">
        <f t="shared" si="453"/>
        <v>0</v>
      </c>
      <c r="O194" s="491">
        <f t="shared" si="453"/>
        <v>0</v>
      </c>
      <c r="P194" s="490">
        <f t="shared" si="450"/>
        <v>0</v>
      </c>
      <c r="R194" s="476"/>
    </row>
    <row r="195" spans="1:18" ht="18.75">
      <c r="A195" s="476"/>
      <c r="G195" s="488">
        <f t="shared" si="448"/>
        <v>41699</v>
      </c>
      <c r="H195" s="487" t="s">
        <v>616</v>
      </c>
      <c r="I195" s="491">
        <f t="shared" ref="I195:O195" si="454">IFERROR(I$188/I$180*I187,0)</f>
        <v>0</v>
      </c>
      <c r="J195" s="491">
        <f t="shared" si="454"/>
        <v>0</v>
      </c>
      <c r="K195" s="491">
        <f t="shared" si="454"/>
        <v>0</v>
      </c>
      <c r="L195" s="491">
        <f t="shared" si="454"/>
        <v>0</v>
      </c>
      <c r="M195" s="491">
        <f t="shared" si="454"/>
        <v>0</v>
      </c>
      <c r="N195" s="491">
        <f t="shared" si="454"/>
        <v>0</v>
      </c>
      <c r="O195" s="491">
        <f t="shared" si="454"/>
        <v>0</v>
      </c>
      <c r="P195" s="490">
        <f t="shared" si="450"/>
        <v>0</v>
      </c>
      <c r="R195" s="476"/>
    </row>
    <row r="196" spans="1:18" ht="18.75">
      <c r="A196" s="476"/>
      <c r="G196" s="274"/>
      <c r="R196" s="476"/>
    </row>
    <row r="197" spans="1:18" ht="18.75">
      <c r="A197" s="476"/>
      <c r="D197" s="482"/>
      <c r="E197" s="482"/>
      <c r="F197" s="482"/>
      <c r="G197" s="482"/>
      <c r="H197" s="481"/>
      <c r="I197" s="481"/>
      <c r="J197" s="481"/>
      <c r="K197" s="481"/>
      <c r="L197" s="481"/>
      <c r="M197" s="481"/>
      <c r="N197" s="481"/>
      <c r="O197" s="481"/>
      <c r="P197" s="481"/>
      <c r="R197" s="476"/>
    </row>
    <row r="198" spans="1:18" ht="18.75">
      <c r="A198" s="476"/>
      <c r="R198" s="476"/>
    </row>
    <row r="199" spans="1:18" ht="18.75">
      <c r="A199" s="476"/>
      <c r="D199" s="507" t="s">
        <v>636</v>
      </c>
      <c r="E199" s="506" t="s">
        <v>331</v>
      </c>
      <c r="F199" s="507" t="s">
        <v>329</v>
      </c>
      <c r="G199" s="501"/>
      <c r="H199" s="496">
        <v>41518</v>
      </c>
      <c r="I199" s="496">
        <v>41548</v>
      </c>
      <c r="J199" s="496">
        <v>41579</v>
      </c>
      <c r="K199" s="496">
        <v>41609</v>
      </c>
      <c r="L199" s="496">
        <v>41640</v>
      </c>
      <c r="M199" s="496">
        <v>41671</v>
      </c>
      <c r="N199" s="496">
        <v>41699</v>
      </c>
      <c r="O199" s="496" t="s">
        <v>620</v>
      </c>
      <c r="R199" s="476"/>
    </row>
    <row r="200" spans="1:18" ht="7.5" customHeight="1">
      <c r="A200" s="476"/>
      <c r="R200" s="476"/>
    </row>
    <row r="201" spans="1:18" ht="19.5" thickBot="1">
      <c r="A201" s="476"/>
      <c r="C201" s="504" t="s">
        <v>90</v>
      </c>
      <c r="D201" s="503"/>
      <c r="E201" s="503"/>
      <c r="F201" s="503"/>
      <c r="G201" s="503"/>
      <c r="H201" s="503"/>
      <c r="I201" s="503"/>
      <c r="J201" s="503"/>
      <c r="K201" s="503"/>
      <c r="L201" s="503"/>
      <c r="M201" s="503"/>
      <c r="N201" s="503"/>
      <c r="O201" s="503"/>
      <c r="P201" s="504"/>
      <c r="R201" s="476"/>
    </row>
    <row r="202" spans="1:18" ht="19.5" thickTop="1">
      <c r="A202" s="476"/>
      <c r="C202" s="509">
        <f t="shared" ref="C202" si="455">INDEX($C$7:$C$149,MATCH($F202,$F$7:$F$149,0))</f>
        <v>1</v>
      </c>
      <c r="D202" s="523" t="str">
        <f>D168</f>
        <v>Конец мобилизации</v>
      </c>
      <c r="E202" s="523" t="str">
        <f t="shared" ref="E202" si="456">INDEX($D$7:$D$149,MATCH($F202,$F$7:$F$149,0))</f>
        <v>ВМР</v>
      </c>
      <c r="F202" s="529" t="str">
        <f>F7</f>
        <v>Мобилизация БУ и БХ до 150 км</v>
      </c>
      <c r="G202" s="421" t="s">
        <v>312</v>
      </c>
      <c r="H202" s="420">
        <f t="shared" ref="H202:N202" si="457">IF(MONTH(H$199)=MONTH(INDEX($E$167:$E$179,MATCH($D202,$D$167:$D$179,0),1)),$P7,0)</f>
        <v>0</v>
      </c>
      <c r="I202" s="420">
        <f t="shared" si="457"/>
        <v>1</v>
      </c>
      <c r="J202" s="420">
        <f t="shared" si="457"/>
        <v>0</v>
      </c>
      <c r="K202" s="420">
        <f t="shared" si="457"/>
        <v>0</v>
      </c>
      <c r="L202" s="420">
        <f t="shared" si="457"/>
        <v>0</v>
      </c>
      <c r="M202" s="420">
        <f t="shared" si="457"/>
        <v>0</v>
      </c>
      <c r="N202" s="420">
        <f t="shared" si="457"/>
        <v>0</v>
      </c>
      <c r="O202" s="432">
        <f>SUM(H202:N202)</f>
        <v>1</v>
      </c>
      <c r="P202" s="504"/>
      <c r="R202" s="476"/>
    </row>
    <row r="203" spans="1:18" ht="19.5" thickBot="1">
      <c r="A203" s="476"/>
      <c r="C203" s="504"/>
      <c r="D203" s="524"/>
      <c r="E203" s="524"/>
      <c r="F203" s="526"/>
      <c r="G203" s="426" t="s">
        <v>335</v>
      </c>
      <c r="H203" s="427">
        <f t="shared" ref="H203:N203" si="458">IF(MONTH(H$199)=MONTH(INDEX($E$167:$E$179,MATCH($D202,$D$167:$D$179,0),1)),$P8,0)</f>
        <v>0</v>
      </c>
      <c r="I203" s="427">
        <f t="shared" si="458"/>
        <v>15000000</v>
      </c>
      <c r="J203" s="427">
        <f t="shared" si="458"/>
        <v>0</v>
      </c>
      <c r="K203" s="427">
        <f t="shared" si="458"/>
        <v>0</v>
      </c>
      <c r="L203" s="427">
        <f t="shared" si="458"/>
        <v>0</v>
      </c>
      <c r="M203" s="427">
        <f t="shared" si="458"/>
        <v>0</v>
      </c>
      <c r="N203" s="427">
        <f t="shared" si="458"/>
        <v>0</v>
      </c>
      <c r="O203" s="429">
        <f>SUM(H203:N203)</f>
        <v>15000000</v>
      </c>
      <c r="P203" s="504"/>
      <c r="R203" s="476"/>
    </row>
    <row r="204" spans="1:18" ht="19.5" thickTop="1">
      <c r="A204" s="476"/>
      <c r="C204" s="509">
        <f t="shared" ref="C204" si="459">INDEX($C$7:$C$149,MATCH($F204,$F$7:$F$149,0))</f>
        <v>2</v>
      </c>
      <c r="D204" s="523" t="str">
        <f>D170</f>
        <v>Конец монтажа БУ</v>
      </c>
      <c r="E204" s="523" t="str">
        <f t="shared" ref="E204" si="460">INDEX($D$7:$D$149,MATCH($F204,$F$7:$F$149,0))</f>
        <v>ВМР</v>
      </c>
      <c r="F204" s="529" t="str">
        <f t="shared" ref="F204" si="461">F9</f>
        <v>Монтаж БУ</v>
      </c>
      <c r="G204" s="421" t="s">
        <v>312</v>
      </c>
      <c r="H204" s="420">
        <f t="shared" ref="H204:N204" si="462">IF(MONTH(H$199)=MONTH(INDEX($E$167:$E$179,MATCH($D204,$D$167:$D$179,0),1)),$P9,0)</f>
        <v>0</v>
      </c>
      <c r="I204" s="420">
        <f t="shared" si="462"/>
        <v>1</v>
      </c>
      <c r="J204" s="420">
        <f t="shared" si="462"/>
        <v>0</v>
      </c>
      <c r="K204" s="420">
        <f t="shared" si="462"/>
        <v>0</v>
      </c>
      <c r="L204" s="420">
        <f t="shared" si="462"/>
        <v>0</v>
      </c>
      <c r="M204" s="420">
        <f t="shared" si="462"/>
        <v>0</v>
      </c>
      <c r="N204" s="420">
        <f t="shared" si="462"/>
        <v>0</v>
      </c>
      <c r="O204" s="432">
        <f t="shared" ref="O204:O211" si="463">SUM(H204:N204)</f>
        <v>1</v>
      </c>
      <c r="P204" s="504"/>
      <c r="R204" s="476"/>
    </row>
    <row r="205" spans="1:18" ht="19.5" thickBot="1">
      <c r="A205" s="476"/>
      <c r="C205" s="504"/>
      <c r="D205" s="524"/>
      <c r="E205" s="524"/>
      <c r="F205" s="526"/>
      <c r="G205" s="426" t="s">
        <v>335</v>
      </c>
      <c r="H205" s="427">
        <f t="shared" ref="H205:N205" si="464">IF(MONTH(H$199)=MONTH(INDEX($E$167:$E$179,MATCH($D204,$D$167:$D$179,0),1)),$P10,0)</f>
        <v>0</v>
      </c>
      <c r="I205" s="427">
        <f t="shared" si="464"/>
        <v>22351000</v>
      </c>
      <c r="J205" s="427">
        <f t="shared" si="464"/>
        <v>0</v>
      </c>
      <c r="K205" s="427">
        <f t="shared" si="464"/>
        <v>0</v>
      </c>
      <c r="L205" s="427">
        <f t="shared" si="464"/>
        <v>0</v>
      </c>
      <c r="M205" s="427">
        <f t="shared" si="464"/>
        <v>0</v>
      </c>
      <c r="N205" s="427">
        <f t="shared" si="464"/>
        <v>0</v>
      </c>
      <c r="O205" s="429">
        <f t="shared" si="463"/>
        <v>22351000</v>
      </c>
      <c r="P205" s="504"/>
      <c r="R205" s="476"/>
    </row>
    <row r="206" spans="1:18" ht="19.5" thickTop="1">
      <c r="A206" s="476"/>
      <c r="C206" s="509">
        <f t="shared" ref="C206" si="465">INDEX($C$7:$C$149,MATCH($F206,$F$7:$F$149,0))</f>
        <v>3</v>
      </c>
      <c r="D206" s="523" t="str">
        <f>D170</f>
        <v>Конец монтажа БУ</v>
      </c>
      <c r="E206" s="523" t="str">
        <f t="shared" ref="E206" si="466">INDEX($D$7:$D$149,MATCH($F206,$F$7:$F$149,0))</f>
        <v>Вспомогательные</v>
      </c>
      <c r="F206" s="529" t="str">
        <f t="shared" ref="F206" si="467">F11</f>
        <v>Водяной колодец для целей водоснабжения</v>
      </c>
      <c r="G206" s="421" t="s">
        <v>312</v>
      </c>
      <c r="H206" s="420">
        <f t="shared" ref="H206:N206" si="468">IF(MONTH(H$199)=MONTH(INDEX($E$167:$E$179,MATCH($D206,$D$167:$D$179,0),1)),$P11,0)</f>
        <v>0</v>
      </c>
      <c r="I206" s="420">
        <f t="shared" si="468"/>
        <v>1</v>
      </c>
      <c r="J206" s="420">
        <f t="shared" si="468"/>
        <v>0</v>
      </c>
      <c r="K206" s="420">
        <f t="shared" si="468"/>
        <v>0</v>
      </c>
      <c r="L206" s="420">
        <f t="shared" si="468"/>
        <v>0</v>
      </c>
      <c r="M206" s="420">
        <f t="shared" si="468"/>
        <v>0</v>
      </c>
      <c r="N206" s="420">
        <f t="shared" si="468"/>
        <v>0</v>
      </c>
      <c r="O206" s="432">
        <f t="shared" si="463"/>
        <v>1</v>
      </c>
      <c r="P206" s="504"/>
      <c r="R206" s="476"/>
    </row>
    <row r="207" spans="1:18" ht="19.5" thickBot="1">
      <c r="A207" s="476"/>
      <c r="C207" s="504"/>
      <c r="D207" s="524"/>
      <c r="E207" s="524"/>
      <c r="F207" s="526"/>
      <c r="G207" s="426" t="s">
        <v>335</v>
      </c>
      <c r="H207" s="427">
        <f t="shared" ref="H207:N207" si="469">IF(MONTH(H$199)=MONTH(INDEX($E$167:$E$179,MATCH($D206,$D$167:$D$179,0),1)),$P12,0)</f>
        <v>0</v>
      </c>
      <c r="I207" s="427">
        <f t="shared" si="469"/>
        <v>1930000</v>
      </c>
      <c r="J207" s="427">
        <f t="shared" si="469"/>
        <v>0</v>
      </c>
      <c r="K207" s="427">
        <f t="shared" si="469"/>
        <v>0</v>
      </c>
      <c r="L207" s="427">
        <f t="shared" si="469"/>
        <v>0</v>
      </c>
      <c r="M207" s="427">
        <f t="shared" si="469"/>
        <v>0</v>
      </c>
      <c r="N207" s="427">
        <f t="shared" si="469"/>
        <v>0</v>
      </c>
      <c r="O207" s="429">
        <f t="shared" si="463"/>
        <v>1930000</v>
      </c>
      <c r="P207" s="504"/>
      <c r="R207" s="476"/>
    </row>
    <row r="208" spans="1:18" ht="19.5" thickTop="1">
      <c r="A208" s="476"/>
      <c r="C208" s="509">
        <f t="shared" ref="C208" si="470">INDEX($C$7:$C$149,MATCH($F208,$F$7:$F$149,0))</f>
        <v>4</v>
      </c>
      <c r="D208" s="523" t="str">
        <f>D174</f>
        <v>Конец передвижки</v>
      </c>
      <c r="E208" s="523" t="str">
        <f t="shared" ref="E208" si="471">INDEX($D$7:$D$149,MATCH($F208,$F$7:$F$149,0))</f>
        <v>ВМР</v>
      </c>
      <c r="F208" s="529" t="str">
        <f t="shared" ref="F208" si="472">F13</f>
        <v>Передвижка 18 м.</v>
      </c>
      <c r="G208" s="421" t="s">
        <v>312</v>
      </c>
      <c r="H208" s="420">
        <f t="shared" ref="H208:N208" si="473">IF(MONTH(H$199)=MONTH(INDEX($E$167:$E$179,MATCH($D208,$D$167:$D$179,0),1)),$P13,0)</f>
        <v>0</v>
      </c>
      <c r="I208" s="420">
        <f t="shared" si="473"/>
        <v>0</v>
      </c>
      <c r="J208" s="420">
        <f t="shared" si="473"/>
        <v>0</v>
      </c>
      <c r="K208" s="420">
        <f t="shared" si="473"/>
        <v>0</v>
      </c>
      <c r="L208" s="420">
        <f t="shared" si="473"/>
        <v>0</v>
      </c>
      <c r="M208" s="420">
        <f t="shared" si="473"/>
        <v>0</v>
      </c>
      <c r="N208" s="420">
        <f t="shared" si="473"/>
        <v>0</v>
      </c>
      <c r="O208" s="432">
        <f t="shared" si="463"/>
        <v>0</v>
      </c>
      <c r="P208" s="504"/>
      <c r="R208" s="476"/>
    </row>
    <row r="209" spans="1:18" ht="19.5" thickBot="1">
      <c r="A209" s="476"/>
      <c r="C209" s="504"/>
      <c r="D209" s="524"/>
      <c r="E209" s="524"/>
      <c r="F209" s="526"/>
      <c r="G209" s="426" t="s">
        <v>335</v>
      </c>
      <c r="H209" s="427">
        <f t="shared" ref="H209:N209" si="474">IF(MONTH(H$199)=MONTH(INDEX($E$167:$E$179,MATCH($D208,$D$167:$D$179,0),1)),$P14,0)</f>
        <v>0</v>
      </c>
      <c r="I209" s="427">
        <f t="shared" si="474"/>
        <v>0</v>
      </c>
      <c r="J209" s="427">
        <f t="shared" si="474"/>
        <v>0</v>
      </c>
      <c r="K209" s="427">
        <f t="shared" si="474"/>
        <v>0</v>
      </c>
      <c r="L209" s="427">
        <f t="shared" si="474"/>
        <v>0</v>
      </c>
      <c r="M209" s="427">
        <f t="shared" si="474"/>
        <v>0</v>
      </c>
      <c r="N209" s="427">
        <f t="shared" si="474"/>
        <v>0</v>
      </c>
      <c r="O209" s="429">
        <f t="shared" si="463"/>
        <v>0</v>
      </c>
      <c r="P209" s="504"/>
      <c r="R209" s="476"/>
    </row>
    <row r="210" spans="1:18" ht="19.5" thickTop="1">
      <c r="A210" s="476"/>
      <c r="C210" s="509">
        <f t="shared" ref="C210" si="475">INDEX($C$7:$C$149,MATCH($F210,$F$7:$F$149,0))</f>
        <v>5</v>
      </c>
      <c r="D210" s="523" t="str">
        <f>D178</f>
        <v>Конец демонтажа</v>
      </c>
      <c r="E210" s="523" t="str">
        <f t="shared" ref="E210" si="476">INDEX($D$7:$D$149,MATCH($F210,$F$7:$F$149,0))</f>
        <v>ВМР</v>
      </c>
      <c r="F210" s="529" t="str">
        <f t="shared" ref="F210" si="477">F15</f>
        <v>Демонтаж  БУ</v>
      </c>
      <c r="G210" s="421" t="s">
        <v>312</v>
      </c>
      <c r="H210" s="420">
        <f t="shared" ref="H210:N210" si="478">IF(MONTH(H$199)=MONTH(INDEX($E$167:$E$179,MATCH($D210,$D$167:$D$179,0),1)),$P15,0)</f>
        <v>0</v>
      </c>
      <c r="I210" s="420">
        <f t="shared" si="478"/>
        <v>0</v>
      </c>
      <c r="J210" s="420">
        <f t="shared" si="478"/>
        <v>0</v>
      </c>
      <c r="K210" s="420">
        <f t="shared" si="478"/>
        <v>0</v>
      </c>
      <c r="L210" s="420">
        <f t="shared" si="478"/>
        <v>0</v>
      </c>
      <c r="M210" s="420">
        <f t="shared" si="478"/>
        <v>0</v>
      </c>
      <c r="N210" s="420">
        <f t="shared" si="478"/>
        <v>0</v>
      </c>
      <c r="O210" s="432">
        <f t="shared" si="463"/>
        <v>0</v>
      </c>
      <c r="P210" s="504"/>
      <c r="R210" s="476"/>
    </row>
    <row r="211" spans="1:18" ht="19.5" thickBot="1">
      <c r="A211" s="476"/>
      <c r="C211" s="504"/>
      <c r="D211" s="524"/>
      <c r="E211" s="524"/>
      <c r="F211" s="526"/>
      <c r="G211" s="426" t="s">
        <v>335</v>
      </c>
      <c r="H211" s="427">
        <f t="shared" ref="H211:N211" si="479">IF(MONTH(H$199)=MONTH(INDEX($E$167:$E$179,MATCH($D210,$D$167:$D$179,0),1)),$P16,0)</f>
        <v>0</v>
      </c>
      <c r="I211" s="427">
        <f t="shared" si="479"/>
        <v>0</v>
      </c>
      <c r="J211" s="427">
        <f t="shared" si="479"/>
        <v>0</v>
      </c>
      <c r="K211" s="427">
        <f t="shared" si="479"/>
        <v>0</v>
      </c>
      <c r="L211" s="427">
        <f t="shared" si="479"/>
        <v>0</v>
      </c>
      <c r="M211" s="427">
        <f t="shared" si="479"/>
        <v>0</v>
      </c>
      <c r="N211" s="427">
        <f t="shared" si="479"/>
        <v>0</v>
      </c>
      <c r="O211" s="429">
        <f t="shared" si="463"/>
        <v>0</v>
      </c>
      <c r="P211" s="504"/>
      <c r="R211" s="476"/>
    </row>
    <row r="212" spans="1:18" ht="19.5" thickTop="1">
      <c r="A212" s="476"/>
      <c r="C212" s="504"/>
      <c r="D212" s="504" t="s">
        <v>528</v>
      </c>
      <c r="E212" s="504"/>
      <c r="F212" s="504"/>
      <c r="G212" s="504" t="s">
        <v>335</v>
      </c>
      <c r="H212" s="505">
        <f>SUMIF($G$202:$G$211,$G$212,H202:H211)</f>
        <v>0</v>
      </c>
      <c r="I212" s="505">
        <f t="shared" ref="I212:O212" si="480">SUMIF($G$202:$G$211,$G$212,I202:I211)</f>
        <v>39281000</v>
      </c>
      <c r="J212" s="505">
        <f t="shared" si="480"/>
        <v>0</v>
      </c>
      <c r="K212" s="505">
        <f t="shared" si="480"/>
        <v>0</v>
      </c>
      <c r="L212" s="505">
        <f t="shared" si="480"/>
        <v>0</v>
      </c>
      <c r="M212" s="505">
        <f t="shared" si="480"/>
        <v>0</v>
      </c>
      <c r="N212" s="505">
        <f t="shared" si="480"/>
        <v>0</v>
      </c>
      <c r="O212" s="505">
        <f t="shared" si="480"/>
        <v>39281000</v>
      </c>
      <c r="P212" s="504"/>
      <c r="R212" s="476"/>
    </row>
    <row r="213" spans="1:18" ht="18.75">
      <c r="A213" s="476"/>
      <c r="R213" s="476"/>
    </row>
    <row r="214" spans="1:18" ht="19.5" thickBot="1">
      <c r="A214" s="476"/>
      <c r="C214" s="504" t="s">
        <v>623</v>
      </c>
      <c r="D214" s="503"/>
      <c r="E214" s="503"/>
      <c r="F214" s="503"/>
      <c r="G214" s="503"/>
      <c r="H214" s="503"/>
      <c r="I214" s="503"/>
      <c r="J214" s="503"/>
      <c r="K214" s="503"/>
      <c r="L214" s="503"/>
      <c r="M214" s="503"/>
      <c r="N214" s="503"/>
      <c r="O214" s="503"/>
      <c r="P214" s="504"/>
      <c r="R214" s="476"/>
    </row>
    <row r="215" spans="1:18" ht="19.5" thickTop="1">
      <c r="A215" s="476"/>
      <c r="C215" s="509">
        <f>INDEX($C$7:$C$149,MATCH($F215,$F$7:$F$149,0))</f>
        <v>6</v>
      </c>
      <c r="D215" s="527" t="s">
        <v>633</v>
      </c>
      <c r="E215" s="523" t="str">
        <f t="shared" ref="E215" si="481">INDEX($D$7:$D$149,MATCH($F215,$F$7:$F$149,0))</f>
        <v>Сут.ставка</v>
      </c>
      <c r="F215" s="529" t="str">
        <f>F20</f>
        <v xml:space="preserve">Суточная ставка работы буровой бригады </v>
      </c>
      <c r="G215" s="421" t="s">
        <v>312</v>
      </c>
      <c r="H215" s="420">
        <f t="shared" ref="H215:N215" si="482">H$167</f>
        <v>24</v>
      </c>
      <c r="I215" s="420">
        <f t="shared" si="482"/>
        <v>18</v>
      </c>
      <c r="J215" s="420">
        <f t="shared" si="482"/>
        <v>0</v>
      </c>
      <c r="K215" s="420">
        <f t="shared" si="482"/>
        <v>0</v>
      </c>
      <c r="L215" s="420">
        <f t="shared" si="482"/>
        <v>0</v>
      </c>
      <c r="M215" s="420">
        <f t="shared" si="482"/>
        <v>0</v>
      </c>
      <c r="N215" s="420">
        <f t="shared" si="482"/>
        <v>0</v>
      </c>
      <c r="O215" s="432">
        <f>SUM(H215:N215)</f>
        <v>42</v>
      </c>
      <c r="P215" s="504"/>
      <c r="Q215" s="264" t="s">
        <v>634</v>
      </c>
      <c r="R215" s="476"/>
    </row>
    <row r="216" spans="1:18" ht="19.5" thickBot="1">
      <c r="A216" s="476"/>
      <c r="C216" s="504"/>
      <c r="D216" s="528"/>
      <c r="E216" s="524"/>
      <c r="F216" s="526"/>
      <c r="G216" s="426" t="s">
        <v>335</v>
      </c>
      <c r="H216" s="427">
        <f>$G$20*H215</f>
        <v>26997120</v>
      </c>
      <c r="I216" s="427">
        <f t="shared" ref="I216:N216" si="483">$G$20*I215</f>
        <v>20247840</v>
      </c>
      <c r="J216" s="427">
        <f t="shared" si="483"/>
        <v>0</v>
      </c>
      <c r="K216" s="427">
        <f t="shared" si="483"/>
        <v>0</v>
      </c>
      <c r="L216" s="427">
        <f t="shared" si="483"/>
        <v>0</v>
      </c>
      <c r="M216" s="427">
        <f t="shared" si="483"/>
        <v>0</v>
      </c>
      <c r="N216" s="427">
        <f t="shared" si="483"/>
        <v>0</v>
      </c>
      <c r="O216" s="429">
        <f>SUM(H216:N216)</f>
        <v>47244960</v>
      </c>
      <c r="P216" s="504"/>
      <c r="Q216" s="264" t="s">
        <v>635</v>
      </c>
      <c r="R216" s="476"/>
    </row>
    <row r="217" spans="1:18" ht="7.5" customHeight="1" thickTop="1" thickBot="1">
      <c r="A217" s="476"/>
      <c r="C217" s="504"/>
      <c r="D217" s="504"/>
      <c r="E217" s="504"/>
      <c r="F217" s="504"/>
      <c r="G217" s="504"/>
      <c r="H217" s="505"/>
      <c r="I217" s="505"/>
      <c r="J217" s="505"/>
      <c r="K217" s="505"/>
      <c r="L217" s="505"/>
      <c r="M217" s="505"/>
      <c r="N217" s="505"/>
      <c r="O217" s="505"/>
      <c r="P217" s="504"/>
      <c r="R217" s="476"/>
    </row>
    <row r="218" spans="1:18" ht="19.5" thickTop="1">
      <c r="A218" s="476"/>
      <c r="C218" s="509">
        <f t="shared" ref="C218" si="484">INDEX($C$7:$C$149,MATCH($F218,$F$7:$F$149,0))</f>
        <v>7</v>
      </c>
      <c r="D218" s="523" t="str">
        <f>$D$172</f>
        <v>Конец бурения скважины</v>
      </c>
      <c r="E218" s="523" t="str">
        <f t="shared" ref="E218" si="485">INDEX($D$7:$D$149,MATCH($F218,$F$7:$F$149,0))</f>
        <v>Долота</v>
      </c>
      <c r="F218" s="529" t="str">
        <f>F23</f>
        <v>550 мм долото для бурения под направление (долото+сервис)</v>
      </c>
      <c r="G218" s="421" t="s">
        <v>312</v>
      </c>
      <c r="H218" s="420">
        <f t="shared" ref="H218:N218" si="486">IF(MONTH(H$199)=MONTH(INDEX($E$167:$E$179,MATCH($D218,$D$167:$D$179,0),1)),$P23,0)</f>
        <v>0</v>
      </c>
      <c r="I218" s="420">
        <f t="shared" si="486"/>
        <v>0</v>
      </c>
      <c r="J218" s="420">
        <f t="shared" si="486"/>
        <v>0</v>
      </c>
      <c r="K218" s="420">
        <f t="shared" si="486"/>
        <v>0</v>
      </c>
      <c r="L218" s="420">
        <f t="shared" si="486"/>
        <v>0</v>
      </c>
      <c r="M218" s="420">
        <f t="shared" si="486"/>
        <v>0</v>
      </c>
      <c r="N218" s="420">
        <f t="shared" si="486"/>
        <v>0</v>
      </c>
      <c r="O218" s="432">
        <f t="shared" ref="O218:O219" si="487">SUM(H218:N218)</f>
        <v>0</v>
      </c>
      <c r="P218" s="504"/>
      <c r="R218" s="476"/>
    </row>
    <row r="219" spans="1:18" ht="19.5" thickBot="1">
      <c r="A219" s="476"/>
      <c r="C219" s="504"/>
      <c r="D219" s="524"/>
      <c r="E219" s="524"/>
      <c r="F219" s="526"/>
      <c r="G219" s="426" t="s">
        <v>335</v>
      </c>
      <c r="H219" s="427">
        <f t="shared" ref="H219:N219" si="488">IF(MONTH(H$199)=MONTH(INDEX($E$167:$E$179,MATCH($D218,$D$167:$D$179,0),1)),$P24,0)</f>
        <v>0</v>
      </c>
      <c r="I219" s="427">
        <f t="shared" si="488"/>
        <v>0</v>
      </c>
      <c r="J219" s="427">
        <f t="shared" si="488"/>
        <v>0</v>
      </c>
      <c r="K219" s="427">
        <f t="shared" si="488"/>
        <v>0</v>
      </c>
      <c r="L219" s="427">
        <f t="shared" si="488"/>
        <v>0</v>
      </c>
      <c r="M219" s="427">
        <f t="shared" si="488"/>
        <v>0</v>
      </c>
      <c r="N219" s="427">
        <f t="shared" si="488"/>
        <v>0</v>
      </c>
      <c r="O219" s="429">
        <f t="shared" si="487"/>
        <v>0</v>
      </c>
      <c r="P219" s="504"/>
      <c r="R219" s="476"/>
    </row>
    <row r="220" spans="1:18" ht="19.5" thickTop="1">
      <c r="A220" s="476"/>
      <c r="C220" s="509">
        <f t="shared" ref="C220" si="489">INDEX($C$7:$C$149,MATCH($F220,$F$7:$F$149,0))</f>
        <v>8</v>
      </c>
      <c r="D220" s="523" t="str">
        <f t="shared" ref="D220" si="490">$D$172</f>
        <v>Конец бурения скважины</v>
      </c>
      <c r="E220" s="523" t="str">
        <f t="shared" ref="E220" si="491">INDEX($D$7:$D$149,MATCH($F220,$F$7:$F$149,0))</f>
        <v>Долота</v>
      </c>
      <c r="F220" s="529" t="str">
        <f t="shared" ref="F220" si="492">F25</f>
        <v>393,7 мм долото для бурения под направление (долото+сервис)</v>
      </c>
      <c r="G220" s="421" t="s">
        <v>312</v>
      </c>
      <c r="H220" s="420">
        <f t="shared" ref="H220:N220" si="493">IF(MONTH(H$199)=MONTH(INDEX($E$167:$E$179,MATCH($D220,$D$167:$D$179,0),1)),$P25,0)</f>
        <v>0</v>
      </c>
      <c r="I220" s="420">
        <f t="shared" si="493"/>
        <v>0</v>
      </c>
      <c r="J220" s="420">
        <f t="shared" si="493"/>
        <v>360</v>
      </c>
      <c r="K220" s="420">
        <f t="shared" si="493"/>
        <v>0</v>
      </c>
      <c r="L220" s="420">
        <f t="shared" si="493"/>
        <v>0</v>
      </c>
      <c r="M220" s="420">
        <f t="shared" si="493"/>
        <v>0</v>
      </c>
      <c r="N220" s="420">
        <f t="shared" si="493"/>
        <v>0</v>
      </c>
      <c r="O220" s="432">
        <f t="shared" ref="O220:O227" si="494">SUM(H220:N220)</f>
        <v>360</v>
      </c>
      <c r="P220" s="504"/>
      <c r="R220" s="476"/>
    </row>
    <row r="221" spans="1:18" ht="19.5" thickBot="1">
      <c r="A221" s="476"/>
      <c r="C221" s="504"/>
      <c r="D221" s="524"/>
      <c r="E221" s="524"/>
      <c r="F221" s="526"/>
      <c r="G221" s="426" t="s">
        <v>335</v>
      </c>
      <c r="H221" s="427">
        <f t="shared" ref="H221:N221" si="495">IF(MONTH(H$199)=MONTH(INDEX($E$167:$E$179,MATCH($D220,$D$167:$D$179,0),1)),$P26,0)</f>
        <v>0</v>
      </c>
      <c r="I221" s="427">
        <f t="shared" si="495"/>
        <v>0</v>
      </c>
      <c r="J221" s="427">
        <f t="shared" si="495"/>
        <v>75787.199999999997</v>
      </c>
      <c r="K221" s="427">
        <f t="shared" si="495"/>
        <v>0</v>
      </c>
      <c r="L221" s="427">
        <f t="shared" si="495"/>
        <v>0</v>
      </c>
      <c r="M221" s="427">
        <f t="shared" si="495"/>
        <v>0</v>
      </c>
      <c r="N221" s="427">
        <f t="shared" si="495"/>
        <v>0</v>
      </c>
      <c r="O221" s="429">
        <f t="shared" si="494"/>
        <v>75787.199999999997</v>
      </c>
      <c r="P221" s="504"/>
      <c r="R221" s="476"/>
    </row>
    <row r="222" spans="1:18" ht="19.5" thickTop="1">
      <c r="A222" s="476"/>
      <c r="C222" s="509">
        <f t="shared" ref="C222" si="496">INDEX($C$7:$C$149,MATCH($F222,$F$7:$F$149,0))</f>
        <v>9</v>
      </c>
      <c r="D222" s="523" t="str">
        <f t="shared" ref="D222" si="497">$D$172</f>
        <v>Конец бурения скважины</v>
      </c>
      <c r="E222" s="523" t="str">
        <f t="shared" ref="E222" si="498">INDEX($D$7:$D$149,MATCH($F222,$F$7:$F$149,0))</f>
        <v>Долота</v>
      </c>
      <c r="F222" s="529" t="str">
        <f t="shared" ref="F222" si="499">F27</f>
        <v>295,3 мм долото для бурения под кондуктор (долото+сервис)</v>
      </c>
      <c r="G222" s="421" t="s">
        <v>312</v>
      </c>
      <c r="H222" s="420">
        <f t="shared" ref="H222:N222" si="500">IF(MONTH(H$199)=MONTH(INDEX($E$167:$E$179,MATCH($D222,$D$167:$D$179,0),1)),$P27,0)</f>
        <v>0</v>
      </c>
      <c r="I222" s="420">
        <f t="shared" si="500"/>
        <v>0</v>
      </c>
      <c r="J222" s="420">
        <f t="shared" si="500"/>
        <v>990</v>
      </c>
      <c r="K222" s="420">
        <f t="shared" si="500"/>
        <v>0</v>
      </c>
      <c r="L222" s="420">
        <f t="shared" si="500"/>
        <v>0</v>
      </c>
      <c r="M222" s="420">
        <f t="shared" si="500"/>
        <v>0</v>
      </c>
      <c r="N222" s="420">
        <f t="shared" si="500"/>
        <v>0</v>
      </c>
      <c r="O222" s="432">
        <f t="shared" si="494"/>
        <v>990</v>
      </c>
      <c r="P222" s="504"/>
      <c r="R222" s="476"/>
    </row>
    <row r="223" spans="1:18" ht="19.5" thickBot="1">
      <c r="A223" s="476"/>
      <c r="C223" s="504"/>
      <c r="D223" s="524"/>
      <c r="E223" s="524"/>
      <c r="F223" s="526"/>
      <c r="G223" s="426" t="s">
        <v>335</v>
      </c>
      <c r="H223" s="427">
        <f t="shared" ref="H223:N223" si="501">IF(MONTH(H$199)=MONTH(INDEX($E$167:$E$179,MATCH($D222,$D$167:$D$179,0),1)),$P28,0)</f>
        <v>0</v>
      </c>
      <c r="I223" s="427">
        <f t="shared" si="501"/>
        <v>0</v>
      </c>
      <c r="J223" s="427">
        <f t="shared" si="501"/>
        <v>243262.8</v>
      </c>
      <c r="K223" s="427">
        <f t="shared" si="501"/>
        <v>0</v>
      </c>
      <c r="L223" s="427">
        <f t="shared" si="501"/>
        <v>0</v>
      </c>
      <c r="M223" s="427">
        <f t="shared" si="501"/>
        <v>0</v>
      </c>
      <c r="N223" s="427">
        <f t="shared" si="501"/>
        <v>0</v>
      </c>
      <c r="O223" s="429">
        <f t="shared" si="494"/>
        <v>243262.8</v>
      </c>
      <c r="P223" s="504"/>
      <c r="R223" s="476"/>
    </row>
    <row r="224" spans="1:18" ht="19.5" thickTop="1">
      <c r="A224" s="476"/>
      <c r="C224" s="509">
        <f t="shared" ref="C224" si="502">INDEX($C$7:$C$149,MATCH($F224,$F$7:$F$149,0))</f>
        <v>10</v>
      </c>
      <c r="D224" s="523" t="str">
        <f t="shared" ref="D224" si="503">$D$172</f>
        <v>Конец бурения скважины</v>
      </c>
      <c r="E224" s="523" t="str">
        <f t="shared" ref="E224" si="504">INDEX($D$7:$D$149,MATCH($F224,$F$7:$F$149,0))</f>
        <v>Долота</v>
      </c>
      <c r="F224" s="529" t="str">
        <f t="shared" ref="F224" si="505">F29</f>
        <v>220,7 мм долото для бурения эксплуатационную колонну (долото+сервис)</v>
      </c>
      <c r="G224" s="421" t="s">
        <v>312</v>
      </c>
      <c r="H224" s="420">
        <f t="shared" ref="H224:N224" si="506">IF(MONTH(H$199)=MONTH(INDEX($E$167:$E$179,MATCH($D224,$D$167:$D$179,0),1)),$P29,0)</f>
        <v>0</v>
      </c>
      <c r="I224" s="420">
        <f t="shared" si="506"/>
        <v>0</v>
      </c>
      <c r="J224" s="420">
        <f t="shared" si="506"/>
        <v>2950</v>
      </c>
      <c r="K224" s="420">
        <f t="shared" si="506"/>
        <v>0</v>
      </c>
      <c r="L224" s="420">
        <f t="shared" si="506"/>
        <v>0</v>
      </c>
      <c r="M224" s="420">
        <f t="shared" si="506"/>
        <v>0</v>
      </c>
      <c r="N224" s="420">
        <f t="shared" si="506"/>
        <v>0</v>
      </c>
      <c r="O224" s="432">
        <f t="shared" si="494"/>
        <v>2950</v>
      </c>
      <c r="P224" s="504"/>
      <c r="R224" s="476"/>
    </row>
    <row r="225" spans="1:18" ht="19.5" thickBot="1">
      <c r="A225" s="476"/>
      <c r="C225" s="504"/>
      <c r="D225" s="524"/>
      <c r="E225" s="524"/>
      <c r="F225" s="526"/>
      <c r="G225" s="426" t="s">
        <v>335</v>
      </c>
      <c r="H225" s="427">
        <f t="shared" ref="H225:N225" si="507">IF(MONTH(H$199)=MONTH(INDEX($E$167:$E$179,MATCH($D224,$D$167:$D$179,0),1)),$P30,0)</f>
        <v>0</v>
      </c>
      <c r="I225" s="427">
        <f t="shared" si="507"/>
        <v>0</v>
      </c>
      <c r="J225" s="427">
        <f t="shared" si="507"/>
        <v>615930.5</v>
      </c>
      <c r="K225" s="427">
        <f t="shared" si="507"/>
        <v>0</v>
      </c>
      <c r="L225" s="427">
        <f t="shared" si="507"/>
        <v>0</v>
      </c>
      <c r="M225" s="427">
        <f t="shared" si="507"/>
        <v>0</v>
      </c>
      <c r="N225" s="427">
        <f t="shared" si="507"/>
        <v>0</v>
      </c>
      <c r="O225" s="429">
        <f t="shared" si="494"/>
        <v>615930.5</v>
      </c>
      <c r="P225" s="504"/>
      <c r="R225" s="476"/>
    </row>
    <row r="226" spans="1:18" ht="19.5" thickTop="1">
      <c r="A226" s="476"/>
      <c r="C226" s="509">
        <f t="shared" ref="C226:C292" si="508">INDEX($C$7:$C$149,MATCH($F226,$F$7:$F$149,0))</f>
        <v>11</v>
      </c>
      <c r="D226" s="523" t="str">
        <f t="shared" ref="D226:D241" si="509">$D$172</f>
        <v>Конец бурения скважины</v>
      </c>
      <c r="E226" s="523" t="str">
        <f t="shared" ref="E226" si="510">INDEX($D$7:$D$149,MATCH($F226,$F$7:$F$149,0))</f>
        <v>Долота</v>
      </c>
      <c r="F226" s="529" t="str">
        <f>F31</f>
        <v>155,6 мм долото для бурения под хвостовик (долото+сервис)</v>
      </c>
      <c r="G226" s="421" t="s">
        <v>312</v>
      </c>
      <c r="H226" s="420">
        <f t="shared" ref="H226:N226" si="511">IF(MONTH(H$199)=MONTH(INDEX($E$167:$E$179,MATCH($D226,$D$167:$D$179,0),1)),$P31,0)</f>
        <v>0</v>
      </c>
      <c r="I226" s="420">
        <f t="shared" si="511"/>
        <v>0</v>
      </c>
      <c r="J226" s="420">
        <f t="shared" si="511"/>
        <v>900</v>
      </c>
      <c r="K226" s="420">
        <f t="shared" si="511"/>
        <v>0</v>
      </c>
      <c r="L226" s="420">
        <f t="shared" si="511"/>
        <v>0</v>
      </c>
      <c r="M226" s="420">
        <f t="shared" si="511"/>
        <v>0</v>
      </c>
      <c r="N226" s="420">
        <f t="shared" si="511"/>
        <v>0</v>
      </c>
      <c r="O226" s="432">
        <f t="shared" si="494"/>
        <v>900</v>
      </c>
      <c r="P226" s="504"/>
      <c r="R226" s="476"/>
    </row>
    <row r="227" spans="1:18" ht="19.5" thickBot="1">
      <c r="A227" s="476"/>
      <c r="C227" s="504"/>
      <c r="D227" s="524"/>
      <c r="E227" s="524"/>
      <c r="F227" s="526"/>
      <c r="G227" s="426" t="s">
        <v>335</v>
      </c>
      <c r="H227" s="427">
        <f t="shared" ref="H227:N227" si="512">IF(MONTH(H$199)=MONTH(INDEX($E$167:$E$179,MATCH($D226,$D$167:$D$179,0),1)),$P32,0)</f>
        <v>0</v>
      </c>
      <c r="I227" s="427">
        <f t="shared" si="512"/>
        <v>0</v>
      </c>
      <c r="J227" s="427">
        <f t="shared" si="512"/>
        <v>253530</v>
      </c>
      <c r="K227" s="427">
        <f t="shared" si="512"/>
        <v>0</v>
      </c>
      <c r="L227" s="427">
        <f t="shared" si="512"/>
        <v>0</v>
      </c>
      <c r="M227" s="427">
        <f t="shared" si="512"/>
        <v>0</v>
      </c>
      <c r="N227" s="427">
        <f t="shared" si="512"/>
        <v>0</v>
      </c>
      <c r="O227" s="429">
        <f t="shared" si="494"/>
        <v>253530</v>
      </c>
      <c r="P227" s="504"/>
      <c r="R227" s="476"/>
    </row>
    <row r="228" spans="1:18" ht="20.25" thickTop="1" thickBot="1">
      <c r="A228" s="476"/>
      <c r="C228" s="504"/>
      <c r="D228" s="504"/>
      <c r="E228" s="504" t="s">
        <v>529</v>
      </c>
      <c r="F228" s="504"/>
      <c r="G228" s="504" t="s">
        <v>335</v>
      </c>
      <c r="H228" s="505">
        <f t="shared" ref="H228:N228" si="513">SUMIF($G218:$G227,$G228,H218:H227)</f>
        <v>0</v>
      </c>
      <c r="I228" s="505">
        <f t="shared" si="513"/>
        <v>0</v>
      </c>
      <c r="J228" s="505">
        <f t="shared" si="513"/>
        <v>1188510.5</v>
      </c>
      <c r="K228" s="505">
        <f t="shared" si="513"/>
        <v>0</v>
      </c>
      <c r="L228" s="505">
        <f t="shared" si="513"/>
        <v>0</v>
      </c>
      <c r="M228" s="505">
        <f t="shared" si="513"/>
        <v>0</v>
      </c>
      <c r="N228" s="505">
        <f t="shared" si="513"/>
        <v>0</v>
      </c>
      <c r="O228" s="505">
        <f>SUMIF($G218:$G227,$G228,O218:O227)</f>
        <v>1188510.5</v>
      </c>
      <c r="P228" s="504"/>
      <c r="R228" s="476"/>
    </row>
    <row r="229" spans="1:18" ht="19.5" thickTop="1">
      <c r="A229" s="476"/>
      <c r="C229" s="509">
        <f t="shared" si="508"/>
        <v>12</v>
      </c>
      <c r="D229" s="523" t="str">
        <f t="shared" si="509"/>
        <v>Конец бурения скважины</v>
      </c>
      <c r="E229" s="523" t="str">
        <f>INDEX($D$7:$D$149,MATCH($F229,$F$7:$F$149,0))</f>
        <v>Телемерия</v>
      </c>
      <c r="F229" s="529" t="str">
        <f>F34</f>
        <v>Операционная ставка в режиме работы</v>
      </c>
      <c r="G229" s="421" t="s">
        <v>312</v>
      </c>
      <c r="H229" s="420">
        <f t="shared" ref="H229:N229" si="514">IF(MONTH(H$199)=MONTH(INDEX($E$167:$E$179,MATCH($D229,$D$167:$D$179,0),1)),$P34,0)</f>
        <v>0</v>
      </c>
      <c r="I229" s="420">
        <f t="shared" si="514"/>
        <v>0</v>
      </c>
      <c r="J229" s="420">
        <f t="shared" si="514"/>
        <v>24.5</v>
      </c>
      <c r="K229" s="420">
        <f t="shared" si="514"/>
        <v>0</v>
      </c>
      <c r="L229" s="420">
        <f t="shared" si="514"/>
        <v>0</v>
      </c>
      <c r="M229" s="420">
        <f t="shared" si="514"/>
        <v>0</v>
      </c>
      <c r="N229" s="420">
        <f t="shared" si="514"/>
        <v>0</v>
      </c>
      <c r="O229" s="432">
        <f t="shared" ref="O229:O230" si="515">SUM(H229:N229)</f>
        <v>24.5</v>
      </c>
      <c r="P229" s="504"/>
      <c r="R229" s="476"/>
    </row>
    <row r="230" spans="1:18" ht="19.5" thickBot="1">
      <c r="A230" s="476"/>
      <c r="C230" s="504"/>
      <c r="D230" s="524"/>
      <c r="E230" s="524"/>
      <c r="F230" s="526"/>
      <c r="G230" s="426" t="s">
        <v>335</v>
      </c>
      <c r="H230" s="427">
        <f t="shared" ref="H230:N230" si="516">IF(MONTH(H$199)=MONTH(INDEX($E$167:$E$179,MATCH($D229,$D$167:$D$179,0),1)),$P35,0)</f>
        <v>0</v>
      </c>
      <c r="I230" s="427">
        <f t="shared" si="516"/>
        <v>0</v>
      </c>
      <c r="J230" s="427">
        <f t="shared" si="516"/>
        <v>6056402.9399999995</v>
      </c>
      <c r="K230" s="427">
        <f t="shared" si="516"/>
        <v>0</v>
      </c>
      <c r="L230" s="427">
        <f t="shared" si="516"/>
        <v>0</v>
      </c>
      <c r="M230" s="427">
        <f t="shared" si="516"/>
        <v>0</v>
      </c>
      <c r="N230" s="427">
        <f t="shared" si="516"/>
        <v>0</v>
      </c>
      <c r="O230" s="429">
        <f t="shared" si="515"/>
        <v>6056402.9399999995</v>
      </c>
      <c r="P230" s="504"/>
      <c r="R230" s="476"/>
    </row>
    <row r="231" spans="1:18" ht="19.5" thickTop="1">
      <c r="A231" s="476"/>
      <c r="C231" s="509">
        <f t="shared" si="508"/>
        <v>13</v>
      </c>
      <c r="D231" s="523" t="str">
        <f t="shared" si="509"/>
        <v>Конец бурения скважины</v>
      </c>
      <c r="E231" s="523" t="str">
        <f t="shared" ref="E231" si="517">INDEX($D$7:$D$149,MATCH($F231,$F$7:$F$149,0))</f>
        <v>Телемерия</v>
      </c>
      <c r="F231" s="529" t="str">
        <f t="shared" ref="F231" si="518">F36</f>
        <v>Операционная ставка в режиме ожидания</v>
      </c>
      <c r="G231" s="421" t="s">
        <v>312</v>
      </c>
      <c r="H231" s="420">
        <f t="shared" ref="H231:N231" si="519">IF(MONTH(H$199)=MONTH(INDEX($E$167:$E$179,MATCH($D231,$D$167:$D$179,0),1)),$P36,0)</f>
        <v>0</v>
      </c>
      <c r="I231" s="420">
        <f t="shared" si="519"/>
        <v>0</v>
      </c>
      <c r="J231" s="420">
        <f t="shared" si="519"/>
        <v>5.5</v>
      </c>
      <c r="K231" s="420">
        <f t="shared" si="519"/>
        <v>0</v>
      </c>
      <c r="L231" s="420">
        <f t="shared" si="519"/>
        <v>0</v>
      </c>
      <c r="M231" s="420">
        <f t="shared" si="519"/>
        <v>0</v>
      </c>
      <c r="N231" s="420">
        <f t="shared" si="519"/>
        <v>0</v>
      </c>
      <c r="O231" s="432">
        <f t="shared" ref="O231:O242" si="520">SUM(H231:N231)</f>
        <v>5.5</v>
      </c>
      <c r="P231" s="504"/>
      <c r="R231" s="476"/>
    </row>
    <row r="232" spans="1:18" ht="19.5" thickBot="1">
      <c r="A232" s="476"/>
      <c r="C232" s="504"/>
      <c r="D232" s="524"/>
      <c r="E232" s="524"/>
      <c r="F232" s="526"/>
      <c r="G232" s="426" t="s">
        <v>335</v>
      </c>
      <c r="H232" s="427">
        <f t="shared" ref="H232:N232" si="521">IF(MONTH(H$199)=MONTH(INDEX($E$167:$E$179,MATCH($D231,$D$167:$D$179,0),1)),$P37,0)</f>
        <v>0</v>
      </c>
      <c r="I232" s="427">
        <f t="shared" si="521"/>
        <v>0</v>
      </c>
      <c r="J232" s="427">
        <f t="shared" si="521"/>
        <v>386512.88500000001</v>
      </c>
      <c r="K232" s="427">
        <f t="shared" si="521"/>
        <v>0</v>
      </c>
      <c r="L232" s="427">
        <f t="shared" si="521"/>
        <v>0</v>
      </c>
      <c r="M232" s="427">
        <f t="shared" si="521"/>
        <v>0</v>
      </c>
      <c r="N232" s="427">
        <f t="shared" si="521"/>
        <v>0</v>
      </c>
      <c r="O232" s="429">
        <f t="shared" si="520"/>
        <v>386512.88500000001</v>
      </c>
      <c r="P232" s="504"/>
      <c r="R232" s="476"/>
    </row>
    <row r="233" spans="1:18" ht="19.5" thickTop="1">
      <c r="A233" s="476"/>
      <c r="C233" s="509">
        <f t="shared" si="508"/>
        <v>14</v>
      </c>
      <c r="D233" s="523" t="str">
        <f t="shared" si="509"/>
        <v>Конец бурения скважины</v>
      </c>
      <c r="E233" s="523" t="str">
        <f t="shared" ref="E233" si="522">INDEX($D$7:$D$149,MATCH($F233,$F$7:$F$149,0))</f>
        <v>Телемерия</v>
      </c>
      <c r="F233" s="529" t="str">
        <f t="shared" ref="F233:F241" si="523">F38</f>
        <v>Гамма -каротаж и сопротивление в режиме реального времени или записи</v>
      </c>
      <c r="G233" s="421" t="s">
        <v>312</v>
      </c>
      <c r="H233" s="420">
        <f t="shared" ref="H233:N233" si="524">IF(MONTH(H$199)=MONTH(INDEX($E$167:$E$179,MATCH($D233,$D$167:$D$179,0),1)),$P38,0)</f>
        <v>0</v>
      </c>
      <c r="I233" s="420">
        <f t="shared" si="524"/>
        <v>0</v>
      </c>
      <c r="J233" s="420">
        <f t="shared" si="524"/>
        <v>0</v>
      </c>
      <c r="K233" s="420">
        <f t="shared" si="524"/>
        <v>0</v>
      </c>
      <c r="L233" s="420">
        <f t="shared" si="524"/>
        <v>0</v>
      </c>
      <c r="M233" s="420">
        <f t="shared" si="524"/>
        <v>0</v>
      </c>
      <c r="N233" s="420">
        <f t="shared" si="524"/>
        <v>0</v>
      </c>
      <c r="O233" s="432">
        <f t="shared" si="520"/>
        <v>0</v>
      </c>
      <c r="P233" s="504"/>
      <c r="R233" s="476"/>
    </row>
    <row r="234" spans="1:18" ht="19.5" thickBot="1">
      <c r="A234" s="476"/>
      <c r="C234" s="504"/>
      <c r="D234" s="524"/>
      <c r="E234" s="524"/>
      <c r="F234" s="526"/>
      <c r="G234" s="426" t="s">
        <v>335</v>
      </c>
      <c r="H234" s="427">
        <f t="shared" ref="H234:N234" si="525">IF(MONTH(H$199)=MONTH(INDEX($E$167:$E$179,MATCH($D233,$D$167:$D$179,0),1)),$P39,0)</f>
        <v>0</v>
      </c>
      <c r="I234" s="427">
        <f t="shared" si="525"/>
        <v>0</v>
      </c>
      <c r="J234" s="427">
        <f t="shared" si="525"/>
        <v>0</v>
      </c>
      <c r="K234" s="427">
        <f t="shared" si="525"/>
        <v>0</v>
      </c>
      <c r="L234" s="427">
        <f t="shared" si="525"/>
        <v>0</v>
      </c>
      <c r="M234" s="427">
        <f t="shared" si="525"/>
        <v>0</v>
      </c>
      <c r="N234" s="427">
        <f t="shared" si="525"/>
        <v>0</v>
      </c>
      <c r="O234" s="429">
        <f t="shared" si="520"/>
        <v>0</v>
      </c>
      <c r="P234" s="504"/>
      <c r="R234" s="476"/>
    </row>
    <row r="235" spans="1:18" ht="19.5" thickTop="1">
      <c r="A235" s="476"/>
      <c r="C235" s="509">
        <f t="shared" si="508"/>
        <v>15</v>
      </c>
      <c r="D235" s="523" t="str">
        <f t="shared" si="509"/>
        <v>Конец бурения скважины</v>
      </c>
      <c r="E235" s="523" t="str">
        <f t="shared" ref="E235" si="526">INDEX($D$7:$D$149,MATCH($F235,$F$7:$F$149,0))</f>
        <v>Телемерия</v>
      </c>
      <c r="F235" s="529" t="str">
        <f t="shared" si="523"/>
        <v>Операционная ставка в режиме работы РУС 121-143 мм</v>
      </c>
      <c r="G235" s="421" t="s">
        <v>312</v>
      </c>
      <c r="H235" s="420">
        <f t="shared" ref="H235:N235" si="527">IF(MONTH(H$199)=MONTH(INDEX($E$167:$E$179,MATCH($D235,$D$167:$D$179,0),1)),$P40,0)</f>
        <v>0</v>
      </c>
      <c r="I235" s="420">
        <f t="shared" si="527"/>
        <v>0</v>
      </c>
      <c r="J235" s="420">
        <f t="shared" si="527"/>
        <v>9</v>
      </c>
      <c r="K235" s="420">
        <f t="shared" si="527"/>
        <v>0</v>
      </c>
      <c r="L235" s="420">
        <f t="shared" si="527"/>
        <v>0</v>
      </c>
      <c r="M235" s="420">
        <f t="shared" si="527"/>
        <v>0</v>
      </c>
      <c r="N235" s="420">
        <f t="shared" si="527"/>
        <v>0</v>
      </c>
      <c r="O235" s="432">
        <f t="shared" si="520"/>
        <v>9</v>
      </c>
      <c r="P235" s="504"/>
      <c r="R235" s="476"/>
    </row>
    <row r="236" spans="1:18" ht="19.5" thickBot="1">
      <c r="A236" s="476"/>
      <c r="C236" s="504"/>
      <c r="D236" s="524"/>
      <c r="E236" s="524"/>
      <c r="F236" s="526"/>
      <c r="G236" s="426" t="s">
        <v>335</v>
      </c>
      <c r="H236" s="427">
        <f t="shared" ref="H236:N236" si="528">IF(MONTH(H$199)=MONTH(INDEX($E$167:$E$179,MATCH($D235,$D$167:$D$179,0),1)),$P41,0)</f>
        <v>0</v>
      </c>
      <c r="I236" s="427">
        <f t="shared" si="528"/>
        <v>0</v>
      </c>
      <c r="J236" s="427">
        <f t="shared" si="528"/>
        <v>8505000</v>
      </c>
      <c r="K236" s="427">
        <f t="shared" si="528"/>
        <v>0</v>
      </c>
      <c r="L236" s="427">
        <f t="shared" si="528"/>
        <v>0</v>
      </c>
      <c r="M236" s="427">
        <f t="shared" si="528"/>
        <v>0</v>
      </c>
      <c r="N236" s="427">
        <f t="shared" si="528"/>
        <v>0</v>
      </c>
      <c r="O236" s="429">
        <f t="shared" si="520"/>
        <v>8505000</v>
      </c>
      <c r="P236" s="504"/>
      <c r="R236" s="476"/>
    </row>
    <row r="237" spans="1:18" ht="19.5" thickTop="1">
      <c r="A237" s="476"/>
      <c r="C237" s="509">
        <f t="shared" si="508"/>
        <v>16</v>
      </c>
      <c r="D237" s="523" t="str">
        <f t="shared" si="509"/>
        <v>Конец бурения скважины</v>
      </c>
      <c r="E237" s="523" t="str">
        <f t="shared" ref="E237:E239" si="529">INDEX($D$7:$D$149,MATCH($F237,$F$7:$F$149,0))</f>
        <v>Телемерия</v>
      </c>
      <c r="F237" s="529" t="str">
        <f t="shared" si="523"/>
        <v>Операционная ставка в режиме ожидания РУС 121-143 мм</v>
      </c>
      <c r="G237" s="421" t="s">
        <v>312</v>
      </c>
      <c r="H237" s="420">
        <f t="shared" ref="H237:N237" si="530">IF(MONTH(H$199)=MONTH(INDEX($E$167:$E$179,MATCH($D237,$D$167:$D$179,0),1)),$P42,0)</f>
        <v>0</v>
      </c>
      <c r="I237" s="420">
        <f t="shared" si="530"/>
        <v>0</v>
      </c>
      <c r="J237" s="420">
        <f t="shared" si="530"/>
        <v>2</v>
      </c>
      <c r="K237" s="420">
        <f t="shared" si="530"/>
        <v>0</v>
      </c>
      <c r="L237" s="420">
        <f t="shared" si="530"/>
        <v>0</v>
      </c>
      <c r="M237" s="420">
        <f t="shared" si="530"/>
        <v>0</v>
      </c>
      <c r="N237" s="420">
        <f t="shared" si="530"/>
        <v>0</v>
      </c>
      <c r="O237" s="432">
        <f t="shared" si="520"/>
        <v>2</v>
      </c>
      <c r="P237" s="504"/>
      <c r="R237" s="476"/>
    </row>
    <row r="238" spans="1:18" ht="19.5" thickBot="1">
      <c r="A238" s="476"/>
      <c r="C238" s="504"/>
      <c r="D238" s="524"/>
      <c r="E238" s="524"/>
      <c r="F238" s="526"/>
      <c r="G238" s="426" t="s">
        <v>335</v>
      </c>
      <c r="H238" s="427">
        <f t="shared" ref="H238:N238" si="531">IF(MONTH(H$199)=MONTH(INDEX($E$167:$E$179,MATCH($D237,$D$167:$D$179,0),1)),$P43,0)</f>
        <v>0</v>
      </c>
      <c r="I238" s="427">
        <f t="shared" si="531"/>
        <v>0</v>
      </c>
      <c r="J238" s="427">
        <f t="shared" si="531"/>
        <v>778500</v>
      </c>
      <c r="K238" s="427">
        <f t="shared" si="531"/>
        <v>0</v>
      </c>
      <c r="L238" s="427">
        <f t="shared" si="531"/>
        <v>0</v>
      </c>
      <c r="M238" s="427">
        <f t="shared" si="531"/>
        <v>0</v>
      </c>
      <c r="N238" s="427">
        <f t="shared" si="531"/>
        <v>0</v>
      </c>
      <c r="O238" s="429">
        <f t="shared" si="520"/>
        <v>778500</v>
      </c>
      <c r="P238" s="504"/>
      <c r="R238" s="476"/>
    </row>
    <row r="239" spans="1:18" ht="19.5" thickTop="1">
      <c r="A239" s="476"/>
      <c r="C239" s="509">
        <f t="shared" si="508"/>
        <v>17</v>
      </c>
      <c r="D239" s="523" t="str">
        <f t="shared" si="509"/>
        <v>Конец бурения скважины</v>
      </c>
      <c r="E239" s="523" t="str">
        <f t="shared" si="529"/>
        <v>Телемерия</v>
      </c>
      <c r="F239" s="529" t="str">
        <f t="shared" si="523"/>
        <v>Гамма -каротаж в режиме реального времени</v>
      </c>
      <c r="G239" s="421" t="s">
        <v>312</v>
      </c>
      <c r="H239" s="420">
        <f t="shared" ref="H239:N239" si="532">IF(MONTH(H$199)=MONTH(INDEX($E$167:$E$179,MATCH($D239,$D$167:$D$179,0),1)),$P44,0)</f>
        <v>0</v>
      </c>
      <c r="I239" s="420">
        <f t="shared" si="532"/>
        <v>0</v>
      </c>
      <c r="J239" s="420">
        <f t="shared" si="532"/>
        <v>14</v>
      </c>
      <c r="K239" s="420">
        <f t="shared" si="532"/>
        <v>0</v>
      </c>
      <c r="L239" s="420">
        <f t="shared" si="532"/>
        <v>0</v>
      </c>
      <c r="M239" s="420">
        <f t="shared" si="532"/>
        <v>0</v>
      </c>
      <c r="N239" s="420">
        <f t="shared" si="532"/>
        <v>0</v>
      </c>
      <c r="O239" s="432">
        <f t="shared" si="520"/>
        <v>14</v>
      </c>
      <c r="P239" s="504"/>
      <c r="R239" s="476"/>
    </row>
    <row r="240" spans="1:18" ht="19.5" thickBot="1">
      <c r="A240" s="476"/>
      <c r="C240" s="504"/>
      <c r="D240" s="524"/>
      <c r="E240" s="524"/>
      <c r="F240" s="526"/>
      <c r="G240" s="426" t="s">
        <v>335</v>
      </c>
      <c r="H240" s="427">
        <f t="shared" ref="H240:N240" si="533">IF(MONTH(H$199)=MONTH(INDEX($E$167:$E$179,MATCH($D239,$D$167:$D$179,0),1)),$P45,0)</f>
        <v>0</v>
      </c>
      <c r="I240" s="427">
        <f t="shared" si="533"/>
        <v>0</v>
      </c>
      <c r="J240" s="427">
        <f t="shared" si="533"/>
        <v>397710.04000000004</v>
      </c>
      <c r="K240" s="427">
        <f t="shared" si="533"/>
        <v>0</v>
      </c>
      <c r="L240" s="427">
        <f t="shared" si="533"/>
        <v>0</v>
      </c>
      <c r="M240" s="427">
        <f t="shared" si="533"/>
        <v>0</v>
      </c>
      <c r="N240" s="427">
        <f t="shared" si="533"/>
        <v>0</v>
      </c>
      <c r="O240" s="429">
        <f t="shared" si="520"/>
        <v>397710.04000000004</v>
      </c>
      <c r="P240" s="504"/>
      <c r="R240" s="476"/>
    </row>
    <row r="241" spans="1:18" ht="19.5" thickTop="1">
      <c r="A241" s="476"/>
      <c r="C241" s="509">
        <f t="shared" si="508"/>
        <v>18</v>
      </c>
      <c r="D241" s="523" t="str">
        <f t="shared" si="509"/>
        <v>Конец бурения скважины</v>
      </c>
      <c r="E241" s="523" t="str">
        <f t="shared" ref="E241" si="534">INDEX($D$7:$D$149,MATCH($F241,$F$7:$F$149,0))</f>
        <v>Телемерия</v>
      </c>
      <c r="F241" s="529" t="str">
        <f t="shared" si="523"/>
        <v>Услуги персонала телеметрического и технологического сопровождения</v>
      </c>
      <c r="G241" s="421" t="s">
        <v>312</v>
      </c>
      <c r="H241" s="420">
        <f t="shared" ref="H241:N241" si="535">IF(MONTH(H$199)=MONTH(INDEX($E$167:$E$179,MATCH($D241,$D$167:$D$179,0),1)),$P46,0)</f>
        <v>0</v>
      </c>
      <c r="I241" s="420">
        <f t="shared" si="535"/>
        <v>0</v>
      </c>
      <c r="J241" s="420">
        <f t="shared" si="535"/>
        <v>1</v>
      </c>
      <c r="K241" s="420">
        <f t="shared" si="535"/>
        <v>0</v>
      </c>
      <c r="L241" s="420">
        <f t="shared" si="535"/>
        <v>0</v>
      </c>
      <c r="M241" s="420">
        <f t="shared" si="535"/>
        <v>0</v>
      </c>
      <c r="N241" s="420">
        <f t="shared" si="535"/>
        <v>0</v>
      </c>
      <c r="O241" s="432">
        <f t="shared" si="520"/>
        <v>1</v>
      </c>
      <c r="P241" s="504"/>
      <c r="R241" s="476"/>
    </row>
    <row r="242" spans="1:18" ht="19.5" thickBot="1">
      <c r="A242" s="476"/>
      <c r="C242" s="504"/>
      <c r="D242" s="524"/>
      <c r="E242" s="524"/>
      <c r="F242" s="526"/>
      <c r="G242" s="426" t="s">
        <v>335</v>
      </c>
      <c r="H242" s="427">
        <f t="shared" ref="H242:N242" si="536">IF(MONTH(H$199)=MONTH(INDEX($E$167:$E$179,MATCH($D241,$D$167:$D$179,0),1)),$P47,0)</f>
        <v>0</v>
      </c>
      <c r="I242" s="427">
        <f t="shared" si="536"/>
        <v>0</v>
      </c>
      <c r="J242" s="427">
        <f t="shared" si="536"/>
        <v>36878.519999999997</v>
      </c>
      <c r="K242" s="427">
        <f t="shared" si="536"/>
        <v>0</v>
      </c>
      <c r="L242" s="427">
        <f t="shared" si="536"/>
        <v>0</v>
      </c>
      <c r="M242" s="427">
        <f t="shared" si="536"/>
        <v>0</v>
      </c>
      <c r="N242" s="427">
        <f t="shared" si="536"/>
        <v>0</v>
      </c>
      <c r="O242" s="429">
        <f t="shared" si="520"/>
        <v>36878.519999999997</v>
      </c>
      <c r="P242" s="504"/>
      <c r="R242" s="476"/>
    </row>
    <row r="243" spans="1:18" ht="20.25" thickTop="1" thickBot="1">
      <c r="A243" s="476"/>
      <c r="C243" s="504"/>
      <c r="D243" s="504"/>
      <c r="E243" s="504" t="s">
        <v>531</v>
      </c>
      <c r="F243" s="504"/>
      <c r="G243" s="504" t="s">
        <v>335</v>
      </c>
      <c r="H243" s="505">
        <f>SUMIF($G229:$G242,$G243,H229:H242)</f>
        <v>0</v>
      </c>
      <c r="I243" s="505">
        <f t="shared" ref="I243:O243" si="537">SUMIF($G229:$G242,$G243,I229:I242)</f>
        <v>0</v>
      </c>
      <c r="J243" s="505">
        <f t="shared" si="537"/>
        <v>16161004.384999998</v>
      </c>
      <c r="K243" s="505">
        <f t="shared" si="537"/>
        <v>0</v>
      </c>
      <c r="L243" s="505">
        <f t="shared" si="537"/>
        <v>0</v>
      </c>
      <c r="M243" s="505">
        <f t="shared" si="537"/>
        <v>0</v>
      </c>
      <c r="N243" s="505">
        <f t="shared" si="537"/>
        <v>0</v>
      </c>
      <c r="O243" s="505">
        <f t="shared" si="537"/>
        <v>16161004.384999998</v>
      </c>
      <c r="P243" s="504"/>
      <c r="R243" s="476"/>
    </row>
    <row r="244" spans="1:18" ht="19.5" thickTop="1">
      <c r="A244" s="476"/>
      <c r="C244" s="509">
        <f t="shared" si="508"/>
        <v>19</v>
      </c>
      <c r="D244" s="523" t="str">
        <f t="shared" ref="D244:D250" si="538">$D$172</f>
        <v>Конец бурения скважины</v>
      </c>
      <c r="E244" s="523" t="str">
        <f t="shared" ref="E244" si="539">INDEX($D$7:$D$149,MATCH($F244,$F$7:$F$149,0))</f>
        <v>Буровой раствор</v>
      </c>
      <c r="F244" s="529" t="str">
        <f>F49</f>
        <v>Фиксированная ставка ННС</v>
      </c>
      <c r="G244" s="421" t="s">
        <v>312</v>
      </c>
      <c r="H244" s="420">
        <f t="shared" ref="H244:N244" si="540">IF(MONTH(H$199)=MONTH(INDEX($E$167:$E$179,MATCH($D244,$D$167:$D$179,0),1)),$P49,0)</f>
        <v>0</v>
      </c>
      <c r="I244" s="420">
        <f t="shared" si="540"/>
        <v>0</v>
      </c>
      <c r="J244" s="420">
        <f t="shared" si="540"/>
        <v>0</v>
      </c>
      <c r="K244" s="420">
        <f t="shared" si="540"/>
        <v>0</v>
      </c>
      <c r="L244" s="420">
        <f t="shared" si="540"/>
        <v>0</v>
      </c>
      <c r="M244" s="420">
        <f t="shared" si="540"/>
        <v>0</v>
      </c>
      <c r="N244" s="420">
        <f t="shared" si="540"/>
        <v>0</v>
      </c>
      <c r="O244" s="432">
        <f t="shared" ref="O244:O245" si="541">SUM(H244:N244)</f>
        <v>0</v>
      </c>
      <c r="P244" s="504"/>
      <c r="R244" s="476"/>
    </row>
    <row r="245" spans="1:18" ht="19.5" thickBot="1">
      <c r="A245" s="476"/>
      <c r="C245" s="504"/>
      <c r="D245" s="524"/>
      <c r="E245" s="524"/>
      <c r="F245" s="526"/>
      <c r="G245" s="426" t="s">
        <v>335</v>
      </c>
      <c r="H245" s="427">
        <f t="shared" ref="H245:N245" si="542">IF(MONTH(H$199)=MONTH(INDEX($E$167:$E$179,MATCH($D244,$D$167:$D$179,0),1)),$P50,0)</f>
        <v>0</v>
      </c>
      <c r="I245" s="427">
        <f t="shared" si="542"/>
        <v>0</v>
      </c>
      <c r="J245" s="427">
        <f t="shared" si="542"/>
        <v>0</v>
      </c>
      <c r="K245" s="427">
        <f t="shared" si="542"/>
        <v>0</v>
      </c>
      <c r="L245" s="427">
        <f t="shared" si="542"/>
        <v>0</v>
      </c>
      <c r="M245" s="427">
        <f t="shared" si="542"/>
        <v>0</v>
      </c>
      <c r="N245" s="427">
        <f t="shared" si="542"/>
        <v>0</v>
      </c>
      <c r="O245" s="429">
        <f t="shared" si="541"/>
        <v>0</v>
      </c>
      <c r="P245" s="504"/>
      <c r="R245" s="476"/>
    </row>
    <row r="246" spans="1:18" ht="19.5" thickTop="1">
      <c r="A246" s="476"/>
      <c r="C246" s="509">
        <f t="shared" si="508"/>
        <v>20</v>
      </c>
      <c r="D246" s="523" t="str">
        <f t="shared" si="538"/>
        <v>Конец бурения скважины</v>
      </c>
      <c r="E246" s="523" t="str">
        <f t="shared" ref="E246" si="543">INDEX($D$7:$D$149,MATCH($F246,$F$7:$F$149,0))</f>
        <v>Буровой раствор</v>
      </c>
      <c r="F246" s="529" t="str">
        <f t="shared" ref="F246" si="544">F51</f>
        <v>Фиксированная ставка ГС</v>
      </c>
      <c r="G246" s="421" t="s">
        <v>312</v>
      </c>
      <c r="H246" s="420">
        <f t="shared" ref="H246:N246" si="545">IF(MONTH(H$199)=MONTH(INDEX($E$167:$E$179,MATCH($D246,$D$167:$D$179,0),1)),$P51,0)</f>
        <v>0</v>
      </c>
      <c r="I246" s="420">
        <f t="shared" si="545"/>
        <v>0</v>
      </c>
      <c r="J246" s="420">
        <f t="shared" si="545"/>
        <v>1</v>
      </c>
      <c r="K246" s="420">
        <f t="shared" si="545"/>
        <v>0</v>
      </c>
      <c r="L246" s="420">
        <f t="shared" si="545"/>
        <v>0</v>
      </c>
      <c r="M246" s="420">
        <f t="shared" si="545"/>
        <v>0</v>
      </c>
      <c r="N246" s="420">
        <f t="shared" si="545"/>
        <v>0</v>
      </c>
      <c r="O246" s="432">
        <f t="shared" ref="O246:O251" si="546">SUM(H246:N246)</f>
        <v>1</v>
      </c>
      <c r="P246" s="504"/>
      <c r="R246" s="476"/>
    </row>
    <row r="247" spans="1:18" ht="19.5" thickBot="1">
      <c r="A247" s="476"/>
      <c r="C247" s="504"/>
      <c r="D247" s="524"/>
      <c r="E247" s="524"/>
      <c r="F247" s="526"/>
      <c r="G247" s="426" t="s">
        <v>335</v>
      </c>
      <c r="H247" s="427">
        <f t="shared" ref="H247:N247" si="547">IF(MONTH(H$199)=MONTH(INDEX($E$167:$E$179,MATCH($D246,$D$167:$D$179,0),1)),$P52,0)</f>
        <v>0</v>
      </c>
      <c r="I247" s="427">
        <f t="shared" si="547"/>
        <v>0</v>
      </c>
      <c r="J247" s="427">
        <f t="shared" si="547"/>
        <v>6117970.9986800002</v>
      </c>
      <c r="K247" s="427">
        <f t="shared" si="547"/>
        <v>0</v>
      </c>
      <c r="L247" s="427">
        <f t="shared" si="547"/>
        <v>0</v>
      </c>
      <c r="M247" s="427">
        <f t="shared" si="547"/>
        <v>0</v>
      </c>
      <c r="N247" s="427">
        <f t="shared" si="547"/>
        <v>0</v>
      </c>
      <c r="O247" s="429">
        <f t="shared" si="546"/>
        <v>6117970.9986800002</v>
      </c>
      <c r="P247" s="504"/>
      <c r="R247" s="476"/>
    </row>
    <row r="248" spans="1:18" ht="19.5" thickTop="1">
      <c r="A248" s="476"/>
      <c r="C248" s="509">
        <f t="shared" si="508"/>
        <v>21</v>
      </c>
      <c r="D248" s="523" t="str">
        <f t="shared" si="538"/>
        <v>Конец бурения скважины</v>
      </c>
      <c r="E248" s="523" t="str">
        <f t="shared" ref="E248" si="548">INDEX($D$7:$D$149,MATCH($F248,$F$7:$F$149,0))</f>
        <v>Буровой раствор</v>
      </c>
      <c r="F248" s="529" t="str">
        <f t="shared" ref="F248" si="549">F53</f>
        <v>Резерв 10 % на ГО для ГС</v>
      </c>
      <c r="G248" s="421" t="s">
        <v>312</v>
      </c>
      <c r="H248" s="420">
        <f t="shared" ref="H248:N248" si="550">IF(MONTH(H$199)=MONTH(INDEX($E$167:$E$179,MATCH($D248,$D$167:$D$179,0),1)),$P53,0)</f>
        <v>0</v>
      </c>
      <c r="I248" s="420">
        <f t="shared" si="550"/>
        <v>0</v>
      </c>
      <c r="J248" s="420">
        <f t="shared" si="550"/>
        <v>1</v>
      </c>
      <c r="K248" s="420">
        <f t="shared" si="550"/>
        <v>0</v>
      </c>
      <c r="L248" s="420">
        <f t="shared" si="550"/>
        <v>0</v>
      </c>
      <c r="M248" s="420">
        <f t="shared" si="550"/>
        <v>0</v>
      </c>
      <c r="N248" s="420">
        <f t="shared" si="550"/>
        <v>0</v>
      </c>
      <c r="O248" s="432">
        <f t="shared" si="546"/>
        <v>1</v>
      </c>
      <c r="P248" s="504"/>
      <c r="R248" s="476"/>
    </row>
    <row r="249" spans="1:18" ht="19.5" thickBot="1">
      <c r="A249" s="476"/>
      <c r="C249" s="504"/>
      <c r="D249" s="524"/>
      <c r="E249" s="524"/>
      <c r="F249" s="526"/>
      <c r="G249" s="426" t="s">
        <v>335</v>
      </c>
      <c r="H249" s="427">
        <f t="shared" ref="H249:N249" si="551">IF(MONTH(H$199)=MONTH(INDEX($E$167:$E$179,MATCH($D248,$D$167:$D$179,0),1)),$P54,0)</f>
        <v>0</v>
      </c>
      <c r="I249" s="427">
        <f t="shared" si="551"/>
        <v>0</v>
      </c>
      <c r="J249" s="427">
        <f t="shared" si="551"/>
        <v>611797.09986800002</v>
      </c>
      <c r="K249" s="427">
        <f t="shared" si="551"/>
        <v>0</v>
      </c>
      <c r="L249" s="427">
        <f t="shared" si="551"/>
        <v>0</v>
      </c>
      <c r="M249" s="427">
        <f t="shared" si="551"/>
        <v>0</v>
      </c>
      <c r="N249" s="427">
        <f t="shared" si="551"/>
        <v>0</v>
      </c>
      <c r="O249" s="429">
        <f t="shared" si="546"/>
        <v>611797.09986800002</v>
      </c>
      <c r="P249" s="504"/>
      <c r="R249" s="476"/>
    </row>
    <row r="250" spans="1:18" ht="19.5" thickTop="1">
      <c r="A250" s="476"/>
      <c r="C250" s="509">
        <f t="shared" si="508"/>
        <v>22</v>
      </c>
      <c r="D250" s="523" t="str">
        <f t="shared" si="538"/>
        <v>Конец бурения скважины</v>
      </c>
      <c r="E250" s="523" t="str">
        <f t="shared" ref="E250" si="552">INDEX($D$7:$D$149,MATCH($F250,$F$7:$F$149,0))</f>
        <v>Буровой раствор</v>
      </c>
      <c r="F250" s="529" t="str">
        <f t="shared" ref="F250" si="553">F55</f>
        <v>Резерв 10 % на ГО для ННС</v>
      </c>
      <c r="G250" s="421" t="s">
        <v>312</v>
      </c>
      <c r="H250" s="420">
        <f t="shared" ref="H250:N250" si="554">IF(MONTH(H$199)=MONTH(INDEX($E$167:$E$179,MATCH($D250,$D$167:$D$179,0),1)),$P55,0)</f>
        <v>0</v>
      </c>
      <c r="I250" s="420">
        <f t="shared" si="554"/>
        <v>0</v>
      </c>
      <c r="J250" s="420">
        <f t="shared" si="554"/>
        <v>0</v>
      </c>
      <c r="K250" s="420">
        <f t="shared" si="554"/>
        <v>0</v>
      </c>
      <c r="L250" s="420">
        <f t="shared" si="554"/>
        <v>0</v>
      </c>
      <c r="M250" s="420">
        <f t="shared" si="554"/>
        <v>0</v>
      </c>
      <c r="N250" s="420">
        <f t="shared" si="554"/>
        <v>0</v>
      </c>
      <c r="O250" s="432">
        <f t="shared" si="546"/>
        <v>0</v>
      </c>
      <c r="P250" s="504"/>
      <c r="R250" s="476"/>
    </row>
    <row r="251" spans="1:18" ht="19.5" thickBot="1">
      <c r="A251" s="476"/>
      <c r="C251" s="504"/>
      <c r="D251" s="524"/>
      <c r="E251" s="524"/>
      <c r="F251" s="526"/>
      <c r="G251" s="426" t="s">
        <v>335</v>
      </c>
      <c r="H251" s="427">
        <f t="shared" ref="H251:N251" si="555">IF(MONTH(H$199)=MONTH(INDEX($E$167:$E$179,MATCH($D250,$D$167:$D$179,0),1)),$P56,0)</f>
        <v>0</v>
      </c>
      <c r="I251" s="427">
        <f t="shared" si="555"/>
        <v>0</v>
      </c>
      <c r="J251" s="427">
        <f t="shared" si="555"/>
        <v>0</v>
      </c>
      <c r="K251" s="427">
        <f t="shared" si="555"/>
        <v>0</v>
      </c>
      <c r="L251" s="427">
        <f t="shared" si="555"/>
        <v>0</v>
      </c>
      <c r="M251" s="427">
        <f t="shared" si="555"/>
        <v>0</v>
      </c>
      <c r="N251" s="427">
        <f t="shared" si="555"/>
        <v>0</v>
      </c>
      <c r="O251" s="429">
        <f t="shared" si="546"/>
        <v>0</v>
      </c>
      <c r="P251" s="504"/>
      <c r="R251" s="476"/>
    </row>
    <row r="252" spans="1:18" ht="20.25" thickTop="1" thickBot="1">
      <c r="A252" s="476"/>
      <c r="C252" s="504"/>
      <c r="D252" s="504"/>
      <c r="E252" s="504" t="s">
        <v>533</v>
      </c>
      <c r="F252" s="504"/>
      <c r="G252" s="504" t="s">
        <v>335</v>
      </c>
      <c r="H252" s="505">
        <f>SUMIF($G244:$G251,$G252,H244:H251)</f>
        <v>0</v>
      </c>
      <c r="I252" s="505">
        <f t="shared" ref="I252:O252" si="556">SUMIF($G244:$G251,$G252,I244:I251)</f>
        <v>0</v>
      </c>
      <c r="J252" s="505">
        <f t="shared" si="556"/>
        <v>6729768.0985480007</v>
      </c>
      <c r="K252" s="505">
        <f t="shared" si="556"/>
        <v>0</v>
      </c>
      <c r="L252" s="505">
        <f t="shared" si="556"/>
        <v>0</v>
      </c>
      <c r="M252" s="505">
        <f t="shared" si="556"/>
        <v>0</v>
      </c>
      <c r="N252" s="505">
        <f t="shared" si="556"/>
        <v>0</v>
      </c>
      <c r="O252" s="505">
        <f t="shared" si="556"/>
        <v>6729768.0985480007</v>
      </c>
      <c r="P252" s="504"/>
      <c r="R252" s="476"/>
    </row>
    <row r="253" spans="1:18" ht="19.5" thickTop="1">
      <c r="A253" s="476"/>
      <c r="C253" s="509">
        <f t="shared" si="508"/>
        <v>23</v>
      </c>
      <c r="D253" s="523" t="str">
        <f t="shared" ref="D253:D261" si="557">$D$172</f>
        <v>Конец бурения скважины</v>
      </c>
      <c r="E253" s="523" t="str">
        <f t="shared" ref="E253" si="558">INDEX($D$7:$D$149,MATCH($F253,$F$7:$F$149,0))</f>
        <v>Цементирование</v>
      </c>
      <c r="F253" s="529" t="str">
        <f>F58</f>
        <v>Цементирование кондуктора Гор/НН 324 мм (услуги, цемент, материалы)</v>
      </c>
      <c r="G253" s="421" t="s">
        <v>312</v>
      </c>
      <c r="H253" s="420">
        <f t="shared" ref="H253:N253" si="559">IF(MONTH(H$199)=MONTH(INDEX($E$167:$E$179,MATCH($D253,$D$167:$D$179,0),1)),$P58,0)</f>
        <v>0</v>
      </c>
      <c r="I253" s="420">
        <f t="shared" si="559"/>
        <v>0</v>
      </c>
      <c r="J253" s="420">
        <f t="shared" si="559"/>
        <v>1</v>
      </c>
      <c r="K253" s="420">
        <f t="shared" si="559"/>
        <v>0</v>
      </c>
      <c r="L253" s="420">
        <f t="shared" si="559"/>
        <v>0</v>
      </c>
      <c r="M253" s="420">
        <f t="shared" si="559"/>
        <v>0</v>
      </c>
      <c r="N253" s="420">
        <f t="shared" si="559"/>
        <v>0</v>
      </c>
      <c r="O253" s="432">
        <f t="shared" ref="O253:O301" si="560">SUM(H253:N253)</f>
        <v>1</v>
      </c>
      <c r="P253" s="504"/>
      <c r="R253" s="476"/>
    </row>
    <row r="254" spans="1:18" ht="19.5" thickBot="1">
      <c r="A254" s="476"/>
      <c r="C254" s="504"/>
      <c r="D254" s="524"/>
      <c r="E254" s="524"/>
      <c r="F254" s="526"/>
      <c r="G254" s="426" t="s">
        <v>335</v>
      </c>
      <c r="H254" s="427">
        <f t="shared" ref="H254:N254" si="561">IF(MONTH(H$199)=MONTH(INDEX($E$167:$E$179,MATCH($D253,$D$167:$D$179,0),1)),$P59,0)</f>
        <v>0</v>
      </c>
      <c r="I254" s="427">
        <f t="shared" si="561"/>
        <v>0</v>
      </c>
      <c r="J254" s="427">
        <f t="shared" si="561"/>
        <v>1108924.71</v>
      </c>
      <c r="K254" s="427">
        <f t="shared" si="561"/>
        <v>0</v>
      </c>
      <c r="L254" s="427">
        <f t="shared" si="561"/>
        <v>0</v>
      </c>
      <c r="M254" s="427">
        <f t="shared" si="561"/>
        <v>0</v>
      </c>
      <c r="N254" s="427">
        <f t="shared" si="561"/>
        <v>0</v>
      </c>
      <c r="O254" s="429">
        <f t="shared" si="560"/>
        <v>1108924.71</v>
      </c>
      <c r="P254" s="504"/>
      <c r="R254" s="476"/>
    </row>
    <row r="255" spans="1:18" ht="19.5" thickTop="1">
      <c r="A255" s="476"/>
      <c r="C255" s="509">
        <f t="shared" si="508"/>
        <v>24</v>
      </c>
      <c r="D255" s="523" t="str">
        <f t="shared" si="557"/>
        <v>Конец бурения скважины</v>
      </c>
      <c r="E255" s="523" t="str">
        <f t="shared" ref="E255" si="562">INDEX($D$7:$D$149,MATCH($F255,$F$7:$F$149,0))</f>
        <v>Цементирование</v>
      </c>
      <c r="F255" s="529" t="str">
        <f t="shared" ref="F255:F261" si="563">F60</f>
        <v>Цементирование технической колонны Гор 245 мм (услуги, цемент, материалы)</v>
      </c>
      <c r="G255" s="421" t="s">
        <v>312</v>
      </c>
      <c r="H255" s="420">
        <f t="shared" ref="H255:N255" si="564">IF(MONTH(H$199)=MONTH(INDEX($E$167:$E$179,MATCH($D255,$D$167:$D$179,0),1)),$P60,0)</f>
        <v>0</v>
      </c>
      <c r="I255" s="420">
        <f t="shared" si="564"/>
        <v>0</v>
      </c>
      <c r="J255" s="420">
        <f t="shared" si="564"/>
        <v>1</v>
      </c>
      <c r="K255" s="420">
        <f t="shared" si="564"/>
        <v>0</v>
      </c>
      <c r="L255" s="420">
        <f t="shared" si="564"/>
        <v>0</v>
      </c>
      <c r="M255" s="420">
        <f t="shared" si="564"/>
        <v>0</v>
      </c>
      <c r="N255" s="420">
        <f t="shared" si="564"/>
        <v>0</v>
      </c>
      <c r="O255" s="432">
        <f t="shared" ref="O255:O262" si="565">SUM(H255:N255)</f>
        <v>1</v>
      </c>
      <c r="P255" s="504"/>
      <c r="R255" s="476"/>
    </row>
    <row r="256" spans="1:18" ht="19.5" thickBot="1">
      <c r="A256" s="476"/>
      <c r="C256" s="504"/>
      <c r="D256" s="524"/>
      <c r="E256" s="524"/>
      <c r="F256" s="526"/>
      <c r="G256" s="426" t="s">
        <v>335</v>
      </c>
      <c r="H256" s="427">
        <f t="shared" ref="H256:N256" si="566">IF(MONTH(H$199)=MONTH(INDEX($E$167:$E$179,MATCH($D255,$D$167:$D$179,0),1)),$P61,0)</f>
        <v>0</v>
      </c>
      <c r="I256" s="427">
        <f t="shared" si="566"/>
        <v>0</v>
      </c>
      <c r="J256" s="427">
        <f t="shared" si="566"/>
        <v>1526297.5350000001</v>
      </c>
      <c r="K256" s="427">
        <f t="shared" si="566"/>
        <v>0</v>
      </c>
      <c r="L256" s="427">
        <f t="shared" si="566"/>
        <v>0</v>
      </c>
      <c r="M256" s="427">
        <f t="shared" si="566"/>
        <v>0</v>
      </c>
      <c r="N256" s="427">
        <f t="shared" si="566"/>
        <v>0</v>
      </c>
      <c r="O256" s="429">
        <f t="shared" si="565"/>
        <v>1526297.5350000001</v>
      </c>
      <c r="P256" s="504"/>
      <c r="R256" s="476"/>
    </row>
    <row r="257" spans="1:18" ht="19.5" thickTop="1">
      <c r="A257" s="476"/>
      <c r="C257" s="509">
        <f t="shared" si="508"/>
        <v>25</v>
      </c>
      <c r="D257" s="523" t="str">
        <f t="shared" si="557"/>
        <v>Конец бурения скважины</v>
      </c>
      <c r="E257" s="523" t="str">
        <f t="shared" ref="E257:E259" si="567">INDEX($D$7:$D$149,MATCH($F257,$F$7:$F$149,0))</f>
        <v>Цементирование</v>
      </c>
      <c r="F257" s="529" t="str">
        <f t="shared" si="563"/>
        <v>Цементирование эксплуатационной колонны Гор 178мм (услуги, цемент, материалы)</v>
      </c>
      <c r="G257" s="421" t="s">
        <v>312</v>
      </c>
      <c r="H257" s="420">
        <f t="shared" ref="H257:N257" si="568">IF(MONTH(H$199)=MONTH(INDEX($E$167:$E$179,MATCH($D257,$D$167:$D$179,0),1)),$P62,0)</f>
        <v>0</v>
      </c>
      <c r="I257" s="420">
        <f t="shared" si="568"/>
        <v>0</v>
      </c>
      <c r="J257" s="420">
        <f t="shared" si="568"/>
        <v>1</v>
      </c>
      <c r="K257" s="420">
        <f t="shared" si="568"/>
        <v>0</v>
      </c>
      <c r="L257" s="420">
        <f t="shared" si="568"/>
        <v>0</v>
      </c>
      <c r="M257" s="420">
        <f t="shared" si="568"/>
        <v>0</v>
      </c>
      <c r="N257" s="420">
        <f t="shared" si="568"/>
        <v>0</v>
      </c>
      <c r="O257" s="432">
        <f t="shared" si="565"/>
        <v>1</v>
      </c>
      <c r="P257" s="504"/>
      <c r="R257" s="476"/>
    </row>
    <row r="258" spans="1:18" ht="19.5" thickBot="1">
      <c r="A258" s="476"/>
      <c r="C258" s="504"/>
      <c r="D258" s="524"/>
      <c r="E258" s="524"/>
      <c r="F258" s="526"/>
      <c r="G258" s="426" t="s">
        <v>335</v>
      </c>
      <c r="H258" s="427">
        <f t="shared" ref="H258:N258" si="569">IF(MONTH(H$199)=MONTH(INDEX($E$167:$E$179,MATCH($D257,$D$167:$D$179,0),1)),$P63,0)</f>
        <v>0</v>
      </c>
      <c r="I258" s="427">
        <f t="shared" si="569"/>
        <v>0</v>
      </c>
      <c r="J258" s="427">
        <f t="shared" si="569"/>
        <v>1567470.1500000001</v>
      </c>
      <c r="K258" s="427">
        <f t="shared" si="569"/>
        <v>0</v>
      </c>
      <c r="L258" s="427">
        <f t="shared" si="569"/>
        <v>0</v>
      </c>
      <c r="M258" s="427">
        <f t="shared" si="569"/>
        <v>0</v>
      </c>
      <c r="N258" s="427">
        <f t="shared" si="569"/>
        <v>0</v>
      </c>
      <c r="O258" s="429">
        <f t="shared" si="565"/>
        <v>1567470.1500000001</v>
      </c>
      <c r="P258" s="504"/>
      <c r="R258" s="476"/>
    </row>
    <row r="259" spans="1:18" ht="19.5" thickTop="1">
      <c r="A259" s="476"/>
      <c r="C259" s="509">
        <f t="shared" si="508"/>
        <v>26</v>
      </c>
      <c r="D259" s="523" t="str">
        <f t="shared" si="557"/>
        <v>Конец бурения скважины</v>
      </c>
      <c r="E259" s="523" t="str">
        <f t="shared" si="567"/>
        <v>Цементирование</v>
      </c>
      <c r="F259" s="529" t="str">
        <f t="shared" si="563"/>
        <v>Цементирование хвостовика НН 127мм (услуги, цемент, материалы)</v>
      </c>
      <c r="G259" s="421" t="s">
        <v>312</v>
      </c>
      <c r="H259" s="420">
        <f t="shared" ref="H259:N259" si="570">IF(MONTH(H$199)=MONTH(INDEX($E$167:$E$179,MATCH($D259,$D$167:$D$179,0),1)),$P64,0)</f>
        <v>0</v>
      </c>
      <c r="I259" s="420">
        <f t="shared" si="570"/>
        <v>0</v>
      </c>
      <c r="J259" s="420">
        <f t="shared" si="570"/>
        <v>0</v>
      </c>
      <c r="K259" s="420">
        <f t="shared" si="570"/>
        <v>0</v>
      </c>
      <c r="L259" s="420">
        <f t="shared" si="570"/>
        <v>0</v>
      </c>
      <c r="M259" s="420">
        <f t="shared" si="570"/>
        <v>0</v>
      </c>
      <c r="N259" s="420">
        <f t="shared" si="570"/>
        <v>0</v>
      </c>
      <c r="O259" s="432">
        <f t="shared" si="565"/>
        <v>0</v>
      </c>
      <c r="P259" s="504"/>
      <c r="R259" s="476"/>
    </row>
    <row r="260" spans="1:18" ht="19.5" thickBot="1">
      <c r="A260" s="476"/>
      <c r="C260" s="504"/>
      <c r="D260" s="524"/>
      <c r="E260" s="524"/>
      <c r="F260" s="526"/>
      <c r="G260" s="426" t="s">
        <v>335</v>
      </c>
      <c r="H260" s="427">
        <f t="shared" ref="H260:N260" si="571">IF(MONTH(H$199)=MONTH(INDEX($E$167:$E$179,MATCH($D259,$D$167:$D$179,0),1)),$P65,0)</f>
        <v>0</v>
      </c>
      <c r="I260" s="427">
        <f t="shared" si="571"/>
        <v>0</v>
      </c>
      <c r="J260" s="427">
        <f t="shared" si="571"/>
        <v>0</v>
      </c>
      <c r="K260" s="427">
        <f t="shared" si="571"/>
        <v>0</v>
      </c>
      <c r="L260" s="427">
        <f t="shared" si="571"/>
        <v>0</v>
      </c>
      <c r="M260" s="427">
        <f t="shared" si="571"/>
        <v>0</v>
      </c>
      <c r="N260" s="427">
        <f t="shared" si="571"/>
        <v>0</v>
      </c>
      <c r="O260" s="429">
        <f t="shared" si="565"/>
        <v>0</v>
      </c>
      <c r="P260" s="504"/>
      <c r="R260" s="476"/>
    </row>
    <row r="261" spans="1:18" ht="19.5" thickTop="1">
      <c r="A261" s="476"/>
      <c r="C261" s="509">
        <f t="shared" si="508"/>
        <v>27</v>
      </c>
      <c r="D261" s="523" t="str">
        <f t="shared" si="557"/>
        <v>Конец бурения скважины</v>
      </c>
      <c r="E261" s="523" t="str">
        <f t="shared" ref="E261" si="572">INDEX($D$7:$D$149,MATCH($F261,$F$7:$F$149,0))</f>
        <v>Цементирование</v>
      </c>
      <c r="F261" s="529" t="str">
        <f t="shared" si="563"/>
        <v>Установка цем моста в пилотном стволе</v>
      </c>
      <c r="G261" s="421" t="s">
        <v>312</v>
      </c>
      <c r="H261" s="420">
        <f t="shared" ref="H261:N261" si="573">IF(MONTH(H$199)=MONTH(INDEX($E$167:$E$179,MATCH($D261,$D$167:$D$179,0),1)),$P66,0)</f>
        <v>0</v>
      </c>
      <c r="I261" s="420">
        <f t="shared" si="573"/>
        <v>0</v>
      </c>
      <c r="J261" s="420">
        <f t="shared" si="573"/>
        <v>3</v>
      </c>
      <c r="K261" s="420">
        <f t="shared" si="573"/>
        <v>0</v>
      </c>
      <c r="L261" s="420">
        <f t="shared" si="573"/>
        <v>0</v>
      </c>
      <c r="M261" s="420">
        <f t="shared" si="573"/>
        <v>0</v>
      </c>
      <c r="N261" s="420">
        <f t="shared" si="573"/>
        <v>0</v>
      </c>
      <c r="O261" s="432">
        <f t="shared" si="565"/>
        <v>3</v>
      </c>
      <c r="P261" s="504"/>
      <c r="R261" s="476"/>
    </row>
    <row r="262" spans="1:18" ht="19.5" thickBot="1">
      <c r="A262" s="476"/>
      <c r="C262" s="504"/>
      <c r="D262" s="524"/>
      <c r="E262" s="524"/>
      <c r="F262" s="526"/>
      <c r="G262" s="426" t="s">
        <v>335</v>
      </c>
      <c r="H262" s="427">
        <f t="shared" ref="H262:N262" si="574">IF(MONTH(H$199)=MONTH(INDEX($E$167:$E$179,MATCH($D261,$D$167:$D$179,0),1)),$P67,0)</f>
        <v>0</v>
      </c>
      <c r="I262" s="427">
        <f t="shared" si="574"/>
        <v>0</v>
      </c>
      <c r="J262" s="427">
        <f t="shared" si="574"/>
        <v>1237901.94</v>
      </c>
      <c r="K262" s="427">
        <f t="shared" si="574"/>
        <v>0</v>
      </c>
      <c r="L262" s="427">
        <f t="shared" si="574"/>
        <v>0</v>
      </c>
      <c r="M262" s="427">
        <f t="shared" si="574"/>
        <v>0</v>
      </c>
      <c r="N262" s="427">
        <f t="shared" si="574"/>
        <v>0</v>
      </c>
      <c r="O262" s="429">
        <f t="shared" si="565"/>
        <v>1237901.94</v>
      </c>
      <c r="P262" s="504"/>
      <c r="R262" s="476"/>
    </row>
    <row r="263" spans="1:18" ht="20.25" thickTop="1" thickBot="1">
      <c r="A263" s="476"/>
      <c r="C263" s="504"/>
      <c r="D263" s="504"/>
      <c r="E263" s="504" t="s">
        <v>534</v>
      </c>
      <c r="F263" s="504"/>
      <c r="G263" s="504" t="s">
        <v>335</v>
      </c>
      <c r="H263" s="505">
        <f>SUMIF($G253:$G262,$G263,H253:H262)</f>
        <v>0</v>
      </c>
      <c r="I263" s="505">
        <f t="shared" ref="I263:O263" si="575">SUMIF($G253:$G262,$G263,I253:I262)</f>
        <v>0</v>
      </c>
      <c r="J263" s="505">
        <f t="shared" si="575"/>
        <v>5440594.3350000009</v>
      </c>
      <c r="K263" s="505">
        <f t="shared" si="575"/>
        <v>0</v>
      </c>
      <c r="L263" s="505">
        <f t="shared" si="575"/>
        <v>0</v>
      </c>
      <c r="M263" s="505">
        <f t="shared" si="575"/>
        <v>0</v>
      </c>
      <c r="N263" s="505">
        <f t="shared" si="575"/>
        <v>0</v>
      </c>
      <c r="O263" s="505">
        <f t="shared" si="575"/>
        <v>5440594.3350000009</v>
      </c>
      <c r="P263" s="504"/>
      <c r="R263" s="476"/>
    </row>
    <row r="264" spans="1:18" ht="19.5" thickTop="1">
      <c r="A264" s="476"/>
      <c r="C264" s="509">
        <f t="shared" si="508"/>
        <v>28</v>
      </c>
      <c r="D264" s="527" t="s">
        <v>633</v>
      </c>
      <c r="E264" s="523" t="str">
        <f t="shared" ref="E264" si="576">INDEX($D$7:$D$149,MATCH($F264,$F$7:$F$149,0))</f>
        <v>Станция ГТИ</v>
      </c>
      <c r="F264" s="529" t="str">
        <f>F69</f>
        <v>Суточная ставка работы станции ГТИ</v>
      </c>
      <c r="G264" s="421" t="s">
        <v>312</v>
      </c>
      <c r="H264" s="420">
        <f t="shared" ref="H264:N264" si="577">H$167</f>
        <v>24</v>
      </c>
      <c r="I264" s="420">
        <f t="shared" si="577"/>
        <v>18</v>
      </c>
      <c r="J264" s="420">
        <f t="shared" si="577"/>
        <v>0</v>
      </c>
      <c r="K264" s="420">
        <f t="shared" si="577"/>
        <v>0</v>
      </c>
      <c r="L264" s="420">
        <f t="shared" si="577"/>
        <v>0</v>
      </c>
      <c r="M264" s="420">
        <f t="shared" si="577"/>
        <v>0</v>
      </c>
      <c r="N264" s="420">
        <f t="shared" si="577"/>
        <v>0</v>
      </c>
      <c r="O264" s="432">
        <f t="shared" si="560"/>
        <v>42</v>
      </c>
      <c r="P264" s="504"/>
      <c r="R264" s="476"/>
    </row>
    <row r="265" spans="1:18" ht="19.5" thickBot="1">
      <c r="A265" s="476"/>
      <c r="C265" s="504"/>
      <c r="D265" s="528"/>
      <c r="E265" s="524"/>
      <c r="F265" s="526"/>
      <c r="G265" s="426" t="s">
        <v>335</v>
      </c>
      <c r="H265" s="427">
        <f>$G$69*H264</f>
        <v>671070.48</v>
      </c>
      <c r="I265" s="427">
        <f t="shared" ref="I265:N265" si="578">$G$69*I264</f>
        <v>503302.86</v>
      </c>
      <c r="J265" s="427">
        <f t="shared" si="578"/>
        <v>0</v>
      </c>
      <c r="K265" s="427">
        <f t="shared" si="578"/>
        <v>0</v>
      </c>
      <c r="L265" s="427">
        <f t="shared" si="578"/>
        <v>0</v>
      </c>
      <c r="M265" s="427">
        <f t="shared" si="578"/>
        <v>0</v>
      </c>
      <c r="N265" s="427">
        <f t="shared" si="578"/>
        <v>0</v>
      </c>
      <c r="O265" s="429">
        <f t="shared" si="560"/>
        <v>1174373.3399999999</v>
      </c>
      <c r="P265" s="504"/>
      <c r="R265" s="476"/>
    </row>
    <row r="266" spans="1:18" ht="19.5" thickTop="1">
      <c r="A266" s="476"/>
      <c r="C266" s="509">
        <f t="shared" si="508"/>
        <v>29</v>
      </c>
      <c r="D266" s="527" t="s">
        <v>633</v>
      </c>
      <c r="E266" s="523" t="str">
        <f t="shared" ref="E266" si="579">INDEX($D$7:$D$149,MATCH($F266,$F$7:$F$149,0))</f>
        <v>Станция ГТИ</v>
      </c>
      <c r="F266" s="529" t="str">
        <f t="shared" ref="F266" si="580">F71</f>
        <v>Петровайзер + ННГС</v>
      </c>
      <c r="G266" s="421" t="s">
        <v>312</v>
      </c>
      <c r="H266" s="420">
        <f t="shared" ref="H266:N266" si="581">H$167</f>
        <v>24</v>
      </c>
      <c r="I266" s="420">
        <f t="shared" si="581"/>
        <v>18</v>
      </c>
      <c r="J266" s="420">
        <f t="shared" si="581"/>
        <v>0</v>
      </c>
      <c r="K266" s="420">
        <f t="shared" si="581"/>
        <v>0</v>
      </c>
      <c r="L266" s="420">
        <f t="shared" si="581"/>
        <v>0</v>
      </c>
      <c r="M266" s="420">
        <f t="shared" si="581"/>
        <v>0</v>
      </c>
      <c r="N266" s="420">
        <f t="shared" si="581"/>
        <v>0</v>
      </c>
      <c r="O266" s="432">
        <f t="shared" si="560"/>
        <v>42</v>
      </c>
      <c r="P266" s="504"/>
      <c r="R266" s="476"/>
    </row>
    <row r="267" spans="1:18" ht="19.5" thickBot="1">
      <c r="A267" s="476"/>
      <c r="C267" s="504"/>
      <c r="D267" s="528"/>
      <c r="E267" s="524"/>
      <c r="F267" s="526"/>
      <c r="G267" s="426" t="s">
        <v>335</v>
      </c>
      <c r="H267" s="427">
        <f>$G$71*H266</f>
        <v>158160</v>
      </c>
      <c r="I267" s="427">
        <f t="shared" ref="I267:N267" si="582">$G$71*I266</f>
        <v>118620</v>
      </c>
      <c r="J267" s="427">
        <f t="shared" si="582"/>
        <v>0</v>
      </c>
      <c r="K267" s="427">
        <f t="shared" si="582"/>
        <v>0</v>
      </c>
      <c r="L267" s="427">
        <f t="shared" si="582"/>
        <v>0</v>
      </c>
      <c r="M267" s="427">
        <f t="shared" si="582"/>
        <v>0</v>
      </c>
      <c r="N267" s="427">
        <f t="shared" si="582"/>
        <v>0</v>
      </c>
      <c r="O267" s="429">
        <f t="shared" si="560"/>
        <v>276780</v>
      </c>
      <c r="P267" s="504"/>
      <c r="R267" s="476"/>
    </row>
    <row r="268" spans="1:18" ht="20.25" thickTop="1" thickBot="1">
      <c r="A268" s="476"/>
      <c r="C268" s="504"/>
      <c r="D268" s="504"/>
      <c r="E268" s="504" t="s">
        <v>626</v>
      </c>
      <c r="F268" s="504"/>
      <c r="G268" s="504" t="s">
        <v>335</v>
      </c>
      <c r="H268" s="505">
        <f>SUMIF($G264:$G267,$G268,H264:H267)</f>
        <v>829230.48</v>
      </c>
      <c r="I268" s="505">
        <f t="shared" ref="I268:O268" si="583">SUMIF($G264:$G267,$G268,I264:I267)</f>
        <v>621922.86</v>
      </c>
      <c r="J268" s="505">
        <f t="shared" si="583"/>
        <v>0</v>
      </c>
      <c r="K268" s="505">
        <f t="shared" si="583"/>
        <v>0</v>
      </c>
      <c r="L268" s="505">
        <f t="shared" si="583"/>
        <v>0</v>
      </c>
      <c r="M268" s="505">
        <f t="shared" si="583"/>
        <v>0</v>
      </c>
      <c r="N268" s="505">
        <f t="shared" si="583"/>
        <v>0</v>
      </c>
      <c r="O268" s="505">
        <f t="shared" si="583"/>
        <v>1451153.3399999999</v>
      </c>
      <c r="P268" s="504"/>
      <c r="R268" s="476"/>
    </row>
    <row r="269" spans="1:18" ht="19.5" thickTop="1">
      <c r="A269" s="476"/>
      <c r="C269" s="509">
        <f t="shared" si="508"/>
        <v>30</v>
      </c>
      <c r="D269" s="523" t="str">
        <f t="shared" ref="D269:D280" si="584">$D$172</f>
        <v>Конец бурения скважины</v>
      </c>
      <c r="E269" s="523" t="str">
        <f t="shared" ref="E269" si="585">INDEX($D$7:$D$149,MATCH($F269,$F$7:$F$149,0))</f>
        <v>ГИС</v>
      </c>
      <c r="F269" s="529" t="str">
        <f>F74</f>
        <v>Направление (АКЦ, ЦМ, инкл)</v>
      </c>
      <c r="G269" s="421" t="s">
        <v>312</v>
      </c>
      <c r="H269" s="420">
        <f t="shared" ref="H269:N269" si="586">IF(MONTH(H$199)=MONTH(INDEX($E$167:$E$179,MATCH($D269,$D$167:$D$179,0),1)),$P74,0)</f>
        <v>0</v>
      </c>
      <c r="I269" s="420">
        <f t="shared" si="586"/>
        <v>0</v>
      </c>
      <c r="J269" s="420">
        <f t="shared" si="586"/>
        <v>1</v>
      </c>
      <c r="K269" s="420">
        <f t="shared" si="586"/>
        <v>0</v>
      </c>
      <c r="L269" s="420">
        <f t="shared" si="586"/>
        <v>0</v>
      </c>
      <c r="M269" s="420">
        <f t="shared" si="586"/>
        <v>0</v>
      </c>
      <c r="N269" s="420">
        <f t="shared" si="586"/>
        <v>0</v>
      </c>
      <c r="O269" s="432">
        <f t="shared" si="560"/>
        <v>1</v>
      </c>
      <c r="P269" s="504"/>
      <c r="R269" s="476"/>
    </row>
    <row r="270" spans="1:18" ht="19.5" thickBot="1">
      <c r="A270" s="476"/>
      <c r="C270" s="504"/>
      <c r="D270" s="524"/>
      <c r="E270" s="524"/>
      <c r="F270" s="526"/>
      <c r="G270" s="426" t="s">
        <v>335</v>
      </c>
      <c r="H270" s="427">
        <f t="shared" ref="H270:N270" si="587">IF(MONTH(H$199)=MONTH(INDEX($E$167:$E$179,MATCH($D269,$D$167:$D$179,0),1)),$P75,0)</f>
        <v>0</v>
      </c>
      <c r="I270" s="427">
        <f t="shared" si="587"/>
        <v>0</v>
      </c>
      <c r="J270" s="427">
        <f t="shared" si="587"/>
        <v>90000</v>
      </c>
      <c r="K270" s="427">
        <f t="shared" si="587"/>
        <v>0</v>
      </c>
      <c r="L270" s="427">
        <f t="shared" si="587"/>
        <v>0</v>
      </c>
      <c r="M270" s="427">
        <f t="shared" si="587"/>
        <v>0</v>
      </c>
      <c r="N270" s="427">
        <f t="shared" si="587"/>
        <v>0</v>
      </c>
      <c r="O270" s="429">
        <f t="shared" si="560"/>
        <v>90000</v>
      </c>
      <c r="P270" s="504"/>
      <c r="R270" s="476"/>
    </row>
    <row r="271" spans="1:18" ht="19.5" thickTop="1">
      <c r="A271" s="476"/>
      <c r="C271" s="509">
        <f t="shared" si="508"/>
        <v>31</v>
      </c>
      <c r="D271" s="523" t="str">
        <f t="shared" si="584"/>
        <v>Конец бурения скважины</v>
      </c>
      <c r="E271" s="523" t="str">
        <f t="shared" ref="E271" si="588">INDEX($D$7:$D$149,MATCH($F271,$F$7:$F$149,0))</f>
        <v>ГИС</v>
      </c>
      <c r="F271" s="529" t="str">
        <f t="shared" ref="F271" si="589">F76</f>
        <v>Кондуктор, тех.колонна (АКЦ, ЦМ, инкл)</v>
      </c>
      <c r="G271" s="421" t="s">
        <v>312</v>
      </c>
      <c r="H271" s="420">
        <f t="shared" ref="H271:N271" si="590">IF(MONTH(H$199)=MONTH(INDEX($E$167:$E$179,MATCH($D271,$D$167:$D$179,0),1)),$P76,0)</f>
        <v>0</v>
      </c>
      <c r="I271" s="420">
        <f t="shared" si="590"/>
        <v>0</v>
      </c>
      <c r="J271" s="420">
        <f t="shared" si="590"/>
        <v>1</v>
      </c>
      <c r="K271" s="420">
        <f t="shared" si="590"/>
        <v>0</v>
      </c>
      <c r="L271" s="420">
        <f t="shared" si="590"/>
        <v>0</v>
      </c>
      <c r="M271" s="420">
        <f t="shared" si="590"/>
        <v>0</v>
      </c>
      <c r="N271" s="420">
        <f t="shared" si="590"/>
        <v>0</v>
      </c>
      <c r="O271" s="432">
        <f t="shared" ref="O271:O278" si="591">SUM(H271:N271)</f>
        <v>1</v>
      </c>
      <c r="P271" s="504"/>
      <c r="R271" s="476"/>
    </row>
    <row r="272" spans="1:18" ht="19.5" thickBot="1">
      <c r="A272" s="476"/>
      <c r="C272" s="504"/>
      <c r="D272" s="524"/>
      <c r="E272" s="524"/>
      <c r="F272" s="526"/>
      <c r="G272" s="426" t="s">
        <v>335</v>
      </c>
      <c r="H272" s="427">
        <f t="shared" ref="H272:N272" si="592">IF(MONTH(H$199)=MONTH(INDEX($E$167:$E$179,MATCH($D271,$D$167:$D$179,0),1)),$P77,0)</f>
        <v>0</v>
      </c>
      <c r="I272" s="427">
        <f t="shared" si="592"/>
        <v>0</v>
      </c>
      <c r="J272" s="427">
        <f t="shared" si="592"/>
        <v>120000</v>
      </c>
      <c r="K272" s="427">
        <f t="shared" si="592"/>
        <v>0</v>
      </c>
      <c r="L272" s="427">
        <f t="shared" si="592"/>
        <v>0</v>
      </c>
      <c r="M272" s="427">
        <f t="shared" si="592"/>
        <v>0</v>
      </c>
      <c r="N272" s="427">
        <f t="shared" si="592"/>
        <v>0</v>
      </c>
      <c r="O272" s="429">
        <f t="shared" si="591"/>
        <v>120000</v>
      </c>
      <c r="P272" s="504"/>
      <c r="R272" s="476"/>
    </row>
    <row r="273" spans="1:18" ht="19.5" thickTop="1">
      <c r="A273" s="476"/>
      <c r="C273" s="509">
        <f t="shared" si="508"/>
        <v>32</v>
      </c>
      <c r="D273" s="523" t="str">
        <f t="shared" si="584"/>
        <v>Конец бурения скважины</v>
      </c>
      <c r="E273" s="523" t="str">
        <f t="shared" ref="E273" si="593">INDEX($D$7:$D$149,MATCH($F273,$F$7:$F$149,0))</f>
        <v>ГИС</v>
      </c>
      <c r="F273" s="529" t="str">
        <f t="shared" ref="F273" si="594">F78</f>
        <v>Пилот (ок. кар на трубах)</v>
      </c>
      <c r="G273" s="421" t="s">
        <v>312</v>
      </c>
      <c r="H273" s="420">
        <f t="shared" ref="H273:N273" si="595">IF(MONTH(H$199)=MONTH(INDEX($E$167:$E$179,MATCH($D273,$D$167:$D$179,0),1)),$P78,0)</f>
        <v>0</v>
      </c>
      <c r="I273" s="420">
        <f t="shared" si="595"/>
        <v>0</v>
      </c>
      <c r="J273" s="420">
        <f t="shared" si="595"/>
        <v>1</v>
      </c>
      <c r="K273" s="420">
        <f t="shared" si="595"/>
        <v>0</v>
      </c>
      <c r="L273" s="420">
        <f t="shared" si="595"/>
        <v>0</v>
      </c>
      <c r="M273" s="420">
        <f t="shared" si="595"/>
        <v>0</v>
      </c>
      <c r="N273" s="420">
        <f t="shared" si="595"/>
        <v>0</v>
      </c>
      <c r="O273" s="432">
        <f t="shared" si="591"/>
        <v>1</v>
      </c>
      <c r="P273" s="504"/>
      <c r="R273" s="476"/>
    </row>
    <row r="274" spans="1:18" ht="19.5" thickBot="1">
      <c r="A274" s="476"/>
      <c r="C274" s="504"/>
      <c r="D274" s="524"/>
      <c r="E274" s="524"/>
      <c r="F274" s="526"/>
      <c r="G274" s="426" t="s">
        <v>335</v>
      </c>
      <c r="H274" s="427">
        <f t="shared" ref="H274:N274" si="596">IF(MONTH(H$199)=MONTH(INDEX($E$167:$E$179,MATCH($D273,$D$167:$D$179,0),1)),$P79,0)</f>
        <v>0</v>
      </c>
      <c r="I274" s="427">
        <f t="shared" si="596"/>
        <v>0</v>
      </c>
      <c r="J274" s="427">
        <f t="shared" si="596"/>
        <v>1500000</v>
      </c>
      <c r="K274" s="427">
        <f t="shared" si="596"/>
        <v>0</v>
      </c>
      <c r="L274" s="427">
        <f t="shared" si="596"/>
        <v>0</v>
      </c>
      <c r="M274" s="427">
        <f t="shared" si="596"/>
        <v>0</v>
      </c>
      <c r="N274" s="427">
        <f t="shared" si="596"/>
        <v>0</v>
      </c>
      <c r="O274" s="429">
        <f t="shared" si="591"/>
        <v>1500000</v>
      </c>
      <c r="P274" s="504"/>
      <c r="R274" s="476"/>
    </row>
    <row r="275" spans="1:18" ht="19.5" thickTop="1">
      <c r="A275" s="476"/>
      <c r="C275" s="509">
        <f t="shared" si="508"/>
        <v>33</v>
      </c>
      <c r="D275" s="523" t="str">
        <f t="shared" si="584"/>
        <v>Конец бурения скважины</v>
      </c>
      <c r="E275" s="523" t="str">
        <f t="shared" ref="E275" si="597">INDEX($D$7:$D$149,MATCH($F275,$F$7:$F$149,0))</f>
        <v>ГИС</v>
      </c>
      <c r="F275" s="529" t="str">
        <f t="shared" ref="F275" si="598">F80</f>
        <v>Эксплуатационная колонна (РК, СГДТ, АКЦ, ок. кар) гор.скв.</v>
      </c>
      <c r="G275" s="421" t="s">
        <v>312</v>
      </c>
      <c r="H275" s="420">
        <f t="shared" ref="H275:N275" si="599">IF(MONTH(H$199)=MONTH(INDEX($E$167:$E$179,MATCH($D275,$D$167:$D$179,0),1)),$P80,0)</f>
        <v>0</v>
      </c>
      <c r="I275" s="420">
        <f t="shared" si="599"/>
        <v>0</v>
      </c>
      <c r="J275" s="420">
        <f t="shared" si="599"/>
        <v>1</v>
      </c>
      <c r="K275" s="420">
        <f t="shared" si="599"/>
        <v>0</v>
      </c>
      <c r="L275" s="420">
        <f t="shared" si="599"/>
        <v>0</v>
      </c>
      <c r="M275" s="420">
        <f t="shared" si="599"/>
        <v>0</v>
      </c>
      <c r="N275" s="420">
        <f t="shared" si="599"/>
        <v>0</v>
      </c>
      <c r="O275" s="432">
        <f t="shared" si="591"/>
        <v>1</v>
      </c>
      <c r="P275" s="504"/>
      <c r="R275" s="476"/>
    </row>
    <row r="276" spans="1:18" ht="19.5" thickBot="1">
      <c r="A276" s="476"/>
      <c r="C276" s="504"/>
      <c r="D276" s="524"/>
      <c r="E276" s="524"/>
      <c r="F276" s="526"/>
      <c r="G276" s="426" t="s">
        <v>335</v>
      </c>
      <c r="H276" s="427">
        <f t="shared" ref="H276:N276" si="600">IF(MONTH(H$199)=MONTH(INDEX($E$167:$E$179,MATCH($D275,$D$167:$D$179,0),1)),$P81,0)</f>
        <v>0</v>
      </c>
      <c r="I276" s="427">
        <f t="shared" si="600"/>
        <v>0</v>
      </c>
      <c r="J276" s="427">
        <f t="shared" si="600"/>
        <v>200000</v>
      </c>
      <c r="K276" s="427">
        <f t="shared" si="600"/>
        <v>0</v>
      </c>
      <c r="L276" s="427">
        <f t="shared" si="600"/>
        <v>0</v>
      </c>
      <c r="M276" s="427">
        <f t="shared" si="600"/>
        <v>0</v>
      </c>
      <c r="N276" s="427">
        <f t="shared" si="600"/>
        <v>0</v>
      </c>
      <c r="O276" s="429">
        <f t="shared" si="591"/>
        <v>200000</v>
      </c>
      <c r="P276" s="504"/>
      <c r="R276" s="476"/>
    </row>
    <row r="277" spans="1:18" ht="19.5" thickTop="1">
      <c r="A277" s="476"/>
      <c r="C277" s="509">
        <f t="shared" si="508"/>
        <v>34</v>
      </c>
      <c r="D277" s="523" t="str">
        <f t="shared" si="584"/>
        <v>Конец бурения скважины</v>
      </c>
      <c r="E277" s="523" t="str">
        <f t="shared" ref="E277" si="601">INDEX($D$7:$D$149,MATCH($F277,$F$7:$F$149,0))</f>
        <v>ГИС</v>
      </c>
      <c r="F277" s="529" t="str">
        <f t="shared" ref="F277" si="602">F82</f>
        <v>Хвостовик (ок.кар. В гор, каверн) гор. МСГРП скв.</v>
      </c>
      <c r="G277" s="421" t="s">
        <v>312</v>
      </c>
      <c r="H277" s="420">
        <f t="shared" ref="H277:N277" si="603">IF(MONTH(H$199)=MONTH(INDEX($E$167:$E$179,MATCH($D277,$D$167:$D$179,0),1)),$P82,0)</f>
        <v>0</v>
      </c>
      <c r="I277" s="420">
        <f t="shared" si="603"/>
        <v>0</v>
      </c>
      <c r="J277" s="420">
        <f t="shared" si="603"/>
        <v>1</v>
      </c>
      <c r="K277" s="420">
        <f t="shared" si="603"/>
        <v>0</v>
      </c>
      <c r="L277" s="420">
        <f t="shared" si="603"/>
        <v>0</v>
      </c>
      <c r="M277" s="420">
        <f t="shared" si="603"/>
        <v>0</v>
      </c>
      <c r="N277" s="420">
        <f t="shared" si="603"/>
        <v>0</v>
      </c>
      <c r="O277" s="432">
        <f t="shared" si="591"/>
        <v>1</v>
      </c>
      <c r="P277" s="504"/>
      <c r="R277" s="476"/>
    </row>
    <row r="278" spans="1:18" ht="19.5" thickBot="1">
      <c r="A278" s="476"/>
      <c r="C278" s="504"/>
      <c r="D278" s="524"/>
      <c r="E278" s="524"/>
      <c r="F278" s="526"/>
      <c r="G278" s="426" t="s">
        <v>335</v>
      </c>
      <c r="H278" s="427">
        <f t="shared" ref="H278:N278" si="604">IF(MONTH(H$199)=MONTH(INDEX($E$167:$E$179,MATCH($D277,$D$167:$D$179,0),1)),$P83,0)</f>
        <v>0</v>
      </c>
      <c r="I278" s="427">
        <f t="shared" si="604"/>
        <v>0</v>
      </c>
      <c r="J278" s="427">
        <f t="shared" si="604"/>
        <v>800000</v>
      </c>
      <c r="K278" s="427">
        <f t="shared" si="604"/>
        <v>0</v>
      </c>
      <c r="L278" s="427">
        <f t="shared" si="604"/>
        <v>0</v>
      </c>
      <c r="M278" s="427">
        <f t="shared" si="604"/>
        <v>0</v>
      </c>
      <c r="N278" s="427">
        <f t="shared" si="604"/>
        <v>0</v>
      </c>
      <c r="O278" s="429">
        <f t="shared" si="591"/>
        <v>800000</v>
      </c>
      <c r="P278" s="504"/>
      <c r="R278" s="476"/>
    </row>
    <row r="279" spans="1:18" ht="20.25" thickTop="1" thickBot="1">
      <c r="A279" s="476"/>
      <c r="C279" s="504"/>
      <c r="D279" s="504"/>
      <c r="E279" s="504" t="s">
        <v>538</v>
      </c>
      <c r="F279" s="504"/>
      <c r="G279" s="504" t="s">
        <v>335</v>
      </c>
      <c r="H279" s="505">
        <f>SUMIF($G269:$G278,$G279,H269:H278)</f>
        <v>0</v>
      </c>
      <c r="I279" s="505">
        <f t="shared" ref="I279:O279" si="605">SUMIF($G269:$G278,$G279,I269:I278)</f>
        <v>0</v>
      </c>
      <c r="J279" s="505">
        <f t="shared" si="605"/>
        <v>2710000</v>
      </c>
      <c r="K279" s="505">
        <f t="shared" si="605"/>
        <v>0</v>
      </c>
      <c r="L279" s="505">
        <f t="shared" si="605"/>
        <v>0</v>
      </c>
      <c r="M279" s="505">
        <f t="shared" si="605"/>
        <v>0</v>
      </c>
      <c r="N279" s="505">
        <f t="shared" si="605"/>
        <v>0</v>
      </c>
      <c r="O279" s="505">
        <f t="shared" si="605"/>
        <v>2710000</v>
      </c>
      <c r="P279" s="504"/>
      <c r="R279" s="476"/>
    </row>
    <row r="280" spans="1:18" ht="19.5" thickTop="1">
      <c r="A280" s="476"/>
      <c r="C280" s="509">
        <f t="shared" si="508"/>
        <v>35</v>
      </c>
      <c r="D280" s="523" t="str">
        <f t="shared" si="584"/>
        <v>Конец бурения скважины</v>
      </c>
      <c r="E280" s="523" t="str">
        <f t="shared" ref="E280" si="606">INDEX($D$7:$D$149,MATCH($F280,$F$7:$F$149,0))</f>
        <v>Отбор керна</v>
      </c>
      <c r="F280" s="525" t="str">
        <f>F85</f>
        <v>Отбор керна</v>
      </c>
      <c r="G280" s="421" t="s">
        <v>312</v>
      </c>
      <c r="H280" s="420">
        <f t="shared" ref="H280:N280" si="607">IF(MONTH(H$199)=MONTH(INDEX($E$167:$E$179,MATCH($D280,$D$167:$D$179,0),1)),$P85,0)</f>
        <v>0</v>
      </c>
      <c r="I280" s="420">
        <f t="shared" si="607"/>
        <v>0</v>
      </c>
      <c r="J280" s="420">
        <f t="shared" si="607"/>
        <v>0</v>
      </c>
      <c r="K280" s="420">
        <f t="shared" si="607"/>
        <v>0</v>
      </c>
      <c r="L280" s="420">
        <f t="shared" si="607"/>
        <v>0</v>
      </c>
      <c r="M280" s="420">
        <f t="shared" si="607"/>
        <v>0</v>
      </c>
      <c r="N280" s="420">
        <f t="shared" si="607"/>
        <v>0</v>
      </c>
      <c r="O280" s="432">
        <f t="shared" ref="O280:O284" si="608">SUM(H280:N280)</f>
        <v>0</v>
      </c>
      <c r="P280" s="504"/>
      <c r="R280" s="476"/>
    </row>
    <row r="281" spans="1:18" ht="19.5" thickBot="1">
      <c r="A281" s="476"/>
      <c r="C281" s="504"/>
      <c r="D281" s="524"/>
      <c r="E281" s="524"/>
      <c r="F281" s="526"/>
      <c r="G281" s="426" t="s">
        <v>335</v>
      </c>
      <c r="H281" s="427">
        <f t="shared" ref="H281:N281" si="609">IF(MONTH(H$199)=MONTH(INDEX($E$167:$E$179,MATCH($D280,$D$167:$D$179,0),1)),$P86,0)</f>
        <v>0</v>
      </c>
      <c r="I281" s="427">
        <f t="shared" si="609"/>
        <v>0</v>
      </c>
      <c r="J281" s="427">
        <f t="shared" si="609"/>
        <v>0</v>
      </c>
      <c r="K281" s="427">
        <f t="shared" si="609"/>
        <v>0</v>
      </c>
      <c r="L281" s="427">
        <f t="shared" si="609"/>
        <v>0</v>
      </c>
      <c r="M281" s="427">
        <f t="shared" si="609"/>
        <v>0</v>
      </c>
      <c r="N281" s="427">
        <f t="shared" si="609"/>
        <v>0</v>
      </c>
      <c r="O281" s="429">
        <f t="shared" si="608"/>
        <v>0</v>
      </c>
      <c r="P281" s="504"/>
      <c r="R281" s="476"/>
    </row>
    <row r="282" spans="1:18" ht="7.5" customHeight="1" thickTop="1" thickBot="1">
      <c r="A282" s="476"/>
      <c r="C282" s="504"/>
      <c r="D282" s="504"/>
      <c r="E282" s="504"/>
      <c r="F282" s="504"/>
      <c r="G282" s="504"/>
      <c r="H282" s="505"/>
      <c r="I282" s="505"/>
      <c r="J282" s="505"/>
      <c r="K282" s="505"/>
      <c r="L282" s="505"/>
      <c r="M282" s="505"/>
      <c r="N282" s="505"/>
      <c r="O282" s="505"/>
      <c r="P282" s="504"/>
      <c r="R282" s="476"/>
    </row>
    <row r="283" spans="1:18" ht="19.5" thickTop="1">
      <c r="A283" s="476"/>
      <c r="C283" s="509">
        <f t="shared" si="508"/>
        <v>36</v>
      </c>
      <c r="D283" s="527" t="s">
        <v>633</v>
      </c>
      <c r="E283" s="523" t="str">
        <f t="shared" ref="E283" si="610">INDEX($D$7:$D$149,MATCH($F283,$F$7:$F$149,0))</f>
        <v>Супервайзинг</v>
      </c>
      <c r="F283" s="529" t="str">
        <f>F88</f>
        <v>Супервайзер по бурению с вагон-домом</v>
      </c>
      <c r="G283" s="421" t="s">
        <v>312</v>
      </c>
      <c r="H283" s="420">
        <f t="shared" ref="H283:N283" si="611">H$167</f>
        <v>24</v>
      </c>
      <c r="I283" s="420">
        <f t="shared" si="611"/>
        <v>18</v>
      </c>
      <c r="J283" s="420">
        <f t="shared" si="611"/>
        <v>0</v>
      </c>
      <c r="K283" s="420">
        <f t="shared" si="611"/>
        <v>0</v>
      </c>
      <c r="L283" s="420">
        <f t="shared" si="611"/>
        <v>0</v>
      </c>
      <c r="M283" s="420">
        <f t="shared" si="611"/>
        <v>0</v>
      </c>
      <c r="N283" s="420">
        <f t="shared" si="611"/>
        <v>0</v>
      </c>
      <c r="O283" s="432">
        <f t="shared" si="608"/>
        <v>42</v>
      </c>
      <c r="P283" s="504"/>
      <c r="R283" s="476"/>
    </row>
    <row r="284" spans="1:18" ht="19.5" thickBot="1">
      <c r="A284" s="476"/>
      <c r="C284" s="504"/>
      <c r="D284" s="528"/>
      <c r="E284" s="524"/>
      <c r="F284" s="526"/>
      <c r="G284" s="426" t="s">
        <v>335</v>
      </c>
      <c r="H284" s="427">
        <f>$G$88*H283</f>
        <v>492624</v>
      </c>
      <c r="I284" s="427">
        <f t="shared" ref="I284:N284" si="612">$G$88*I283</f>
        <v>369468</v>
      </c>
      <c r="J284" s="427">
        <f t="shared" si="612"/>
        <v>0</v>
      </c>
      <c r="K284" s="427">
        <f t="shared" si="612"/>
        <v>0</v>
      </c>
      <c r="L284" s="427">
        <f t="shared" si="612"/>
        <v>0</v>
      </c>
      <c r="M284" s="427">
        <f t="shared" si="612"/>
        <v>0</v>
      </c>
      <c r="N284" s="427">
        <f t="shared" si="612"/>
        <v>0</v>
      </c>
      <c r="O284" s="429">
        <f t="shared" si="608"/>
        <v>862092</v>
      </c>
      <c r="P284" s="504"/>
      <c r="R284" s="476"/>
    </row>
    <row r="285" spans="1:18" ht="7.5" customHeight="1" thickTop="1" thickBot="1">
      <c r="A285" s="476"/>
      <c r="C285" s="504"/>
      <c r="D285" s="504"/>
      <c r="E285" s="504"/>
      <c r="F285" s="504"/>
      <c r="G285" s="504"/>
      <c r="H285" s="505"/>
      <c r="I285" s="505"/>
      <c r="J285" s="505"/>
      <c r="K285" s="505"/>
      <c r="L285" s="505"/>
      <c r="M285" s="505"/>
      <c r="N285" s="505"/>
      <c r="O285" s="505"/>
      <c r="P285" s="504"/>
      <c r="R285" s="476"/>
    </row>
    <row r="286" spans="1:18" ht="19.5" thickTop="1">
      <c r="A286" s="476"/>
      <c r="C286" s="509">
        <f t="shared" si="508"/>
        <v>37</v>
      </c>
      <c r="D286" s="523" t="str">
        <f t="shared" ref="D286" si="613">$D$172</f>
        <v>Конец бурения скважины</v>
      </c>
      <c r="E286" s="523" t="str">
        <f t="shared" ref="E286" si="614">INDEX($D$7:$D$149,MATCH($F286,$F$7:$F$149,0))</f>
        <v>Другие услуги</v>
      </c>
      <c r="F286" s="529" t="str">
        <f t="shared" ref="F286" si="615">F91</f>
        <v>Противофонтанный лифт</v>
      </c>
      <c r="G286" s="421" t="s">
        <v>312</v>
      </c>
      <c r="H286" s="420">
        <f t="shared" ref="H286:N286" si="616">IF(MONTH(H$199)=MONTH(INDEX($E$167:$E$179,MATCH($D286,$D$167:$D$179,0),1)),$P91,0)</f>
        <v>0</v>
      </c>
      <c r="I286" s="420">
        <f t="shared" si="616"/>
        <v>0</v>
      </c>
      <c r="J286" s="420">
        <f t="shared" si="616"/>
        <v>1</v>
      </c>
      <c r="K286" s="420">
        <f t="shared" si="616"/>
        <v>0</v>
      </c>
      <c r="L286" s="420">
        <f t="shared" si="616"/>
        <v>0</v>
      </c>
      <c r="M286" s="420">
        <f t="shared" si="616"/>
        <v>0</v>
      </c>
      <c r="N286" s="420">
        <f t="shared" si="616"/>
        <v>0</v>
      </c>
      <c r="O286" s="432">
        <f t="shared" si="560"/>
        <v>1</v>
      </c>
      <c r="P286" s="504"/>
      <c r="R286" s="476"/>
    </row>
    <row r="287" spans="1:18" ht="19.5" thickBot="1">
      <c r="A287" s="476"/>
      <c r="C287" s="504"/>
      <c r="D287" s="524"/>
      <c r="E287" s="524"/>
      <c r="F287" s="526"/>
      <c r="G287" s="426" t="s">
        <v>335</v>
      </c>
      <c r="H287" s="427">
        <f t="shared" ref="H287:N287" si="617">IF(MONTH(H$199)=MONTH(INDEX($E$167:$E$179,MATCH($D286,$D$167:$D$179,0),1)),$P92,0)</f>
        <v>0</v>
      </c>
      <c r="I287" s="427">
        <f t="shared" si="617"/>
        <v>0</v>
      </c>
      <c r="J287" s="427">
        <f t="shared" si="617"/>
        <v>115300</v>
      </c>
      <c r="K287" s="427">
        <f t="shared" si="617"/>
        <v>0</v>
      </c>
      <c r="L287" s="427">
        <f t="shared" si="617"/>
        <v>0</v>
      </c>
      <c r="M287" s="427">
        <f t="shared" si="617"/>
        <v>0</v>
      </c>
      <c r="N287" s="427">
        <f t="shared" si="617"/>
        <v>0</v>
      </c>
      <c r="O287" s="429">
        <f t="shared" si="560"/>
        <v>115300</v>
      </c>
      <c r="P287" s="504"/>
      <c r="R287" s="476"/>
    </row>
    <row r="288" spans="1:18" ht="7.5" customHeight="1" thickTop="1" thickBot="1">
      <c r="A288" s="476"/>
      <c r="C288" s="504"/>
      <c r="D288" s="504"/>
      <c r="E288" s="504"/>
      <c r="F288" s="504"/>
      <c r="G288" s="504"/>
      <c r="H288" s="505"/>
      <c r="I288" s="505"/>
      <c r="J288" s="505"/>
      <c r="K288" s="505"/>
      <c r="L288" s="505"/>
      <c r="M288" s="505"/>
      <c r="N288" s="505"/>
      <c r="O288" s="505"/>
      <c r="P288" s="504"/>
      <c r="R288" s="476"/>
    </row>
    <row r="289" spans="1:18" ht="19.5" thickTop="1">
      <c r="A289" s="476"/>
      <c r="C289" s="509">
        <f t="shared" si="508"/>
        <v>38</v>
      </c>
      <c r="D289" s="523" t="str">
        <f t="shared" ref="D289" si="618">$D$172</f>
        <v>Конец бурения скважины</v>
      </c>
      <c r="E289" s="523" t="str">
        <f t="shared" ref="E289" si="619">INDEX($D$7:$D$149,MATCH($F289,$F$7:$F$149,0))</f>
        <v>Сервис по подвески хвостовика</v>
      </c>
      <c r="F289" s="529" t="str">
        <f>F94</f>
        <v>нецементируемые хвостовики 114 мм.</v>
      </c>
      <c r="G289" s="421" t="s">
        <v>312</v>
      </c>
      <c r="H289" s="420">
        <f t="shared" ref="H289:N289" si="620">IF(MONTH(H$199)=MONTH(INDEX($E$167:$E$179,MATCH($D289,$D$167:$D$179,0),1)),$P94,0)</f>
        <v>0</v>
      </c>
      <c r="I289" s="420">
        <f t="shared" si="620"/>
        <v>0</v>
      </c>
      <c r="J289" s="420">
        <f t="shared" si="620"/>
        <v>1</v>
      </c>
      <c r="K289" s="420">
        <f t="shared" si="620"/>
        <v>0</v>
      </c>
      <c r="L289" s="420">
        <f t="shared" si="620"/>
        <v>0</v>
      </c>
      <c r="M289" s="420">
        <f t="shared" si="620"/>
        <v>0</v>
      </c>
      <c r="N289" s="420">
        <f t="shared" si="620"/>
        <v>0</v>
      </c>
      <c r="O289" s="432">
        <f t="shared" si="560"/>
        <v>1</v>
      </c>
      <c r="P289" s="504"/>
      <c r="R289" s="476"/>
    </row>
    <row r="290" spans="1:18" ht="19.5" thickBot="1">
      <c r="A290" s="476"/>
      <c r="C290" s="504"/>
      <c r="D290" s="524"/>
      <c r="E290" s="524"/>
      <c r="F290" s="526"/>
      <c r="G290" s="426" t="s">
        <v>335</v>
      </c>
      <c r="H290" s="427">
        <f t="shared" ref="H290:N290" si="621">IF(MONTH(H$199)=MONTH(INDEX($E$167:$E$179,MATCH($D289,$D$167:$D$179,0),1)),$P95,0)</f>
        <v>0</v>
      </c>
      <c r="I290" s="427">
        <f t="shared" si="621"/>
        <v>0</v>
      </c>
      <c r="J290" s="427">
        <f t="shared" si="621"/>
        <v>4533200</v>
      </c>
      <c r="K290" s="427">
        <f t="shared" si="621"/>
        <v>0</v>
      </c>
      <c r="L290" s="427">
        <f t="shared" si="621"/>
        <v>0</v>
      </c>
      <c r="M290" s="427">
        <f t="shared" si="621"/>
        <v>0</v>
      </c>
      <c r="N290" s="427">
        <f t="shared" si="621"/>
        <v>0</v>
      </c>
      <c r="O290" s="429">
        <f t="shared" si="560"/>
        <v>4533200</v>
      </c>
      <c r="P290" s="504"/>
      <c r="R290" s="476"/>
    </row>
    <row r="291" spans="1:18" ht="7.5" customHeight="1" thickTop="1" thickBot="1">
      <c r="A291" s="476"/>
      <c r="C291" s="504"/>
      <c r="D291" s="504"/>
      <c r="E291" s="504"/>
      <c r="F291" s="504"/>
      <c r="G291" s="504"/>
      <c r="H291" s="505"/>
      <c r="I291" s="505"/>
      <c r="J291" s="505"/>
      <c r="K291" s="505"/>
      <c r="L291" s="505"/>
      <c r="M291" s="505"/>
      <c r="N291" s="505"/>
      <c r="O291" s="505"/>
      <c r="P291" s="504"/>
      <c r="R291" s="476"/>
    </row>
    <row r="292" spans="1:18" ht="19.5" thickTop="1">
      <c r="A292" s="476"/>
      <c r="C292" s="509">
        <f t="shared" si="508"/>
        <v>39</v>
      </c>
      <c r="D292" s="527" t="s">
        <v>637</v>
      </c>
      <c r="E292" s="523" t="str">
        <f t="shared" ref="E292" si="622">INDEX($D$7:$D$149,MATCH($F292,$F$7:$F$149,0))</f>
        <v>Материалы заказчика</v>
      </c>
      <c r="F292" s="529" t="str">
        <f>F97</f>
        <v>Обсадные трубы 324х9,5 Д ОТТМ</v>
      </c>
      <c r="G292" s="421" t="s">
        <v>312</v>
      </c>
      <c r="H292" s="511">
        <f t="shared" ref="H292:N292" si="623">H$169</f>
        <v>3152.7777777777778</v>
      </c>
      <c r="I292" s="511">
        <f t="shared" si="623"/>
        <v>2047.2222222222222</v>
      </c>
      <c r="J292" s="511">
        <f t="shared" si="623"/>
        <v>0</v>
      </c>
      <c r="K292" s="511">
        <f t="shared" si="623"/>
        <v>0</v>
      </c>
      <c r="L292" s="511">
        <f t="shared" si="623"/>
        <v>0</v>
      </c>
      <c r="M292" s="511">
        <f t="shared" si="623"/>
        <v>0</v>
      </c>
      <c r="N292" s="511">
        <f t="shared" si="623"/>
        <v>0</v>
      </c>
      <c r="O292" s="511">
        <f t="shared" si="560"/>
        <v>5200</v>
      </c>
      <c r="P292" s="504"/>
      <c r="R292" s="476"/>
    </row>
    <row r="293" spans="1:18" ht="19.5" thickBot="1">
      <c r="A293" s="476"/>
      <c r="C293" s="504"/>
      <c r="D293" s="528"/>
      <c r="E293" s="524"/>
      <c r="F293" s="526"/>
      <c r="G293" s="426" t="s">
        <v>335</v>
      </c>
      <c r="H293" s="427">
        <f>$P98*H292/$O292</f>
        <v>595802.24358974351</v>
      </c>
      <c r="I293" s="427">
        <f t="shared" ref="I293:N293" si="624">$P98*I292/$O292</f>
        <v>386877.75641025638</v>
      </c>
      <c r="J293" s="427">
        <f t="shared" si="624"/>
        <v>0</v>
      </c>
      <c r="K293" s="427">
        <f t="shared" si="624"/>
        <v>0</v>
      </c>
      <c r="L293" s="427">
        <f t="shared" si="624"/>
        <v>0</v>
      </c>
      <c r="M293" s="427">
        <f t="shared" si="624"/>
        <v>0</v>
      </c>
      <c r="N293" s="427">
        <f t="shared" si="624"/>
        <v>0</v>
      </c>
      <c r="O293" s="429">
        <f t="shared" si="560"/>
        <v>982679.99999999988</v>
      </c>
      <c r="P293" s="504"/>
      <c r="R293" s="476"/>
    </row>
    <row r="294" spans="1:18" ht="19.5" customHeight="1" thickTop="1">
      <c r="A294" s="476"/>
      <c r="C294" s="509">
        <f t="shared" ref="C294:C335" si="625">INDEX($C$7:$C$149,MATCH($F294,$F$7:$F$149,0))</f>
        <v>40</v>
      </c>
      <c r="D294" s="527" t="s">
        <v>637</v>
      </c>
      <c r="E294" s="523" t="str">
        <f t="shared" ref="E294" si="626">INDEX($D$7:$D$149,MATCH($F294,$F$7:$F$149,0))</f>
        <v>Материалы заказчика</v>
      </c>
      <c r="F294" s="529" t="str">
        <f t="shared" ref="F294" si="627">F99</f>
        <v>Обсадные трубы 245х7,9 Д ОТТМ</v>
      </c>
      <c r="G294" s="421" t="s">
        <v>312</v>
      </c>
      <c r="H294" s="511">
        <f t="shared" ref="H294:N294" si="628">H$169</f>
        <v>3152.7777777777778</v>
      </c>
      <c r="I294" s="511">
        <f t="shared" si="628"/>
        <v>2047.2222222222222</v>
      </c>
      <c r="J294" s="511">
        <f t="shared" si="628"/>
        <v>0</v>
      </c>
      <c r="K294" s="511">
        <f t="shared" si="628"/>
        <v>0</v>
      </c>
      <c r="L294" s="511">
        <f t="shared" si="628"/>
        <v>0</v>
      </c>
      <c r="M294" s="511">
        <f t="shared" si="628"/>
        <v>0</v>
      </c>
      <c r="N294" s="511">
        <f t="shared" si="628"/>
        <v>0</v>
      </c>
      <c r="O294" s="511">
        <f t="shared" ref="O294" si="629">SUM(H294:N294)</f>
        <v>5200</v>
      </c>
      <c r="P294" s="504"/>
      <c r="R294" s="476"/>
    </row>
    <row r="295" spans="1:18" ht="19.5" thickBot="1">
      <c r="A295" s="476"/>
      <c r="C295" s="504"/>
      <c r="D295" s="528"/>
      <c r="E295" s="524"/>
      <c r="F295" s="526"/>
      <c r="G295" s="426" t="s">
        <v>335</v>
      </c>
      <c r="H295" s="427">
        <f>$P100*H294/$O294</f>
        <v>1505723.012820513</v>
      </c>
      <c r="I295" s="427">
        <f t="shared" ref="I295" si="630">$P100*I294/$O294</f>
        <v>977724.98717948713</v>
      </c>
      <c r="J295" s="427">
        <f t="shared" ref="J295" si="631">$P100*J294/$O294</f>
        <v>0</v>
      </c>
      <c r="K295" s="427">
        <f t="shared" ref="K295" si="632">$P100*K294/$O294</f>
        <v>0</v>
      </c>
      <c r="L295" s="427">
        <f t="shared" ref="L295" si="633">$P100*L294/$O294</f>
        <v>0</v>
      </c>
      <c r="M295" s="427">
        <f t="shared" ref="M295" si="634">$P100*M294/$O294</f>
        <v>0</v>
      </c>
      <c r="N295" s="427">
        <f t="shared" ref="N295" si="635">$P100*N294/$O294</f>
        <v>0</v>
      </c>
      <c r="O295" s="429">
        <f t="shared" si="560"/>
        <v>2483448</v>
      </c>
      <c r="P295" s="504"/>
      <c r="R295" s="476"/>
    </row>
    <row r="296" spans="1:18" ht="19.5" customHeight="1" thickTop="1">
      <c r="A296" s="476"/>
      <c r="C296" s="509">
        <f t="shared" si="625"/>
        <v>41</v>
      </c>
      <c r="D296" s="527" t="s">
        <v>637</v>
      </c>
      <c r="E296" s="523" t="str">
        <f t="shared" ref="E296" si="636">INDEX($D$7:$D$149,MATCH($F296,$F$7:$F$149,0))</f>
        <v>Материалы заказчика</v>
      </c>
      <c r="F296" s="529" t="str">
        <f t="shared" ref="F296" si="637">F101</f>
        <v>Обсадные трубы 178х9,2 Д ОТТМ</v>
      </c>
      <c r="G296" s="421" t="s">
        <v>312</v>
      </c>
      <c r="H296" s="511">
        <f t="shared" ref="H296:N296" si="638">H$169</f>
        <v>3152.7777777777778</v>
      </c>
      <c r="I296" s="511">
        <f t="shared" si="638"/>
        <v>2047.2222222222222</v>
      </c>
      <c r="J296" s="511">
        <f t="shared" si="638"/>
        <v>0</v>
      </c>
      <c r="K296" s="511">
        <f t="shared" si="638"/>
        <v>0</v>
      </c>
      <c r="L296" s="511">
        <f t="shared" si="638"/>
        <v>0</v>
      </c>
      <c r="M296" s="511">
        <f t="shared" si="638"/>
        <v>0</v>
      </c>
      <c r="N296" s="511">
        <f t="shared" si="638"/>
        <v>0</v>
      </c>
      <c r="O296" s="511">
        <f t="shared" ref="O296" si="639">SUM(H296:N296)</f>
        <v>5200</v>
      </c>
      <c r="P296" s="504"/>
      <c r="R296" s="476"/>
    </row>
    <row r="297" spans="1:18" ht="19.5" thickBot="1">
      <c r="A297" s="476"/>
      <c r="C297" s="504"/>
      <c r="D297" s="528"/>
      <c r="E297" s="524"/>
      <c r="F297" s="526"/>
      <c r="G297" s="426" t="s">
        <v>335</v>
      </c>
      <c r="H297" s="427">
        <f>$P102*H296/$O296</f>
        <v>2415512.8205128205</v>
      </c>
      <c r="I297" s="427">
        <f t="shared" ref="I297" si="640">$P102*I296/$O296</f>
        <v>1568487.1794871795</v>
      </c>
      <c r="J297" s="427">
        <f t="shared" ref="J297" si="641">$P102*J296/$O296</f>
        <v>0</v>
      </c>
      <c r="K297" s="427">
        <f t="shared" ref="K297" si="642">$P102*K296/$O296</f>
        <v>0</v>
      </c>
      <c r="L297" s="427">
        <f t="shared" ref="L297" si="643">$P102*L296/$O296</f>
        <v>0</v>
      </c>
      <c r="M297" s="427">
        <f t="shared" ref="M297" si="644">$P102*M296/$O296</f>
        <v>0</v>
      </c>
      <c r="N297" s="427">
        <f t="shared" ref="N297" si="645">$P102*N296/$O296</f>
        <v>0</v>
      </c>
      <c r="O297" s="429">
        <f t="shared" si="560"/>
        <v>3984000</v>
      </c>
      <c r="P297" s="504"/>
      <c r="R297" s="476"/>
    </row>
    <row r="298" spans="1:18" ht="19.5" customHeight="1" thickTop="1">
      <c r="A298" s="476"/>
      <c r="C298" s="509">
        <f t="shared" si="625"/>
        <v>42</v>
      </c>
      <c r="D298" s="527" t="s">
        <v>637</v>
      </c>
      <c r="E298" s="523" t="str">
        <f t="shared" ref="E298" si="646">INDEX($D$7:$D$149,MATCH($F298,$F$7:$F$149,0))</f>
        <v>Материалы заказчика</v>
      </c>
      <c r="F298" s="529" t="str">
        <f t="shared" ref="F298" si="647">F103</f>
        <v>Обсадные трубы 178х9,2 Е ОТТМ</v>
      </c>
      <c r="G298" s="421" t="s">
        <v>312</v>
      </c>
      <c r="H298" s="511">
        <f t="shared" ref="H298:N298" si="648">H$169</f>
        <v>3152.7777777777778</v>
      </c>
      <c r="I298" s="511">
        <f t="shared" si="648"/>
        <v>2047.2222222222222</v>
      </c>
      <c r="J298" s="511">
        <f t="shared" si="648"/>
        <v>0</v>
      </c>
      <c r="K298" s="511">
        <f t="shared" si="648"/>
        <v>0</v>
      </c>
      <c r="L298" s="511">
        <f t="shared" si="648"/>
        <v>0</v>
      </c>
      <c r="M298" s="511">
        <f t="shared" si="648"/>
        <v>0</v>
      </c>
      <c r="N298" s="511">
        <f t="shared" si="648"/>
        <v>0</v>
      </c>
      <c r="O298" s="511">
        <f t="shared" ref="O298" si="649">SUM(H298:N298)</f>
        <v>5200</v>
      </c>
      <c r="P298" s="504"/>
      <c r="R298" s="476"/>
    </row>
    <row r="299" spans="1:18" ht="19.5" thickBot="1">
      <c r="A299" s="476"/>
      <c r="C299" s="504"/>
      <c r="D299" s="528"/>
      <c r="E299" s="524"/>
      <c r="F299" s="526"/>
      <c r="G299" s="426" t="s">
        <v>335</v>
      </c>
      <c r="H299" s="427">
        <f>$P104*H298/$O298</f>
        <v>2051730.7692307692</v>
      </c>
      <c r="I299" s="427">
        <f t="shared" ref="I299" si="650">$P104*I298/$O298</f>
        <v>1332269.2307692308</v>
      </c>
      <c r="J299" s="427">
        <f t="shared" ref="J299" si="651">$P104*J298/$O298</f>
        <v>0</v>
      </c>
      <c r="K299" s="427">
        <f t="shared" ref="K299" si="652">$P104*K298/$O298</f>
        <v>0</v>
      </c>
      <c r="L299" s="427">
        <f t="shared" ref="L299" si="653">$P104*L298/$O298</f>
        <v>0</v>
      </c>
      <c r="M299" s="427">
        <f t="shared" ref="M299" si="654">$P104*M298/$O298</f>
        <v>0</v>
      </c>
      <c r="N299" s="427">
        <f t="shared" ref="N299" si="655">$P104*N298/$O298</f>
        <v>0</v>
      </c>
      <c r="O299" s="429">
        <f t="shared" si="560"/>
        <v>3384000</v>
      </c>
      <c r="P299" s="504"/>
      <c r="R299" s="476"/>
    </row>
    <row r="300" spans="1:18" ht="19.5" customHeight="1" thickTop="1">
      <c r="A300" s="476"/>
      <c r="C300" s="509">
        <f t="shared" si="625"/>
        <v>43</v>
      </c>
      <c r="D300" s="527" t="s">
        <v>637</v>
      </c>
      <c r="E300" s="523" t="str">
        <f t="shared" ref="E300" si="656">INDEX($D$7:$D$149,MATCH($F300,$F$7:$F$149,0))</f>
        <v>Материалы заказчика</v>
      </c>
      <c r="F300" s="529" t="str">
        <f t="shared" ref="F300" si="657">F105</f>
        <v>Труба ОТТМ-114х7,4 Е ОТТМ</v>
      </c>
      <c r="G300" s="421" t="s">
        <v>312</v>
      </c>
      <c r="H300" s="511">
        <f t="shared" ref="H300:N300" si="658">H$169</f>
        <v>3152.7777777777778</v>
      </c>
      <c r="I300" s="511">
        <f t="shared" si="658"/>
        <v>2047.2222222222222</v>
      </c>
      <c r="J300" s="511">
        <f t="shared" si="658"/>
        <v>0</v>
      </c>
      <c r="K300" s="511">
        <f t="shared" si="658"/>
        <v>0</v>
      </c>
      <c r="L300" s="511">
        <f t="shared" si="658"/>
        <v>0</v>
      </c>
      <c r="M300" s="511">
        <f t="shared" si="658"/>
        <v>0</v>
      </c>
      <c r="N300" s="511">
        <f t="shared" si="658"/>
        <v>0</v>
      </c>
      <c r="O300" s="511">
        <f t="shared" ref="O300" si="659">SUM(H300:N300)</f>
        <v>5200</v>
      </c>
      <c r="P300" s="504"/>
      <c r="R300" s="476"/>
    </row>
    <row r="301" spans="1:18" ht="19.5" thickBot="1">
      <c r="A301" s="476"/>
      <c r="C301" s="504"/>
      <c r="D301" s="528"/>
      <c r="E301" s="524"/>
      <c r="F301" s="526"/>
      <c r="G301" s="426" t="s">
        <v>335</v>
      </c>
      <c r="H301" s="427">
        <f>$P106*H300/$O300</f>
        <v>587508.01282051275</v>
      </c>
      <c r="I301" s="427">
        <f t="shared" ref="I301" si="660">$P106*I300/$O300</f>
        <v>381491.98717948719</v>
      </c>
      <c r="J301" s="427">
        <f t="shared" ref="J301" si="661">$P106*J300/$O300</f>
        <v>0</v>
      </c>
      <c r="K301" s="427">
        <f t="shared" ref="K301" si="662">$P106*K300/$O300</f>
        <v>0</v>
      </c>
      <c r="L301" s="427">
        <f t="shared" ref="L301" si="663">$P106*L300/$O300</f>
        <v>0</v>
      </c>
      <c r="M301" s="427">
        <f t="shared" ref="M301" si="664">$P106*M300/$O300</f>
        <v>0</v>
      </c>
      <c r="N301" s="427">
        <f t="shared" ref="N301" si="665">$P106*N300/$O300</f>
        <v>0</v>
      </c>
      <c r="O301" s="429">
        <f t="shared" si="560"/>
        <v>969000</v>
      </c>
      <c r="P301" s="504"/>
      <c r="R301" s="476"/>
    </row>
    <row r="302" spans="1:18" ht="19.5" customHeight="1" thickTop="1">
      <c r="A302" s="476"/>
      <c r="C302" s="509">
        <f t="shared" si="625"/>
        <v>44</v>
      </c>
      <c r="D302" s="527" t="s">
        <v>637</v>
      </c>
      <c r="E302" s="523" t="str">
        <f t="shared" ref="E302" si="666">INDEX($D$7:$D$149,MATCH($F302,$F$7:$F$149,0))</f>
        <v>Материалы заказчика</v>
      </c>
      <c r="F302" s="529" t="str">
        <f t="shared" ref="F302" si="667">F107</f>
        <v xml:space="preserve">Допускные трубы для обсадных колонн </v>
      </c>
      <c r="G302" s="421" t="s">
        <v>312</v>
      </c>
      <c r="H302" s="511">
        <f t="shared" ref="H302:N302" si="668">H$169</f>
        <v>3152.7777777777778</v>
      </c>
      <c r="I302" s="511">
        <f t="shared" si="668"/>
        <v>2047.2222222222222</v>
      </c>
      <c r="J302" s="511">
        <f t="shared" si="668"/>
        <v>0</v>
      </c>
      <c r="K302" s="511">
        <f t="shared" si="668"/>
        <v>0</v>
      </c>
      <c r="L302" s="511">
        <f t="shared" si="668"/>
        <v>0</v>
      </c>
      <c r="M302" s="511">
        <f t="shared" si="668"/>
        <v>0</v>
      </c>
      <c r="N302" s="511">
        <f t="shared" si="668"/>
        <v>0</v>
      </c>
      <c r="O302" s="511">
        <f t="shared" ref="O302" si="669">SUM(H302:N302)</f>
        <v>5200</v>
      </c>
      <c r="P302" s="504"/>
      <c r="R302" s="476"/>
    </row>
    <row r="303" spans="1:18" ht="19.5" thickBot="1">
      <c r="A303" s="476"/>
      <c r="C303" s="504"/>
      <c r="D303" s="528"/>
      <c r="E303" s="524"/>
      <c r="F303" s="526"/>
      <c r="G303" s="426" t="s">
        <v>335</v>
      </c>
      <c r="H303" s="427">
        <f>$P108*H302/$O302</f>
        <v>41653.626923076932</v>
      </c>
      <c r="I303" s="427">
        <f t="shared" ref="I303" si="670">$P108*I302/$O302</f>
        <v>27047.333076923078</v>
      </c>
      <c r="J303" s="427">
        <f t="shared" ref="J303" si="671">$P108*J302/$O302</f>
        <v>0</v>
      </c>
      <c r="K303" s="427">
        <f t="shared" ref="K303" si="672">$P108*K302/$O302</f>
        <v>0</v>
      </c>
      <c r="L303" s="427">
        <f t="shared" ref="L303" si="673">$P108*L302/$O302</f>
        <v>0</v>
      </c>
      <c r="M303" s="427">
        <f t="shared" ref="M303" si="674">$P108*M302/$O302</f>
        <v>0</v>
      </c>
      <c r="N303" s="427">
        <f t="shared" ref="N303" si="675">$P108*N302/$O302</f>
        <v>0</v>
      </c>
      <c r="O303" s="429">
        <f t="shared" ref="O303:O310" si="676">SUM(H303:N303)</f>
        <v>68700.960000000006</v>
      </c>
      <c r="P303" s="504"/>
      <c r="R303" s="476"/>
    </row>
    <row r="304" spans="1:18" ht="20.25" thickTop="1" thickBot="1">
      <c r="A304" s="476"/>
      <c r="C304" s="504"/>
      <c r="D304" s="510" t="s">
        <v>451</v>
      </c>
      <c r="E304" s="504" t="s">
        <v>629</v>
      </c>
      <c r="F304" s="504"/>
      <c r="G304" s="504" t="s">
        <v>335</v>
      </c>
      <c r="H304" s="505">
        <f>SUMIF($G292:$G303,$G304,H292:H303)</f>
        <v>7197930.4858974358</v>
      </c>
      <c r="I304" s="505">
        <f t="shared" ref="I304:O304" si="677">SUMIF($G292:$G303,$G304,I292:I303)</f>
        <v>4673898.4741025642</v>
      </c>
      <c r="J304" s="505">
        <f t="shared" si="677"/>
        <v>0</v>
      </c>
      <c r="K304" s="505">
        <f t="shared" si="677"/>
        <v>0</v>
      </c>
      <c r="L304" s="505">
        <f t="shared" si="677"/>
        <v>0</v>
      </c>
      <c r="M304" s="505">
        <f t="shared" si="677"/>
        <v>0</v>
      </c>
      <c r="N304" s="505">
        <f t="shared" si="677"/>
        <v>0</v>
      </c>
      <c r="O304" s="505">
        <f t="shared" si="677"/>
        <v>11871828.960000001</v>
      </c>
      <c r="P304" s="504"/>
      <c r="R304" s="476"/>
    </row>
    <row r="305" spans="1:18" ht="19.5" thickTop="1">
      <c r="A305" s="476"/>
      <c r="C305" s="509">
        <f t="shared" si="625"/>
        <v>45</v>
      </c>
      <c r="D305" s="523" t="str">
        <f t="shared" ref="D305" si="678">$D$172</f>
        <v>Конец бурения скважины</v>
      </c>
      <c r="E305" s="523" t="str">
        <f t="shared" ref="E305" si="679">INDEX($D$7:$D$149,MATCH($F305,$F$7:$F$149,0))</f>
        <v>Другие расходы</v>
      </c>
      <c r="F305" s="529" t="str">
        <f>F110</f>
        <v>Услуги НТЦ (лаб.анализ растворов, авторский надзор и пр.)</v>
      </c>
      <c r="G305" s="421" t="s">
        <v>312</v>
      </c>
      <c r="H305" s="420">
        <f t="shared" ref="H305:N305" si="680">IF(MONTH(H$199)=MONTH(INDEX($E$167:$E$179,MATCH($D305,$D$167:$D$179,0),1)),$P110,0)</f>
        <v>0</v>
      </c>
      <c r="I305" s="420">
        <f t="shared" si="680"/>
        <v>0</v>
      </c>
      <c r="J305" s="420">
        <f t="shared" si="680"/>
        <v>1</v>
      </c>
      <c r="K305" s="420">
        <f t="shared" si="680"/>
        <v>0</v>
      </c>
      <c r="L305" s="420">
        <f t="shared" si="680"/>
        <v>0</v>
      </c>
      <c r="M305" s="420">
        <f t="shared" si="680"/>
        <v>0</v>
      </c>
      <c r="N305" s="420">
        <f t="shared" si="680"/>
        <v>0</v>
      </c>
      <c r="O305" s="432">
        <f t="shared" si="676"/>
        <v>1</v>
      </c>
      <c r="P305" s="504"/>
      <c r="R305" s="476"/>
    </row>
    <row r="306" spans="1:18" ht="19.5" thickBot="1">
      <c r="A306" s="476"/>
      <c r="C306" s="504"/>
      <c r="D306" s="524"/>
      <c r="E306" s="524"/>
      <c r="F306" s="526"/>
      <c r="G306" s="426" t="s">
        <v>335</v>
      </c>
      <c r="H306" s="427">
        <f t="shared" ref="H306:N306" si="681">IF(MONTH(H$199)=MONTH(INDEX($E$167:$E$179,MATCH($D305,$D$167:$D$179,0),1)),$P111,0)</f>
        <v>0</v>
      </c>
      <c r="I306" s="427">
        <f t="shared" si="681"/>
        <v>0</v>
      </c>
      <c r="J306" s="427">
        <f t="shared" si="681"/>
        <v>500000</v>
      </c>
      <c r="K306" s="427">
        <f t="shared" si="681"/>
        <v>0</v>
      </c>
      <c r="L306" s="427">
        <f t="shared" si="681"/>
        <v>0</v>
      </c>
      <c r="M306" s="427">
        <f t="shared" si="681"/>
        <v>0</v>
      </c>
      <c r="N306" s="427">
        <f t="shared" si="681"/>
        <v>0</v>
      </c>
      <c r="O306" s="429">
        <f t="shared" si="676"/>
        <v>500000</v>
      </c>
      <c r="P306" s="504"/>
      <c r="R306" s="476"/>
    </row>
    <row r="307" spans="1:18" ht="19.5" thickTop="1">
      <c r="A307" s="476"/>
      <c r="C307" s="509">
        <f t="shared" si="625"/>
        <v>46</v>
      </c>
      <c r="D307" s="523" t="str">
        <f t="shared" ref="D307" si="682">$D$172</f>
        <v>Конец бурения скважины</v>
      </c>
      <c r="E307" s="523" t="str">
        <f t="shared" ref="E307" si="683">INDEX($D$7:$D$149,MATCH($F307,$F$7:$F$149,0))</f>
        <v>Другие расходы</v>
      </c>
      <c r="F307" s="529" t="str">
        <f t="shared" ref="F307" si="684">F112</f>
        <v>Услуги УМТС (10,45% от ТМЦ, включая опрессовку труб)</v>
      </c>
      <c r="G307" s="421" t="s">
        <v>312</v>
      </c>
      <c r="H307" s="420"/>
      <c r="I307" s="420"/>
      <c r="J307" s="420"/>
      <c r="K307" s="420"/>
      <c r="L307" s="420"/>
      <c r="M307" s="420"/>
      <c r="N307" s="420"/>
      <c r="O307" s="432">
        <f t="shared" si="676"/>
        <v>0</v>
      </c>
      <c r="P307" s="504"/>
      <c r="R307" s="476"/>
    </row>
    <row r="308" spans="1:18" ht="19.5" thickBot="1">
      <c r="A308" s="476"/>
      <c r="C308" s="504"/>
      <c r="D308" s="524"/>
      <c r="E308" s="524"/>
      <c r="F308" s="526"/>
      <c r="G308" s="426" t="s">
        <v>335</v>
      </c>
      <c r="H308" s="427">
        <f t="shared" ref="H308:N308" si="685">IF(MONTH(H$199)=MONTH(INDEX($E$167:$E$179,MATCH($D307,$D$167:$D$179,0),1)),$P113,0)</f>
        <v>0</v>
      </c>
      <c r="I308" s="427">
        <f t="shared" si="685"/>
        <v>0</v>
      </c>
      <c r="J308" s="427">
        <f t="shared" si="685"/>
        <v>2007646.6889292002</v>
      </c>
      <c r="K308" s="427">
        <f t="shared" si="685"/>
        <v>0</v>
      </c>
      <c r="L308" s="427">
        <f t="shared" si="685"/>
        <v>0</v>
      </c>
      <c r="M308" s="427">
        <f t="shared" si="685"/>
        <v>0</v>
      </c>
      <c r="N308" s="427">
        <f t="shared" si="685"/>
        <v>0</v>
      </c>
      <c r="O308" s="429">
        <f t="shared" si="676"/>
        <v>2007646.6889292002</v>
      </c>
      <c r="P308" s="504"/>
      <c r="Q308" t="s">
        <v>639</v>
      </c>
      <c r="R308" s="476"/>
    </row>
    <row r="309" spans="1:18" ht="19.5" thickTop="1">
      <c r="A309" s="476"/>
      <c r="C309" s="509">
        <f t="shared" si="625"/>
        <v>47</v>
      </c>
      <c r="D309" s="523" t="str">
        <f t="shared" ref="D309" si="686">$D$172</f>
        <v>Конец бурения скважины</v>
      </c>
      <c r="E309" s="523" t="str">
        <f t="shared" ref="E309" si="687">INDEX($D$7:$D$149,MATCH($F309,$F$7:$F$149,0))</f>
        <v>Другие расходы</v>
      </c>
      <c r="F309" s="529" t="str">
        <f t="shared" ref="F309" si="688">F114</f>
        <v>Комплектация обсадных колонн</v>
      </c>
      <c r="G309" s="421" t="s">
        <v>312</v>
      </c>
      <c r="H309" s="420">
        <f t="shared" ref="H309:N309" si="689">IF(MONTH(H$199)=MONTH(INDEX($E$167:$E$179,MATCH($D309,$D$167:$D$179,0),1)),$P114,0)</f>
        <v>0</v>
      </c>
      <c r="I309" s="420">
        <f t="shared" si="689"/>
        <v>0</v>
      </c>
      <c r="J309" s="420">
        <f t="shared" si="689"/>
        <v>3.1649999999999998E-2</v>
      </c>
      <c r="K309" s="420">
        <f t="shared" si="689"/>
        <v>0</v>
      </c>
      <c r="L309" s="420">
        <f t="shared" si="689"/>
        <v>0</v>
      </c>
      <c r="M309" s="420">
        <f t="shared" si="689"/>
        <v>0</v>
      </c>
      <c r="N309" s="420">
        <f t="shared" si="689"/>
        <v>0</v>
      </c>
      <c r="O309" s="432">
        <f t="shared" si="676"/>
        <v>3.1649999999999998E-2</v>
      </c>
      <c r="P309" s="504"/>
      <c r="R309" s="476"/>
    </row>
    <row r="310" spans="1:18" ht="19.5" thickBot="1">
      <c r="A310" s="476"/>
      <c r="C310" s="504"/>
      <c r="D310" s="524"/>
      <c r="E310" s="524"/>
      <c r="F310" s="526"/>
      <c r="G310" s="426" t="s">
        <v>335</v>
      </c>
      <c r="H310" s="427">
        <f t="shared" ref="H310:N310" si="690">IF(MONTH(H$199)=MONTH(INDEX($E$167:$E$179,MATCH($D309,$D$167:$D$179,0),1)),$P115,0)</f>
        <v>0</v>
      </c>
      <c r="I310" s="427">
        <f t="shared" si="690"/>
        <v>0</v>
      </c>
      <c r="J310" s="427">
        <f t="shared" si="690"/>
        <v>375743.38658400002</v>
      </c>
      <c r="K310" s="427">
        <f t="shared" si="690"/>
        <v>0</v>
      </c>
      <c r="L310" s="427">
        <f t="shared" si="690"/>
        <v>0</v>
      </c>
      <c r="M310" s="427">
        <f t="shared" si="690"/>
        <v>0</v>
      </c>
      <c r="N310" s="427">
        <f t="shared" si="690"/>
        <v>0</v>
      </c>
      <c r="O310" s="429">
        <f t="shared" si="676"/>
        <v>375743.38658400002</v>
      </c>
      <c r="P310" s="504"/>
      <c r="R310" s="476"/>
    </row>
    <row r="311" spans="1:18" ht="19.5" thickTop="1">
      <c r="A311" s="476"/>
      <c r="C311" s="504"/>
      <c r="D311" s="504"/>
      <c r="E311" s="504" t="s">
        <v>627</v>
      </c>
      <c r="F311" s="504"/>
      <c r="G311" s="504" t="s">
        <v>335</v>
      </c>
      <c r="H311" s="505">
        <f>SUMIF($G305:$G310,$G311,H305:H310)</f>
        <v>0</v>
      </c>
      <c r="I311" s="505">
        <f t="shared" ref="I311:O311" si="691">SUMIF($G305:$G310,$G311,I305:I310)</f>
        <v>0</v>
      </c>
      <c r="J311" s="505">
        <f t="shared" si="691"/>
        <v>2883390.0755132004</v>
      </c>
      <c r="K311" s="505">
        <f t="shared" si="691"/>
        <v>0</v>
      </c>
      <c r="L311" s="505">
        <f t="shared" si="691"/>
        <v>0</v>
      </c>
      <c r="M311" s="505">
        <f t="shared" si="691"/>
        <v>0</v>
      </c>
      <c r="N311" s="505">
        <f t="shared" si="691"/>
        <v>0</v>
      </c>
      <c r="O311" s="505">
        <f t="shared" si="691"/>
        <v>2883390.0755132004</v>
      </c>
      <c r="P311" s="504"/>
      <c r="R311" s="476"/>
    </row>
    <row r="312" spans="1:18" ht="18.75">
      <c r="A312" s="476"/>
      <c r="C312" s="504"/>
      <c r="D312" s="504" t="s">
        <v>624</v>
      </c>
      <c r="E312" s="504"/>
      <c r="F312" s="504"/>
      <c r="G312" s="504" t="s">
        <v>335</v>
      </c>
      <c r="H312" s="505">
        <f>H311+H304+H290+H287+H284+H281+H279+H268+H263+H252+H243+H228+H216</f>
        <v>35516904.965897433</v>
      </c>
      <c r="I312" s="505">
        <f t="shared" ref="I312:O312" si="692">I311+I304+I290+I287+I284+I281+I279+I268+I263+I252+I243+I228+I216</f>
        <v>25913129.334102564</v>
      </c>
      <c r="J312" s="505">
        <f t="shared" si="692"/>
        <v>39761767.3940612</v>
      </c>
      <c r="K312" s="505">
        <f t="shared" si="692"/>
        <v>0</v>
      </c>
      <c r="L312" s="505">
        <f t="shared" si="692"/>
        <v>0</v>
      </c>
      <c r="M312" s="505">
        <f t="shared" si="692"/>
        <v>0</v>
      </c>
      <c r="N312" s="505">
        <f t="shared" si="692"/>
        <v>0</v>
      </c>
      <c r="O312" s="505">
        <f t="shared" si="692"/>
        <v>101191801.69406119</v>
      </c>
      <c r="P312" s="504"/>
      <c r="R312" s="476"/>
    </row>
    <row r="313" spans="1:18" ht="18.75">
      <c r="A313" s="476"/>
      <c r="R313" s="476"/>
    </row>
    <row r="314" spans="1:18" ht="19.5" thickBot="1">
      <c r="A314" s="476"/>
      <c r="C314" s="504" t="s">
        <v>628</v>
      </c>
      <c r="D314" s="503"/>
      <c r="E314" s="503"/>
      <c r="F314" s="503"/>
      <c r="G314" s="503"/>
      <c r="H314" s="503"/>
      <c r="I314" s="503"/>
      <c r="J314" s="503"/>
      <c r="K314" s="503"/>
      <c r="L314" s="503"/>
      <c r="M314" s="503"/>
      <c r="N314" s="503"/>
      <c r="O314" s="503"/>
      <c r="P314" s="504"/>
      <c r="R314" s="476"/>
    </row>
    <row r="315" spans="1:18" ht="19.5" thickTop="1">
      <c r="A315" s="476"/>
      <c r="C315" s="509">
        <f t="shared" si="625"/>
        <v>48</v>
      </c>
      <c r="D315" s="523" t="str">
        <f>$D$176</f>
        <v>Конец освоения скважины</v>
      </c>
      <c r="E315" s="523" t="str">
        <f t="shared" ref="E315" si="693">INDEX($D$7:$D$149,MATCH($F315,$F$7:$F$149,0))</f>
        <v>Освоение</v>
      </c>
      <c r="F315" s="525" t="str">
        <f>F120</f>
        <v>Услуги по гидроразрыву пластов</v>
      </c>
      <c r="G315" s="421" t="s">
        <v>312</v>
      </c>
      <c r="H315" s="420">
        <f>IF(MONTH(H$199)=MONTH(INDEX($E$167:$E$179,MATCH($D315,$D$167:$D$179,0),1)),$P120,0)</f>
        <v>0</v>
      </c>
      <c r="I315" s="420">
        <f t="shared" ref="I315:N315" si="694">IF(MONTH(I$199)=MONTH(INDEX($E$167:$E$179,MATCH($D315,$D$167:$D$179,0),1)),$P120,0)</f>
        <v>0</v>
      </c>
      <c r="J315" s="420">
        <f t="shared" si="694"/>
        <v>1</v>
      </c>
      <c r="K315" s="420">
        <f t="shared" si="694"/>
        <v>0</v>
      </c>
      <c r="L315" s="420">
        <f t="shared" si="694"/>
        <v>0</v>
      </c>
      <c r="M315" s="420">
        <f t="shared" si="694"/>
        <v>0</v>
      </c>
      <c r="N315" s="420">
        <f t="shared" si="694"/>
        <v>0</v>
      </c>
      <c r="O315" s="432">
        <f t="shared" ref="O315:O322" si="695">SUM(H315:N315)</f>
        <v>1</v>
      </c>
      <c r="P315" s="504"/>
      <c r="R315" s="476"/>
    </row>
    <row r="316" spans="1:18" ht="19.5" thickBot="1">
      <c r="A316" s="476"/>
      <c r="C316" s="504"/>
      <c r="D316" s="524"/>
      <c r="E316" s="524"/>
      <c r="F316" s="526"/>
      <c r="G316" s="426" t="s">
        <v>335</v>
      </c>
      <c r="H316" s="427">
        <f>IF(MONTH(H$199)=MONTH(INDEX($E$167:$E$179,MATCH($D315,$D$167:$D$179,0),1)),$P121,0)</f>
        <v>0</v>
      </c>
      <c r="I316" s="427">
        <f t="shared" ref="I316:N316" si="696">IF(MONTH(I$199)=MONTH(INDEX($E$167:$E$179,MATCH($D315,$D$167:$D$179,0),1)),$P121,0)</f>
        <v>0</v>
      </c>
      <c r="J316" s="427">
        <f t="shared" si="696"/>
        <v>12057246</v>
      </c>
      <c r="K316" s="427">
        <f t="shared" si="696"/>
        <v>0</v>
      </c>
      <c r="L316" s="427">
        <f t="shared" si="696"/>
        <v>0</v>
      </c>
      <c r="M316" s="427">
        <f t="shared" si="696"/>
        <v>0</v>
      </c>
      <c r="N316" s="427">
        <f t="shared" si="696"/>
        <v>0</v>
      </c>
      <c r="O316" s="429">
        <f t="shared" si="695"/>
        <v>12057246</v>
      </c>
      <c r="P316" s="504"/>
      <c r="R316" s="476"/>
    </row>
    <row r="317" spans="1:18" ht="19.5" thickTop="1">
      <c r="A317" s="476"/>
      <c r="C317" s="509">
        <f t="shared" si="625"/>
        <v>49</v>
      </c>
      <c r="D317" s="523" t="str">
        <f>$D$176</f>
        <v>Конец освоения скважины</v>
      </c>
      <c r="E317" s="523" t="str">
        <f t="shared" ref="E317" si="697">INDEX($D$7:$D$149,MATCH($F317,$F$7:$F$149,0))</f>
        <v>Освоение</v>
      </c>
      <c r="F317" s="525" t="str">
        <f t="shared" ref="F317" si="698">F122</f>
        <v>Услуги колтюбинга и азотной установки</v>
      </c>
      <c r="G317" s="421" t="s">
        <v>312</v>
      </c>
      <c r="H317" s="420">
        <f>IF(MONTH(H$199)=MONTH(INDEX($E$167:$E$179,MATCH($D317,$D$167:$D$179,0),1)),$P122,0)</f>
        <v>0</v>
      </c>
      <c r="I317" s="420">
        <f t="shared" ref="I317:N317" si="699">IF(MONTH(I$199)=MONTH(INDEX($E$167:$E$179,MATCH($D317,$D$167:$D$179,0),1)),$P122,0)</f>
        <v>0</v>
      </c>
      <c r="J317" s="420">
        <f t="shared" si="699"/>
        <v>1</v>
      </c>
      <c r="K317" s="420">
        <f t="shared" si="699"/>
        <v>0</v>
      </c>
      <c r="L317" s="420">
        <f t="shared" si="699"/>
        <v>0</v>
      </c>
      <c r="M317" s="420">
        <f t="shared" si="699"/>
        <v>0</v>
      </c>
      <c r="N317" s="420">
        <f t="shared" si="699"/>
        <v>0</v>
      </c>
      <c r="O317" s="432">
        <f t="shared" si="695"/>
        <v>1</v>
      </c>
      <c r="P317" s="504"/>
      <c r="R317" s="476"/>
    </row>
    <row r="318" spans="1:18" ht="19.5" thickBot="1">
      <c r="A318" s="476"/>
      <c r="C318" s="504"/>
      <c r="D318" s="524"/>
      <c r="E318" s="524"/>
      <c r="F318" s="526"/>
      <c r="G318" s="426" t="s">
        <v>335</v>
      </c>
      <c r="H318" s="427">
        <f>IF(MONTH(H$199)=MONTH(INDEX($E$167:$E$179,MATCH($D317,$D$167:$D$179,0),1)),$P123,0)</f>
        <v>0</v>
      </c>
      <c r="I318" s="427">
        <f t="shared" ref="I318" si="700">IF(MONTH(I$199)=MONTH(INDEX($E$167:$E$179,MATCH($D317,$D$167:$D$179,0),1)),$P123,0)</f>
        <v>0</v>
      </c>
      <c r="J318" s="427">
        <f t="shared" ref="J318" si="701">IF(MONTH(J$199)=MONTH(INDEX($E$167:$E$179,MATCH($D317,$D$167:$D$179,0),1)),$P123,0)</f>
        <v>4572000</v>
      </c>
      <c r="K318" s="427">
        <f t="shared" ref="K318" si="702">IF(MONTH(K$199)=MONTH(INDEX($E$167:$E$179,MATCH($D317,$D$167:$D$179,0),1)),$P123,0)</f>
        <v>0</v>
      </c>
      <c r="L318" s="427">
        <f t="shared" ref="L318" si="703">IF(MONTH(L$199)=MONTH(INDEX($E$167:$E$179,MATCH($D317,$D$167:$D$179,0),1)),$P123,0)</f>
        <v>0</v>
      </c>
      <c r="M318" s="427">
        <f t="shared" ref="M318" si="704">IF(MONTH(M$199)=MONTH(INDEX($E$167:$E$179,MATCH($D317,$D$167:$D$179,0),1)),$P123,0)</f>
        <v>0</v>
      </c>
      <c r="N318" s="427">
        <f t="shared" ref="N318" si="705">IF(MONTH(N$199)=MONTH(INDEX($E$167:$E$179,MATCH($D317,$D$167:$D$179,0),1)),$P123,0)</f>
        <v>0</v>
      </c>
      <c r="O318" s="429">
        <f t="shared" si="695"/>
        <v>4572000</v>
      </c>
      <c r="P318" s="504"/>
      <c r="R318" s="476"/>
    </row>
    <row r="319" spans="1:18" ht="19.5" thickTop="1">
      <c r="A319" s="476"/>
      <c r="C319" s="509">
        <f t="shared" si="625"/>
        <v>50</v>
      </c>
      <c r="D319" s="527" t="s">
        <v>633</v>
      </c>
      <c r="E319" s="523" t="str">
        <f t="shared" ref="E319" si="706">INDEX($D$7:$D$149,MATCH($F319,$F$7:$F$149,0))</f>
        <v>Освоение</v>
      </c>
      <c r="F319" s="525" t="str">
        <f t="shared" ref="F319" si="707">F124</f>
        <v>Услуги бригад по капитальному ремонту скважин</v>
      </c>
      <c r="G319" s="421" t="s">
        <v>312</v>
      </c>
      <c r="H319" s="420">
        <f>H$170</f>
        <v>0</v>
      </c>
      <c r="I319" s="420">
        <f t="shared" ref="I319:N319" si="708">I$170</f>
        <v>9</v>
      </c>
      <c r="J319" s="420">
        <f t="shared" si="708"/>
        <v>0</v>
      </c>
      <c r="K319" s="420">
        <f t="shared" si="708"/>
        <v>0</v>
      </c>
      <c r="L319" s="420">
        <f t="shared" si="708"/>
        <v>0</v>
      </c>
      <c r="M319" s="420">
        <f t="shared" si="708"/>
        <v>0</v>
      </c>
      <c r="N319" s="420">
        <f t="shared" si="708"/>
        <v>0</v>
      </c>
      <c r="O319" s="432">
        <f t="shared" si="695"/>
        <v>9</v>
      </c>
      <c r="P319" s="504"/>
      <c r="R319" s="476"/>
    </row>
    <row r="320" spans="1:18" ht="19.5" thickBot="1">
      <c r="A320" s="476"/>
      <c r="C320" s="504"/>
      <c r="D320" s="528"/>
      <c r="E320" s="524"/>
      <c r="F320" s="526"/>
      <c r="G320" s="426" t="s">
        <v>335</v>
      </c>
      <c r="H320" s="427">
        <f>$G$124*H319</f>
        <v>0</v>
      </c>
      <c r="I320" s="427">
        <f t="shared" ref="I320:N320" si="709">$G$124*I319</f>
        <v>1129680</v>
      </c>
      <c r="J320" s="427">
        <f t="shared" si="709"/>
        <v>0</v>
      </c>
      <c r="K320" s="427">
        <f t="shared" si="709"/>
        <v>0</v>
      </c>
      <c r="L320" s="427">
        <f t="shared" si="709"/>
        <v>0</v>
      </c>
      <c r="M320" s="427">
        <f t="shared" si="709"/>
        <v>0</v>
      </c>
      <c r="N320" s="427">
        <f t="shared" si="709"/>
        <v>0</v>
      </c>
      <c r="O320" s="429">
        <f t="shared" si="695"/>
        <v>1129680</v>
      </c>
      <c r="P320" s="504"/>
      <c r="R320" s="476"/>
    </row>
    <row r="321" spans="1:18" ht="19.5" thickTop="1">
      <c r="A321" s="476"/>
      <c r="C321" s="509">
        <f t="shared" si="625"/>
        <v>51</v>
      </c>
      <c r="D321" s="523"/>
      <c r="E321" s="523" t="str">
        <f t="shared" ref="E321" si="710">INDEX($D$7:$D$149,MATCH($F321,$F$7:$F$149,0))</f>
        <v>Освоение</v>
      </c>
      <c r="F321" s="525" t="str">
        <f t="shared" ref="F321" si="711">F126</f>
        <v>Услуги бригад по подземному ремонту скважин</v>
      </c>
      <c r="G321" s="421" t="s">
        <v>312</v>
      </c>
      <c r="H321" s="420"/>
      <c r="I321" s="420"/>
      <c r="J321" s="420"/>
      <c r="K321" s="420"/>
      <c r="L321" s="420"/>
      <c r="M321" s="420"/>
      <c r="N321" s="420"/>
      <c r="O321" s="432">
        <f t="shared" si="695"/>
        <v>0</v>
      </c>
      <c r="P321" s="504"/>
      <c r="R321" s="476"/>
    </row>
    <row r="322" spans="1:18" ht="19.5" thickBot="1">
      <c r="A322" s="476"/>
      <c r="C322" s="504"/>
      <c r="D322" s="524"/>
      <c r="E322" s="524"/>
      <c r="F322" s="526"/>
      <c r="G322" s="426" t="s">
        <v>335</v>
      </c>
      <c r="H322" s="427"/>
      <c r="I322" s="427"/>
      <c r="J322" s="427"/>
      <c r="K322" s="427"/>
      <c r="L322" s="427"/>
      <c r="M322" s="427"/>
      <c r="N322" s="427"/>
      <c r="O322" s="429">
        <f t="shared" si="695"/>
        <v>0</v>
      </c>
      <c r="P322" s="504"/>
      <c r="Q322" t="s">
        <v>638</v>
      </c>
      <c r="R322" s="476"/>
    </row>
    <row r="323" spans="1:18" ht="19.5" thickTop="1">
      <c r="A323" s="476"/>
      <c r="C323" s="509">
        <f t="shared" si="625"/>
        <v>52</v>
      </c>
      <c r="D323" s="523" t="str">
        <f>$D$176</f>
        <v>Конец освоения скважины</v>
      </c>
      <c r="E323" s="523" t="str">
        <f t="shared" ref="E323" si="712">INDEX($D$7:$D$149,MATCH($F323,$F$7:$F$149,0))</f>
        <v>Освоение</v>
      </c>
      <c r="F323" s="525" t="str">
        <f t="shared" ref="F323" si="713">F128</f>
        <v>Прочие услуги по ремонту скважин</v>
      </c>
      <c r="G323" s="421" t="s">
        <v>312</v>
      </c>
      <c r="H323" s="420">
        <f>IF(MONTH(H$199)=MONTH(INDEX($E$167:$E$179,MATCH($D323,$D$167:$D$179,0),1)),$P128,0)</f>
        <v>0</v>
      </c>
      <c r="I323" s="420">
        <f t="shared" ref="I323:N323" si="714">IF(MONTH(I$199)=MONTH(INDEX($E$167:$E$179,MATCH($D323,$D$167:$D$179,0),1)),$P128,0)</f>
        <v>0</v>
      </c>
      <c r="J323" s="420">
        <f t="shared" si="714"/>
        <v>1</v>
      </c>
      <c r="K323" s="420">
        <f t="shared" si="714"/>
        <v>0</v>
      </c>
      <c r="L323" s="420">
        <f t="shared" si="714"/>
        <v>0</v>
      </c>
      <c r="M323" s="420">
        <f t="shared" si="714"/>
        <v>0</v>
      </c>
      <c r="N323" s="420">
        <f t="shared" si="714"/>
        <v>0</v>
      </c>
      <c r="O323" s="432">
        <f t="shared" ref="O323:O332" si="715">SUM(H323:N323)</f>
        <v>1</v>
      </c>
      <c r="P323" s="504"/>
      <c r="R323" s="476"/>
    </row>
    <row r="324" spans="1:18" ht="19.5" thickBot="1">
      <c r="A324" s="476"/>
      <c r="C324" s="504"/>
      <c r="D324" s="524"/>
      <c r="E324" s="524"/>
      <c r="F324" s="526"/>
      <c r="G324" s="426" t="s">
        <v>335</v>
      </c>
      <c r="H324" s="427">
        <f>IF(MONTH(H$199)=MONTH(INDEX($E$167:$E$179,MATCH($D323,$D$167:$D$179,0),1)),$P129,0)</f>
        <v>0</v>
      </c>
      <c r="I324" s="427">
        <f t="shared" ref="I324:N324" si="716">IF(MONTH(I$199)=MONTH(INDEX($E$167:$E$179,MATCH($D323,$D$167:$D$179,0),1)),$P129,0)</f>
        <v>0</v>
      </c>
      <c r="J324" s="427">
        <f t="shared" si="716"/>
        <v>254904</v>
      </c>
      <c r="K324" s="427">
        <f t="shared" si="716"/>
        <v>0</v>
      </c>
      <c r="L324" s="427">
        <f t="shared" si="716"/>
        <v>0</v>
      </c>
      <c r="M324" s="427">
        <f t="shared" si="716"/>
        <v>0</v>
      </c>
      <c r="N324" s="427">
        <f t="shared" si="716"/>
        <v>0</v>
      </c>
      <c r="O324" s="429">
        <f t="shared" si="715"/>
        <v>254904</v>
      </c>
      <c r="P324" s="504"/>
      <c r="R324" s="476"/>
    </row>
    <row r="325" spans="1:18" ht="19.5" thickTop="1">
      <c r="A325" s="476"/>
      <c r="C325" s="509">
        <f t="shared" si="625"/>
        <v>53</v>
      </c>
      <c r="D325" s="523" t="str">
        <f>$D$176</f>
        <v>Конец освоения скважины</v>
      </c>
      <c r="E325" s="523" t="str">
        <f t="shared" ref="E325" si="717">INDEX($D$7:$D$149,MATCH($F325,$F$7:$F$149,0))</f>
        <v>Освоение</v>
      </c>
      <c r="F325" s="525" t="str">
        <f t="shared" ref="F325" si="718">F130</f>
        <v>Проппант</v>
      </c>
      <c r="G325" s="421" t="s">
        <v>312</v>
      </c>
      <c r="H325" s="420">
        <f t="shared" ref="H325:N325" si="719">IF(MONTH(H$199)=MONTH(INDEX($E$167:$E$179,MATCH($D325,$D$167:$D$179,0),1)),$P130,0)</f>
        <v>0</v>
      </c>
      <c r="I325" s="420">
        <f t="shared" si="719"/>
        <v>0</v>
      </c>
      <c r="J325" s="420">
        <f t="shared" si="719"/>
        <v>300</v>
      </c>
      <c r="K325" s="420">
        <f t="shared" si="719"/>
        <v>0</v>
      </c>
      <c r="L325" s="420">
        <f t="shared" si="719"/>
        <v>0</v>
      </c>
      <c r="M325" s="420">
        <f t="shared" si="719"/>
        <v>0</v>
      </c>
      <c r="N325" s="420">
        <f t="shared" si="719"/>
        <v>0</v>
      </c>
      <c r="O325" s="432">
        <f t="shared" si="715"/>
        <v>300</v>
      </c>
      <c r="P325" s="504"/>
      <c r="R325" s="476"/>
    </row>
    <row r="326" spans="1:18" ht="19.5" thickBot="1">
      <c r="A326" s="476"/>
      <c r="C326" s="504"/>
      <c r="D326" s="524"/>
      <c r="E326" s="524"/>
      <c r="F326" s="526"/>
      <c r="G326" s="426" t="s">
        <v>335</v>
      </c>
      <c r="H326" s="427">
        <f t="shared" ref="H326" si="720">IF(MONTH(H$199)=MONTH(INDEX($E$167:$E$179,MATCH($D325,$D$167:$D$179,0),1)),$P131,0)</f>
        <v>0</v>
      </c>
      <c r="I326" s="427">
        <f t="shared" ref="I326" si="721">IF(MONTH(I$199)=MONTH(INDEX($E$167:$E$179,MATCH($D325,$D$167:$D$179,0),1)),$P131,0)</f>
        <v>0</v>
      </c>
      <c r="J326" s="427">
        <f t="shared" ref="J326" si="722">IF(MONTH(J$199)=MONTH(INDEX($E$167:$E$179,MATCH($D325,$D$167:$D$179,0),1)),$P131,0)</f>
        <v>5670000</v>
      </c>
      <c r="K326" s="427">
        <f t="shared" ref="K326" si="723">IF(MONTH(K$199)=MONTH(INDEX($E$167:$E$179,MATCH($D325,$D$167:$D$179,0),1)),$P131,0)</f>
        <v>0</v>
      </c>
      <c r="L326" s="427">
        <f t="shared" ref="L326" si="724">IF(MONTH(L$199)=MONTH(INDEX($E$167:$E$179,MATCH($D325,$D$167:$D$179,0),1)),$P131,0)</f>
        <v>0</v>
      </c>
      <c r="M326" s="427">
        <f t="shared" ref="M326" si="725">IF(MONTH(M$199)=MONTH(INDEX($E$167:$E$179,MATCH($D325,$D$167:$D$179,0),1)),$P131,0)</f>
        <v>0</v>
      </c>
      <c r="N326" s="427">
        <f t="shared" ref="N326" si="726">IF(MONTH(N$199)=MONTH(INDEX($E$167:$E$179,MATCH($D325,$D$167:$D$179,0),1)),$P131,0)</f>
        <v>0</v>
      </c>
      <c r="O326" s="429">
        <f t="shared" si="715"/>
        <v>5670000</v>
      </c>
      <c r="P326" s="504"/>
      <c r="R326" s="476"/>
    </row>
    <row r="327" spans="1:18" ht="19.5" thickTop="1">
      <c r="A327" s="476"/>
      <c r="C327" s="509">
        <f t="shared" si="625"/>
        <v>54</v>
      </c>
      <c r="D327" s="523" t="str">
        <f>$D$176</f>
        <v>Конец освоения скважины</v>
      </c>
      <c r="E327" s="523" t="str">
        <f t="shared" ref="E327" si="727">INDEX($D$7:$D$149,MATCH($F327,$F$7:$F$149,0))</f>
        <v>Освоение</v>
      </c>
      <c r="F327" s="525" t="str">
        <f t="shared" ref="F327" si="728">F132</f>
        <v>Жидкий азот</v>
      </c>
      <c r="G327" s="421" t="s">
        <v>312</v>
      </c>
      <c r="H327" s="420">
        <f t="shared" ref="H327:N327" si="729">IF(MONTH(H$199)=MONTH(INDEX($E$167:$E$179,MATCH($D327,$D$167:$D$179,0),1)),$P132,0)</f>
        <v>0</v>
      </c>
      <c r="I327" s="420">
        <f t="shared" si="729"/>
        <v>0</v>
      </c>
      <c r="J327" s="420">
        <f t="shared" si="729"/>
        <v>1</v>
      </c>
      <c r="K327" s="420">
        <f t="shared" si="729"/>
        <v>0</v>
      </c>
      <c r="L327" s="420">
        <f t="shared" si="729"/>
        <v>0</v>
      </c>
      <c r="M327" s="420">
        <f t="shared" si="729"/>
        <v>0</v>
      </c>
      <c r="N327" s="420">
        <f t="shared" si="729"/>
        <v>0</v>
      </c>
      <c r="O327" s="432">
        <f t="shared" si="715"/>
        <v>1</v>
      </c>
      <c r="P327" s="504"/>
      <c r="R327" s="476"/>
    </row>
    <row r="328" spans="1:18" ht="19.5" thickBot="1">
      <c r="A328" s="476"/>
      <c r="C328" s="504"/>
      <c r="D328" s="524"/>
      <c r="E328" s="524"/>
      <c r="F328" s="526"/>
      <c r="G328" s="426" t="s">
        <v>335</v>
      </c>
      <c r="H328" s="427">
        <f t="shared" ref="H328" si="730">IF(MONTH(H$199)=MONTH(INDEX($E$167:$E$179,MATCH($D327,$D$167:$D$179,0),1)),$P133,0)</f>
        <v>0</v>
      </c>
      <c r="I328" s="427">
        <f t="shared" ref="I328" si="731">IF(MONTH(I$199)=MONTH(INDEX($E$167:$E$179,MATCH($D327,$D$167:$D$179,0),1)),$P133,0)</f>
        <v>0</v>
      </c>
      <c r="J328" s="427">
        <f t="shared" ref="J328" si="732">IF(MONTH(J$199)=MONTH(INDEX($E$167:$E$179,MATCH($D327,$D$167:$D$179,0),1)),$P133,0)</f>
        <v>88752</v>
      </c>
      <c r="K328" s="427">
        <f t="shared" ref="K328" si="733">IF(MONTH(K$199)=MONTH(INDEX($E$167:$E$179,MATCH($D327,$D$167:$D$179,0),1)),$P133,0)</f>
        <v>0</v>
      </c>
      <c r="L328" s="427">
        <f t="shared" ref="L328" si="734">IF(MONTH(L$199)=MONTH(INDEX($E$167:$E$179,MATCH($D327,$D$167:$D$179,0),1)),$P133,0)</f>
        <v>0</v>
      </c>
      <c r="M328" s="427">
        <f t="shared" ref="M328" si="735">IF(MONTH(M$199)=MONTH(INDEX($E$167:$E$179,MATCH($D327,$D$167:$D$179,0),1)),$P133,0)</f>
        <v>0</v>
      </c>
      <c r="N328" s="427">
        <f t="shared" ref="N328" si="736">IF(MONTH(N$199)=MONTH(INDEX($E$167:$E$179,MATCH($D327,$D$167:$D$179,0),1)),$P133,0)</f>
        <v>0</v>
      </c>
      <c r="O328" s="429">
        <f t="shared" si="715"/>
        <v>88752</v>
      </c>
      <c r="P328" s="504"/>
      <c r="R328" s="476"/>
    </row>
    <row r="329" spans="1:18" ht="19.5" thickTop="1">
      <c r="A329" s="476"/>
      <c r="C329" s="509">
        <f t="shared" si="625"/>
        <v>55</v>
      </c>
      <c r="D329" s="523" t="str">
        <f>$D$176</f>
        <v>Конец освоения скважины</v>
      </c>
      <c r="E329" s="523" t="str">
        <f t="shared" ref="E329" si="737">INDEX($D$7:$D$149,MATCH($F329,$F$7:$F$149,0))</f>
        <v>Освоение</v>
      </c>
      <c r="F329" s="525" t="str">
        <f t="shared" ref="F329" si="738">F134</f>
        <v>Технологическая жидкость глушения</v>
      </c>
      <c r="G329" s="421" t="s">
        <v>312</v>
      </c>
      <c r="H329" s="420">
        <f t="shared" ref="H329:N329" si="739">IF(MONTH(H$199)=MONTH(INDEX($E$167:$E$179,MATCH($D329,$D$167:$D$179,0),1)),$P134,0)</f>
        <v>0</v>
      </c>
      <c r="I329" s="420">
        <f t="shared" si="739"/>
        <v>0</v>
      </c>
      <c r="J329" s="420">
        <f t="shared" si="739"/>
        <v>1</v>
      </c>
      <c r="K329" s="420">
        <f t="shared" si="739"/>
        <v>0</v>
      </c>
      <c r="L329" s="420">
        <f t="shared" si="739"/>
        <v>0</v>
      </c>
      <c r="M329" s="420">
        <f t="shared" si="739"/>
        <v>0</v>
      </c>
      <c r="N329" s="420">
        <f t="shared" si="739"/>
        <v>0</v>
      </c>
      <c r="O329" s="432">
        <f t="shared" si="715"/>
        <v>1</v>
      </c>
      <c r="P329" s="504"/>
      <c r="R329" s="476"/>
    </row>
    <row r="330" spans="1:18" ht="19.5" thickBot="1">
      <c r="A330" s="476"/>
      <c r="C330" s="504"/>
      <c r="D330" s="524"/>
      <c r="E330" s="524"/>
      <c r="F330" s="526"/>
      <c r="G330" s="426" t="s">
        <v>335</v>
      </c>
      <c r="H330" s="427">
        <f t="shared" ref="H330" si="740">IF(MONTH(H$199)=MONTH(INDEX($E$167:$E$179,MATCH($D329,$D$167:$D$179,0),1)),$P135,0)</f>
        <v>0</v>
      </c>
      <c r="I330" s="427">
        <f t="shared" ref="I330" si="741">IF(MONTH(I$199)=MONTH(INDEX($E$167:$E$179,MATCH($D329,$D$167:$D$179,0),1)),$P135,0)</f>
        <v>0</v>
      </c>
      <c r="J330" s="427">
        <f t="shared" ref="J330" si="742">IF(MONTH(J$199)=MONTH(INDEX($E$167:$E$179,MATCH($D329,$D$167:$D$179,0),1)),$P135,0)</f>
        <v>381349.07760000002</v>
      </c>
      <c r="K330" s="427">
        <f t="shared" ref="K330" si="743">IF(MONTH(K$199)=MONTH(INDEX($E$167:$E$179,MATCH($D329,$D$167:$D$179,0),1)),$P135,0)</f>
        <v>0</v>
      </c>
      <c r="L330" s="427">
        <f t="shared" ref="L330" si="744">IF(MONTH(L$199)=MONTH(INDEX($E$167:$E$179,MATCH($D329,$D$167:$D$179,0),1)),$P135,0)</f>
        <v>0</v>
      </c>
      <c r="M330" s="427">
        <f t="shared" ref="M330" si="745">IF(MONTH(M$199)=MONTH(INDEX($E$167:$E$179,MATCH($D329,$D$167:$D$179,0),1)),$P135,0)</f>
        <v>0</v>
      </c>
      <c r="N330" s="427">
        <f t="shared" ref="N330" si="746">IF(MONTH(N$199)=MONTH(INDEX($E$167:$E$179,MATCH($D329,$D$167:$D$179,0),1)),$P135,0)</f>
        <v>0</v>
      </c>
      <c r="O330" s="429">
        <f t="shared" si="715"/>
        <v>381349.07760000002</v>
      </c>
      <c r="P330" s="504"/>
      <c r="R330" s="476"/>
    </row>
    <row r="331" spans="1:18" ht="19.5" thickTop="1">
      <c r="A331" s="476"/>
      <c r="C331" s="509">
        <f t="shared" si="625"/>
        <v>56</v>
      </c>
      <c r="D331" s="523" t="str">
        <f>$D$176</f>
        <v>Конец освоения скважины</v>
      </c>
      <c r="E331" s="523" t="str">
        <f t="shared" ref="E331" si="747">INDEX($D$7:$D$149,MATCH($F331,$F$7:$F$149,0))</f>
        <v>Освоение</v>
      </c>
      <c r="F331" s="525" t="str">
        <f t="shared" ref="F331" si="748">F136</f>
        <v>Перфорация и прочие геофиз.работы.</v>
      </c>
      <c r="G331" s="421" t="s">
        <v>312</v>
      </c>
      <c r="H331" s="420">
        <f t="shared" ref="H331:N331" si="749">IF(MONTH(H$199)=MONTH(INDEX($E$167:$E$179,MATCH($D331,$D$167:$D$179,0),1)),$P136,0)</f>
        <v>0</v>
      </c>
      <c r="I331" s="420">
        <f t="shared" si="749"/>
        <v>0</v>
      </c>
      <c r="J331" s="420">
        <f t="shared" si="749"/>
        <v>1</v>
      </c>
      <c r="K331" s="420">
        <f t="shared" si="749"/>
        <v>0</v>
      </c>
      <c r="L331" s="420">
        <f t="shared" si="749"/>
        <v>0</v>
      </c>
      <c r="M331" s="420">
        <f t="shared" si="749"/>
        <v>0</v>
      </c>
      <c r="N331" s="420">
        <f t="shared" si="749"/>
        <v>0</v>
      </c>
      <c r="O331" s="432">
        <f t="shared" si="715"/>
        <v>1</v>
      </c>
      <c r="P331" s="504"/>
      <c r="R331" s="476"/>
    </row>
    <row r="332" spans="1:18" ht="19.5" thickBot="1">
      <c r="A332" s="476"/>
      <c r="C332" s="504"/>
      <c r="D332" s="524"/>
      <c r="E332" s="524"/>
      <c r="F332" s="526"/>
      <c r="G332" s="426" t="s">
        <v>335</v>
      </c>
      <c r="H332" s="427">
        <f t="shared" ref="H332" si="750">IF(MONTH(H$199)=MONTH(INDEX($E$167:$E$179,MATCH($D331,$D$167:$D$179,0),1)),$P137,0)</f>
        <v>0</v>
      </c>
      <c r="I332" s="427">
        <f t="shared" ref="I332" si="751">IF(MONTH(I$199)=MONTH(INDEX($E$167:$E$179,MATCH($D331,$D$167:$D$179,0),1)),$P137,0)</f>
        <v>0</v>
      </c>
      <c r="J332" s="427">
        <f t="shared" ref="J332" si="752">IF(MONTH(J$199)=MONTH(INDEX($E$167:$E$179,MATCH($D331,$D$167:$D$179,0),1)),$P137,0)</f>
        <v>461147.136</v>
      </c>
      <c r="K332" s="427">
        <f t="shared" ref="K332" si="753">IF(MONTH(K$199)=MONTH(INDEX($E$167:$E$179,MATCH($D331,$D$167:$D$179,0),1)),$P137,0)</f>
        <v>0</v>
      </c>
      <c r="L332" s="427">
        <f t="shared" ref="L332" si="754">IF(MONTH(L$199)=MONTH(INDEX($E$167:$E$179,MATCH($D331,$D$167:$D$179,0),1)),$P137,0)</f>
        <v>0</v>
      </c>
      <c r="M332" s="427">
        <f t="shared" ref="M332" si="755">IF(MONTH(M$199)=MONTH(INDEX($E$167:$E$179,MATCH($D331,$D$167:$D$179,0),1)),$P137,0)</f>
        <v>0</v>
      </c>
      <c r="N332" s="427">
        <f t="shared" ref="N332" si="756">IF(MONTH(N$199)=MONTH(INDEX($E$167:$E$179,MATCH($D331,$D$167:$D$179,0),1)),$P137,0)</f>
        <v>0</v>
      </c>
      <c r="O332" s="429">
        <f t="shared" si="715"/>
        <v>461147.136</v>
      </c>
      <c r="P332" s="504"/>
      <c r="R332" s="476"/>
    </row>
    <row r="333" spans="1:18" ht="19.5" thickTop="1">
      <c r="A333" s="476"/>
      <c r="C333" s="509">
        <f t="shared" si="625"/>
        <v>57</v>
      </c>
      <c r="D333" s="527" t="s">
        <v>633</v>
      </c>
      <c r="E333" s="523" t="str">
        <f t="shared" ref="E333" si="757">INDEX($D$7:$D$149,MATCH($F333,$F$7:$F$149,0))</f>
        <v>Освоение</v>
      </c>
      <c r="F333" s="525" t="str">
        <f t="shared" ref="F333" si="758">F138</f>
        <v>Супервайзинг</v>
      </c>
      <c r="G333" s="421" t="s">
        <v>312</v>
      </c>
      <c r="H333" s="420">
        <f>H$171</f>
        <v>0</v>
      </c>
      <c r="I333" s="420">
        <f t="shared" ref="I333:N333" si="759">I$171</f>
        <v>11</v>
      </c>
      <c r="J333" s="420">
        <f t="shared" si="759"/>
        <v>0</v>
      </c>
      <c r="K333" s="420">
        <f t="shared" si="759"/>
        <v>0</v>
      </c>
      <c r="L333" s="420">
        <f t="shared" si="759"/>
        <v>0</v>
      </c>
      <c r="M333" s="420">
        <f t="shared" si="759"/>
        <v>0</v>
      </c>
      <c r="N333" s="420">
        <f t="shared" si="759"/>
        <v>0</v>
      </c>
      <c r="O333" s="432">
        <f t="shared" ref="O333:O336" si="760">SUM(H333:N333)</f>
        <v>11</v>
      </c>
      <c r="P333" s="504"/>
      <c r="R333" s="476"/>
    </row>
    <row r="334" spans="1:18" ht="19.5" thickBot="1">
      <c r="A334" s="476"/>
      <c r="C334" s="504"/>
      <c r="D334" s="528"/>
      <c r="E334" s="524"/>
      <c r="F334" s="526"/>
      <c r="G334" s="426" t="s">
        <v>335</v>
      </c>
      <c r="H334" s="427">
        <f>$G$138*H333</f>
        <v>0</v>
      </c>
      <c r="I334" s="427">
        <f t="shared" ref="I334:N334" si="761">$G$138*I333</f>
        <v>176865.92637120001</v>
      </c>
      <c r="J334" s="427">
        <f t="shared" si="761"/>
        <v>0</v>
      </c>
      <c r="K334" s="427">
        <f t="shared" si="761"/>
        <v>0</v>
      </c>
      <c r="L334" s="427">
        <f t="shared" si="761"/>
        <v>0</v>
      </c>
      <c r="M334" s="427">
        <f t="shared" si="761"/>
        <v>0</v>
      </c>
      <c r="N334" s="427">
        <f t="shared" si="761"/>
        <v>0</v>
      </c>
      <c r="O334" s="429">
        <f t="shared" si="760"/>
        <v>176865.92637120001</v>
      </c>
      <c r="P334" s="504"/>
      <c r="R334" s="476"/>
    </row>
    <row r="335" spans="1:18" ht="19.5" thickTop="1">
      <c r="A335" s="476"/>
      <c r="C335" s="509">
        <f t="shared" si="625"/>
        <v>58</v>
      </c>
      <c r="D335" s="523" t="str">
        <f t="shared" ref="D335" si="762">$D$172</f>
        <v>Конец бурения скважины</v>
      </c>
      <c r="E335" s="523" t="str">
        <f t="shared" ref="E335" si="763">INDEX($D$7:$D$149,MATCH($F335,$F$7:$F$149,0))</f>
        <v>Освоение</v>
      </c>
      <c r="F335" s="525" t="str">
        <f t="shared" ref="F335" si="764">F140</f>
        <v>Супервайзинг собст</v>
      </c>
      <c r="G335" s="421" t="s">
        <v>312</v>
      </c>
      <c r="H335" s="420">
        <f t="shared" ref="H335:N335" si="765">IF(MONTH(H$199)=MONTH(INDEX($E$167:$E$179,MATCH($D335,$D$167:$D$179,0),1)),$P140,0)</f>
        <v>0</v>
      </c>
      <c r="I335" s="420">
        <f t="shared" si="765"/>
        <v>0</v>
      </c>
      <c r="J335" s="420">
        <f t="shared" si="765"/>
        <v>1</v>
      </c>
      <c r="K335" s="420">
        <f t="shared" si="765"/>
        <v>0</v>
      </c>
      <c r="L335" s="420">
        <f t="shared" si="765"/>
        <v>0</v>
      </c>
      <c r="M335" s="420">
        <f t="shared" si="765"/>
        <v>0</v>
      </c>
      <c r="N335" s="420">
        <f t="shared" si="765"/>
        <v>0</v>
      </c>
      <c r="O335" s="432">
        <f t="shared" si="760"/>
        <v>1</v>
      </c>
      <c r="P335" s="504"/>
      <c r="R335" s="476"/>
    </row>
    <row r="336" spans="1:18" ht="19.5" thickBot="1">
      <c r="A336" s="476"/>
      <c r="C336" s="504"/>
      <c r="D336" s="524"/>
      <c r="E336" s="524"/>
      <c r="F336" s="526"/>
      <c r="G336" s="426" t="s">
        <v>335</v>
      </c>
      <c r="H336" s="427">
        <f t="shared" ref="H336" si="766">IF(MONTH(H$199)=MONTH(INDEX($E$167:$E$179,MATCH($D335,$D$167:$D$179,0),1)),$P141,0)</f>
        <v>0</v>
      </c>
      <c r="I336" s="427">
        <f t="shared" ref="I336" si="767">IF(MONTH(I$199)=MONTH(INDEX($E$167:$E$179,MATCH($D335,$D$167:$D$179,0),1)),$P141,0)</f>
        <v>0</v>
      </c>
      <c r="J336" s="427">
        <f t="shared" ref="J336" si="768">IF(MONTH(J$199)=MONTH(INDEX($E$167:$E$179,MATCH($D335,$D$167:$D$179,0),1)),$P141,0)</f>
        <v>100000</v>
      </c>
      <c r="K336" s="427">
        <f t="shared" ref="K336" si="769">IF(MONTH(K$199)=MONTH(INDEX($E$167:$E$179,MATCH($D335,$D$167:$D$179,0),1)),$P141,0)</f>
        <v>0</v>
      </c>
      <c r="L336" s="427">
        <f t="shared" ref="L336" si="770">IF(MONTH(L$199)=MONTH(INDEX($E$167:$E$179,MATCH($D335,$D$167:$D$179,0),1)),$P141,0)</f>
        <v>0</v>
      </c>
      <c r="M336" s="427">
        <f t="shared" ref="M336" si="771">IF(MONTH(M$199)=MONTH(INDEX($E$167:$E$179,MATCH($D335,$D$167:$D$179,0),1)),$P141,0)</f>
        <v>0</v>
      </c>
      <c r="N336" s="427">
        <f t="shared" ref="N336" si="772">IF(MONTH(N$199)=MONTH(INDEX($E$167:$E$179,MATCH($D335,$D$167:$D$179,0),1)),$P141,0)</f>
        <v>0</v>
      </c>
      <c r="O336" s="429">
        <f t="shared" si="760"/>
        <v>100000</v>
      </c>
      <c r="P336" s="504"/>
      <c r="R336" s="476"/>
    </row>
    <row r="337" spans="1:18" ht="19.5" thickTop="1">
      <c r="A337" s="476"/>
      <c r="C337" s="504"/>
      <c r="D337" s="504" t="s">
        <v>630</v>
      </c>
      <c r="E337" s="504"/>
      <c r="F337" s="504"/>
      <c r="G337" s="504" t="s">
        <v>335</v>
      </c>
      <c r="H337" s="505">
        <f>SUMIF($G315:$G336,$G337,H315:H336)</f>
        <v>0</v>
      </c>
      <c r="I337" s="505">
        <f t="shared" ref="I337:O337" si="773">SUMIF($G315:$G336,$G337,I315:I336)</f>
        <v>1306545.9263712</v>
      </c>
      <c r="J337" s="505">
        <f t="shared" si="773"/>
        <v>23585398.213599999</v>
      </c>
      <c r="K337" s="505">
        <f t="shared" si="773"/>
        <v>0</v>
      </c>
      <c r="L337" s="505">
        <f t="shared" si="773"/>
        <v>0</v>
      </c>
      <c r="M337" s="505">
        <f t="shared" si="773"/>
        <v>0</v>
      </c>
      <c r="N337" s="505">
        <f t="shared" si="773"/>
        <v>0</v>
      </c>
      <c r="O337" s="505">
        <f t="shared" si="773"/>
        <v>24891944.139971197</v>
      </c>
      <c r="P337" s="504"/>
      <c r="R337" s="476"/>
    </row>
    <row r="338" spans="1:18" ht="18.75">
      <c r="A338" s="476"/>
      <c r="R338" s="476"/>
    </row>
    <row r="339" spans="1:18" ht="19.5" thickBot="1">
      <c r="A339" s="476"/>
      <c r="C339" s="504" t="s">
        <v>631</v>
      </c>
      <c r="D339" s="503"/>
      <c r="E339" s="503"/>
      <c r="F339" s="503"/>
      <c r="G339" s="503"/>
      <c r="H339" s="503"/>
      <c r="I339" s="503"/>
      <c r="J339" s="503"/>
      <c r="K339" s="503"/>
      <c r="L339" s="503"/>
      <c r="M339" s="503"/>
      <c r="N339" s="503"/>
      <c r="O339" s="503"/>
      <c r="P339" s="504"/>
      <c r="R339" s="476"/>
    </row>
    <row r="340" spans="1:18" ht="19.5" thickTop="1">
      <c r="A340" s="476"/>
      <c r="C340" s="509">
        <f t="shared" ref="C340" si="774">INDEX($C$7:$C$149,MATCH($F340,$F$7:$F$149,0))</f>
        <v>59</v>
      </c>
      <c r="D340" s="523" t="str">
        <f>$D$176</f>
        <v>Конец освоения скважины</v>
      </c>
      <c r="E340" s="523" t="str">
        <f t="shared" ref="E340" si="775">INDEX($D$7:$D$149,MATCH($F340,$F$7:$F$149,0))</f>
        <v>Оборудование</v>
      </c>
      <c r="F340" s="525" t="str">
        <f>F145</f>
        <v xml:space="preserve">Фонтанная арматура </v>
      </c>
      <c r="G340" s="421" t="s">
        <v>312</v>
      </c>
      <c r="H340" s="420">
        <f>IF(MONTH(H$199)=MONTH(INDEX($E$167:$E$179,MATCH($D340,$D$167:$D$179,0),1)),$P145,0)</f>
        <v>0</v>
      </c>
      <c r="I340" s="420">
        <f t="shared" ref="I340:N340" si="776">IF(MONTH(I$199)=MONTH(INDEX($E$167:$E$179,MATCH($D340,$D$167:$D$179,0),1)),$P145,0)</f>
        <v>0</v>
      </c>
      <c r="J340" s="420">
        <f t="shared" si="776"/>
        <v>1</v>
      </c>
      <c r="K340" s="420">
        <f t="shared" si="776"/>
        <v>0</v>
      </c>
      <c r="L340" s="420">
        <f t="shared" si="776"/>
        <v>0</v>
      </c>
      <c r="M340" s="420">
        <f t="shared" si="776"/>
        <v>0</v>
      </c>
      <c r="N340" s="420">
        <f t="shared" si="776"/>
        <v>0</v>
      </c>
      <c r="O340" s="432">
        <f t="shared" ref="O340:O341" si="777">SUM(H340:N340)</f>
        <v>1</v>
      </c>
      <c r="P340" s="504"/>
      <c r="R340" s="476"/>
    </row>
    <row r="341" spans="1:18" ht="19.5" thickBot="1">
      <c r="A341" s="476"/>
      <c r="C341" s="504"/>
      <c r="D341" s="524"/>
      <c r="E341" s="524"/>
      <c r="F341" s="526"/>
      <c r="G341" s="426" t="s">
        <v>335</v>
      </c>
      <c r="H341" s="427">
        <f>IF(MONTH(H$199)=MONTH(INDEX($E$167:$E$179,MATCH($D340,$D$167:$D$179,0),1)),$P146,0)</f>
        <v>0</v>
      </c>
      <c r="I341" s="427">
        <f t="shared" ref="I341:N341" si="778">IF(MONTH(I$199)=MONTH(INDEX($E$167:$E$179,MATCH($D340,$D$167:$D$179,0),1)),$P146,0)</f>
        <v>0</v>
      </c>
      <c r="J341" s="427">
        <f t="shared" si="778"/>
        <v>1200000</v>
      </c>
      <c r="K341" s="427">
        <f t="shared" si="778"/>
        <v>0</v>
      </c>
      <c r="L341" s="427">
        <f t="shared" si="778"/>
        <v>0</v>
      </c>
      <c r="M341" s="427">
        <f t="shared" si="778"/>
        <v>0</v>
      </c>
      <c r="N341" s="427">
        <f t="shared" si="778"/>
        <v>0</v>
      </c>
      <c r="O341" s="429">
        <f t="shared" si="777"/>
        <v>1200000</v>
      </c>
      <c r="P341" s="504"/>
      <c r="R341" s="476"/>
    </row>
    <row r="342" spans="1:18" ht="19.5" thickTop="1">
      <c r="A342" s="476"/>
      <c r="C342" s="504"/>
      <c r="D342" s="504" t="s">
        <v>632</v>
      </c>
      <c r="E342" s="504"/>
      <c r="F342" s="504"/>
      <c r="G342" s="504" t="s">
        <v>335</v>
      </c>
      <c r="H342" s="505">
        <f>SUMIF($G340:$G341,$G342,H340:H341)</f>
        <v>0</v>
      </c>
      <c r="I342" s="505">
        <f t="shared" ref="I342:O342" si="779">SUMIF($G340:$G341,$G342,I340:I341)</f>
        <v>0</v>
      </c>
      <c r="J342" s="505">
        <f t="shared" si="779"/>
        <v>1200000</v>
      </c>
      <c r="K342" s="505">
        <f t="shared" si="779"/>
        <v>0</v>
      </c>
      <c r="L342" s="505">
        <f t="shared" si="779"/>
        <v>0</v>
      </c>
      <c r="M342" s="505">
        <f t="shared" si="779"/>
        <v>0</v>
      </c>
      <c r="N342" s="505">
        <f t="shared" si="779"/>
        <v>0</v>
      </c>
      <c r="O342" s="505">
        <f t="shared" si="779"/>
        <v>1200000</v>
      </c>
      <c r="P342" s="504"/>
      <c r="R342" s="476"/>
    </row>
    <row r="343" spans="1:18" ht="18.75">
      <c r="A343" s="476"/>
      <c r="R343" s="476"/>
    </row>
    <row r="344" spans="1:18" ht="21">
      <c r="A344" s="476"/>
      <c r="C344" s="513" t="s">
        <v>644</v>
      </c>
      <c r="D344" s="503"/>
      <c r="E344" s="503"/>
      <c r="F344" s="503"/>
      <c r="G344" s="504" t="s">
        <v>335</v>
      </c>
      <c r="H344" s="505">
        <f>H342+H337+H312+H212</f>
        <v>35516904.965897433</v>
      </c>
      <c r="I344" s="505">
        <f t="shared" ref="I344:N344" si="780">I342+I337+I312+I212</f>
        <v>66500675.260473765</v>
      </c>
      <c r="J344" s="505">
        <f t="shared" si="780"/>
        <v>64547165.607661203</v>
      </c>
      <c r="K344" s="505">
        <f t="shared" si="780"/>
        <v>0</v>
      </c>
      <c r="L344" s="505">
        <f t="shared" si="780"/>
        <v>0</v>
      </c>
      <c r="M344" s="505">
        <f t="shared" si="780"/>
        <v>0</v>
      </c>
      <c r="N344" s="505">
        <f t="shared" si="780"/>
        <v>0</v>
      </c>
      <c r="O344" s="505">
        <f t="shared" ref="O344" si="781">SUM(H344:N344)</f>
        <v>166564745.83403242</v>
      </c>
      <c r="P344" s="504"/>
      <c r="R344" s="476"/>
    </row>
    <row r="345" spans="1:18" ht="18.75">
      <c r="A345" s="476"/>
      <c r="R345" s="476"/>
    </row>
    <row r="346" spans="1:18" ht="18.75">
      <c r="A346" s="476"/>
      <c r="B346" s="476"/>
      <c r="C346" s="476"/>
      <c r="D346" s="476"/>
      <c r="E346" s="476"/>
      <c r="F346" s="476"/>
      <c r="G346" s="476"/>
      <c r="H346" s="476"/>
      <c r="I346" s="476"/>
      <c r="J346" s="476"/>
      <c r="K346" s="476"/>
      <c r="L346" s="476"/>
      <c r="M346" s="476"/>
      <c r="N346" s="476"/>
      <c r="O346" s="476"/>
      <c r="P346" s="476"/>
      <c r="Q346" s="476"/>
      <c r="R346" s="476"/>
    </row>
  </sheetData>
  <mergeCells count="359">
    <mergeCell ref="G179:H179"/>
    <mergeCell ref="P4:P5"/>
    <mergeCell ref="D9:D10"/>
    <mergeCell ref="E9:E10"/>
    <mergeCell ref="F9:F10"/>
    <mergeCell ref="D11:D12"/>
    <mergeCell ref="E11:E12"/>
    <mergeCell ref="F11:F12"/>
    <mergeCell ref="B4:H4"/>
    <mergeCell ref="I4:O4"/>
    <mergeCell ref="B5:C5"/>
    <mergeCell ref="F7:F8"/>
    <mergeCell ref="E7:E8"/>
    <mergeCell ref="D7:D8"/>
    <mergeCell ref="D20:D21"/>
    <mergeCell ref="E20:E21"/>
    <mergeCell ref="F20:F21"/>
    <mergeCell ref="D23:D24"/>
    <mergeCell ref="E23:E24"/>
    <mergeCell ref="F23:F24"/>
    <mergeCell ref="D13:D14"/>
    <mergeCell ref="E13:E14"/>
    <mergeCell ref="F13:F14"/>
    <mergeCell ref="D15:D16"/>
    <mergeCell ref="E15:E16"/>
    <mergeCell ref="F15:F16"/>
    <mergeCell ref="D29:D30"/>
    <mergeCell ref="E29:E30"/>
    <mergeCell ref="F29:F30"/>
    <mergeCell ref="D31:D32"/>
    <mergeCell ref="E31:E32"/>
    <mergeCell ref="F31:F32"/>
    <mergeCell ref="D25:D26"/>
    <mergeCell ref="E25:E26"/>
    <mergeCell ref="F25:F26"/>
    <mergeCell ref="D27:D28"/>
    <mergeCell ref="E27:E28"/>
    <mergeCell ref="F27:F28"/>
    <mergeCell ref="D38:D39"/>
    <mergeCell ref="E38:E39"/>
    <mergeCell ref="F38:F39"/>
    <mergeCell ref="D40:D41"/>
    <mergeCell ref="E40:E41"/>
    <mergeCell ref="F40:F41"/>
    <mergeCell ref="D34:D35"/>
    <mergeCell ref="E34:E35"/>
    <mergeCell ref="F34:F35"/>
    <mergeCell ref="D36:D37"/>
    <mergeCell ref="E36:E37"/>
    <mergeCell ref="F36:F37"/>
    <mergeCell ref="D46:D47"/>
    <mergeCell ref="E46:E47"/>
    <mergeCell ref="F46:F47"/>
    <mergeCell ref="D49:D50"/>
    <mergeCell ref="E49:E50"/>
    <mergeCell ref="F49:F50"/>
    <mergeCell ref="D42:D43"/>
    <mergeCell ref="E42:E43"/>
    <mergeCell ref="F42:F43"/>
    <mergeCell ref="D44:D45"/>
    <mergeCell ref="E44:E45"/>
    <mergeCell ref="F44:F45"/>
    <mergeCell ref="D55:D56"/>
    <mergeCell ref="E55:E56"/>
    <mergeCell ref="F55:F56"/>
    <mergeCell ref="D58:D59"/>
    <mergeCell ref="E58:E59"/>
    <mergeCell ref="F58:F59"/>
    <mergeCell ref="D51:D52"/>
    <mergeCell ref="E51:E52"/>
    <mergeCell ref="F51:F52"/>
    <mergeCell ref="D53:D54"/>
    <mergeCell ref="E53:E54"/>
    <mergeCell ref="F53:F54"/>
    <mergeCell ref="D64:D65"/>
    <mergeCell ref="E64:E65"/>
    <mergeCell ref="F64:F65"/>
    <mergeCell ref="D66:D67"/>
    <mergeCell ref="E66:E67"/>
    <mergeCell ref="F66:F67"/>
    <mergeCell ref="D60:D61"/>
    <mergeCell ref="E60:E61"/>
    <mergeCell ref="F60:F61"/>
    <mergeCell ref="D62:D63"/>
    <mergeCell ref="E62:E63"/>
    <mergeCell ref="F62:F63"/>
    <mergeCell ref="D74:D75"/>
    <mergeCell ref="E74:E75"/>
    <mergeCell ref="F74:F75"/>
    <mergeCell ref="D76:D77"/>
    <mergeCell ref="E76:E77"/>
    <mergeCell ref="F76:F77"/>
    <mergeCell ref="D69:D70"/>
    <mergeCell ref="E69:E70"/>
    <mergeCell ref="F69:F70"/>
    <mergeCell ref="D71:D72"/>
    <mergeCell ref="E71:E72"/>
    <mergeCell ref="F71:F72"/>
    <mergeCell ref="D85:D86"/>
    <mergeCell ref="E85:E86"/>
    <mergeCell ref="F85:F86"/>
    <mergeCell ref="D88:D89"/>
    <mergeCell ref="E88:E89"/>
    <mergeCell ref="F88:F89"/>
    <mergeCell ref="D78:D79"/>
    <mergeCell ref="E78:E79"/>
    <mergeCell ref="F78:F79"/>
    <mergeCell ref="D82:D83"/>
    <mergeCell ref="E82:E83"/>
    <mergeCell ref="F82:F83"/>
    <mergeCell ref="D80:D81"/>
    <mergeCell ref="E80:E81"/>
    <mergeCell ref="F80:F81"/>
    <mergeCell ref="D97:D98"/>
    <mergeCell ref="E97:E98"/>
    <mergeCell ref="F97:F98"/>
    <mergeCell ref="D99:D100"/>
    <mergeCell ref="E99:E100"/>
    <mergeCell ref="F99:F100"/>
    <mergeCell ref="D91:D92"/>
    <mergeCell ref="E91:E92"/>
    <mergeCell ref="F91:F92"/>
    <mergeCell ref="D94:D95"/>
    <mergeCell ref="E94:E95"/>
    <mergeCell ref="F94:F95"/>
    <mergeCell ref="D105:D106"/>
    <mergeCell ref="E105:E106"/>
    <mergeCell ref="F105:F106"/>
    <mergeCell ref="D107:D108"/>
    <mergeCell ref="E107:E108"/>
    <mergeCell ref="F107:F108"/>
    <mergeCell ref="D101:D102"/>
    <mergeCell ref="E101:E102"/>
    <mergeCell ref="F101:F102"/>
    <mergeCell ref="D103:D104"/>
    <mergeCell ref="E103:E104"/>
    <mergeCell ref="F103:F104"/>
    <mergeCell ref="D114:D115"/>
    <mergeCell ref="E114:E115"/>
    <mergeCell ref="F114:F115"/>
    <mergeCell ref="D120:D121"/>
    <mergeCell ref="E120:E121"/>
    <mergeCell ref="F120:F121"/>
    <mergeCell ref="D110:D111"/>
    <mergeCell ref="E110:E111"/>
    <mergeCell ref="F110:F111"/>
    <mergeCell ref="D112:D113"/>
    <mergeCell ref="E112:E113"/>
    <mergeCell ref="F112:F113"/>
    <mergeCell ref="D126:D127"/>
    <mergeCell ref="E126:E127"/>
    <mergeCell ref="F126:F127"/>
    <mergeCell ref="D128:D129"/>
    <mergeCell ref="E128:E129"/>
    <mergeCell ref="F128:F129"/>
    <mergeCell ref="D122:D123"/>
    <mergeCell ref="E122:E123"/>
    <mergeCell ref="F122:F123"/>
    <mergeCell ref="D124:D125"/>
    <mergeCell ref="E124:E125"/>
    <mergeCell ref="F124:F125"/>
    <mergeCell ref="D134:D135"/>
    <mergeCell ref="E134:E135"/>
    <mergeCell ref="F134:F135"/>
    <mergeCell ref="D136:D137"/>
    <mergeCell ref="E136:E137"/>
    <mergeCell ref="F136:F137"/>
    <mergeCell ref="D130:D131"/>
    <mergeCell ref="E130:E131"/>
    <mergeCell ref="F130:F131"/>
    <mergeCell ref="D132:D133"/>
    <mergeCell ref="E132:E133"/>
    <mergeCell ref="F132:F133"/>
    <mergeCell ref="D145:D146"/>
    <mergeCell ref="E145:E146"/>
    <mergeCell ref="F145:F146"/>
    <mergeCell ref="D138:D139"/>
    <mergeCell ref="E138:E139"/>
    <mergeCell ref="F138:F139"/>
    <mergeCell ref="D140:D141"/>
    <mergeCell ref="E140:E141"/>
    <mergeCell ref="F140:F141"/>
    <mergeCell ref="F202:F203"/>
    <mergeCell ref="F204:F205"/>
    <mergeCell ref="F206:F207"/>
    <mergeCell ref="F208:F209"/>
    <mergeCell ref="F210:F211"/>
    <mergeCell ref="D202:D203"/>
    <mergeCell ref="D204:D205"/>
    <mergeCell ref="D206:D207"/>
    <mergeCell ref="D208:D209"/>
    <mergeCell ref="D210:D211"/>
    <mergeCell ref="E202:E203"/>
    <mergeCell ref="E204:E205"/>
    <mergeCell ref="E206:E207"/>
    <mergeCell ref="E208:E209"/>
    <mergeCell ref="E210:E211"/>
    <mergeCell ref="D215:D216"/>
    <mergeCell ref="E215:E216"/>
    <mergeCell ref="F215:F216"/>
    <mergeCell ref="D218:D219"/>
    <mergeCell ref="E218:E219"/>
    <mergeCell ref="F218:F219"/>
    <mergeCell ref="D220:D221"/>
    <mergeCell ref="E220:E221"/>
    <mergeCell ref="F220:F221"/>
    <mergeCell ref="D233:D234"/>
    <mergeCell ref="E233:E234"/>
    <mergeCell ref="F233:F234"/>
    <mergeCell ref="D222:D223"/>
    <mergeCell ref="E222:E223"/>
    <mergeCell ref="F222:F223"/>
    <mergeCell ref="D224:D225"/>
    <mergeCell ref="E224:E225"/>
    <mergeCell ref="F224:F225"/>
    <mergeCell ref="D226:D227"/>
    <mergeCell ref="E226:E227"/>
    <mergeCell ref="F226:F227"/>
    <mergeCell ref="D229:D230"/>
    <mergeCell ref="E229:E230"/>
    <mergeCell ref="F229:F230"/>
    <mergeCell ref="D231:D232"/>
    <mergeCell ref="E231:E232"/>
    <mergeCell ref="F231:F232"/>
    <mergeCell ref="D235:D236"/>
    <mergeCell ref="E235:E236"/>
    <mergeCell ref="F235:F236"/>
    <mergeCell ref="D237:D238"/>
    <mergeCell ref="E237:E238"/>
    <mergeCell ref="F237:F238"/>
    <mergeCell ref="E241:E242"/>
    <mergeCell ref="D239:D240"/>
    <mergeCell ref="E239:E240"/>
    <mergeCell ref="F239:F240"/>
    <mergeCell ref="D248:D249"/>
    <mergeCell ref="E248:E249"/>
    <mergeCell ref="F248:F249"/>
    <mergeCell ref="D250:D251"/>
    <mergeCell ref="E250:E251"/>
    <mergeCell ref="F250:F251"/>
    <mergeCell ref="D241:D242"/>
    <mergeCell ref="F241:F242"/>
    <mergeCell ref="D244:D245"/>
    <mergeCell ref="E244:E245"/>
    <mergeCell ref="F244:F245"/>
    <mergeCell ref="D246:D247"/>
    <mergeCell ref="E246:E247"/>
    <mergeCell ref="F246:F247"/>
    <mergeCell ref="D253:D254"/>
    <mergeCell ref="E253:E254"/>
    <mergeCell ref="F253:F254"/>
    <mergeCell ref="D255:D256"/>
    <mergeCell ref="E255:E256"/>
    <mergeCell ref="F255:F256"/>
    <mergeCell ref="D286:D287"/>
    <mergeCell ref="E286:E287"/>
    <mergeCell ref="F286:F287"/>
    <mergeCell ref="D257:D258"/>
    <mergeCell ref="E257:E258"/>
    <mergeCell ref="F257:F258"/>
    <mergeCell ref="D261:D262"/>
    <mergeCell ref="E261:E262"/>
    <mergeCell ref="F261:F262"/>
    <mergeCell ref="D264:D265"/>
    <mergeCell ref="E264:E265"/>
    <mergeCell ref="F264:F265"/>
    <mergeCell ref="D266:D267"/>
    <mergeCell ref="E266:E267"/>
    <mergeCell ref="F266:F267"/>
    <mergeCell ref="D298:D299"/>
    <mergeCell ref="E298:E299"/>
    <mergeCell ref="F298:F299"/>
    <mergeCell ref="D300:D301"/>
    <mergeCell ref="E300:E301"/>
    <mergeCell ref="F300:F301"/>
    <mergeCell ref="D289:D290"/>
    <mergeCell ref="E289:E290"/>
    <mergeCell ref="F289:F290"/>
    <mergeCell ref="D292:D293"/>
    <mergeCell ref="E292:E293"/>
    <mergeCell ref="F292:F293"/>
    <mergeCell ref="D294:D295"/>
    <mergeCell ref="E294:E295"/>
    <mergeCell ref="F294:F295"/>
    <mergeCell ref="D269:D270"/>
    <mergeCell ref="E269:E270"/>
    <mergeCell ref="F269:F270"/>
    <mergeCell ref="D271:D272"/>
    <mergeCell ref="E271:E272"/>
    <mergeCell ref="F271:F272"/>
    <mergeCell ref="D296:D297"/>
    <mergeCell ref="E296:E297"/>
    <mergeCell ref="F296:F297"/>
    <mergeCell ref="D259:D260"/>
    <mergeCell ref="E259:E260"/>
    <mergeCell ref="F259:F260"/>
    <mergeCell ref="D302:D303"/>
    <mergeCell ref="E302:E303"/>
    <mergeCell ref="F302:F303"/>
    <mergeCell ref="D305:D306"/>
    <mergeCell ref="E305:E306"/>
    <mergeCell ref="F305:F306"/>
    <mergeCell ref="D280:D281"/>
    <mergeCell ref="E280:E281"/>
    <mergeCell ref="F280:F281"/>
    <mergeCell ref="D283:D284"/>
    <mergeCell ref="E283:E284"/>
    <mergeCell ref="F283:F284"/>
    <mergeCell ref="D273:D274"/>
    <mergeCell ref="E273:E274"/>
    <mergeCell ref="F273:F274"/>
    <mergeCell ref="D275:D276"/>
    <mergeCell ref="E275:E276"/>
    <mergeCell ref="F275:F276"/>
    <mergeCell ref="D277:D278"/>
    <mergeCell ref="E277:E278"/>
    <mergeCell ref="F277:F278"/>
    <mergeCell ref="D307:D308"/>
    <mergeCell ref="E307:E308"/>
    <mergeCell ref="F307:F308"/>
    <mergeCell ref="D309:D310"/>
    <mergeCell ref="E309:E310"/>
    <mergeCell ref="F309:F310"/>
    <mergeCell ref="D315:D316"/>
    <mergeCell ref="E315:E316"/>
    <mergeCell ref="F315:F316"/>
    <mergeCell ref="D317:D318"/>
    <mergeCell ref="E317:E318"/>
    <mergeCell ref="F317:F318"/>
    <mergeCell ref="D319:D320"/>
    <mergeCell ref="E319:E320"/>
    <mergeCell ref="F319:F320"/>
    <mergeCell ref="D321:D322"/>
    <mergeCell ref="E321:E322"/>
    <mergeCell ref="F321:F322"/>
    <mergeCell ref="D323:D324"/>
    <mergeCell ref="E323:E324"/>
    <mergeCell ref="F323:F324"/>
    <mergeCell ref="D325:D326"/>
    <mergeCell ref="E325:E326"/>
    <mergeCell ref="F325:F326"/>
    <mergeCell ref="D327:D328"/>
    <mergeCell ref="E327:E328"/>
    <mergeCell ref="F327:F328"/>
    <mergeCell ref="D340:D341"/>
    <mergeCell ref="E340:E341"/>
    <mergeCell ref="F340:F341"/>
    <mergeCell ref="D335:D336"/>
    <mergeCell ref="E335:E336"/>
    <mergeCell ref="F335:F336"/>
    <mergeCell ref="D329:D330"/>
    <mergeCell ref="E329:E330"/>
    <mergeCell ref="F329:F330"/>
    <mergeCell ref="D331:D332"/>
    <mergeCell ref="E331:E332"/>
    <mergeCell ref="F331:F332"/>
    <mergeCell ref="D333:D334"/>
    <mergeCell ref="E333:E334"/>
    <mergeCell ref="F333:F334"/>
  </mergeCells>
  <pageMargins left="0.7" right="0.7" top="0.75" bottom="0.75" header="0.3" footer="0.3"/>
  <pageSetup paperSize="9" scale="2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7">
    <tabColor rgb="FF92D050"/>
  </sheetPr>
  <dimension ref="B3:AN31"/>
  <sheetViews>
    <sheetView zoomScale="85" zoomScaleNormal="85" workbookViewId="0">
      <selection activeCell="F13" sqref="F13"/>
    </sheetView>
  </sheetViews>
  <sheetFormatPr defaultRowHeight="15"/>
  <cols>
    <col min="2" max="2" width="3.7109375" style="290" customWidth="1"/>
    <col min="3" max="3" width="37.7109375" bestFit="1" customWidth="1"/>
    <col min="4" max="4" width="15.85546875" customWidth="1"/>
    <col min="8" max="8" width="11.140625" bestFit="1" customWidth="1"/>
    <col min="9" max="9" width="15.42578125" customWidth="1"/>
    <col min="10" max="10" width="14.140625" customWidth="1"/>
    <col min="13" max="14" width="9.5703125" bestFit="1" customWidth="1"/>
    <col min="24" max="24" width="8.5703125" bestFit="1" customWidth="1"/>
    <col min="27" max="27" width="9.5703125" bestFit="1" customWidth="1"/>
    <col min="28" max="28" width="14.85546875" bestFit="1" customWidth="1"/>
    <col min="29" max="29" width="13" customWidth="1"/>
    <col min="30" max="30" width="11.42578125" customWidth="1"/>
    <col min="31" max="31" width="15.140625" customWidth="1"/>
    <col min="32" max="32" width="11.42578125" customWidth="1"/>
    <col min="33" max="33" width="10.140625" customWidth="1"/>
    <col min="34" max="34" width="13.5703125" customWidth="1"/>
    <col min="35" max="35" width="9" customWidth="1"/>
    <col min="36" max="36" width="16" customWidth="1"/>
    <col min="37" max="37" width="10" customWidth="1"/>
    <col min="38" max="38" width="10.28515625" customWidth="1"/>
    <col min="39" max="39" width="12.28515625" customWidth="1"/>
    <col min="40" max="40" width="15.5703125" customWidth="1"/>
  </cols>
  <sheetData>
    <row r="3" spans="2:40" ht="18.75">
      <c r="B3" s="292"/>
      <c r="C3" s="283" t="s">
        <v>354</v>
      </c>
      <c r="D3" s="283"/>
      <c r="E3" s="283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</row>
    <row r="4" spans="2:40"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</row>
    <row r="5" spans="2:40" ht="15" customHeight="1">
      <c r="M5" s="542" t="s">
        <v>374</v>
      </c>
      <c r="N5" s="542"/>
      <c r="O5" s="542"/>
      <c r="P5" s="542"/>
      <c r="Q5" s="542"/>
      <c r="R5" s="542"/>
      <c r="S5" s="542"/>
      <c r="T5" s="542"/>
      <c r="U5" s="542"/>
      <c r="V5" s="542"/>
      <c r="W5" s="542"/>
      <c r="X5" s="542"/>
      <c r="Y5" s="542"/>
      <c r="Z5" s="542"/>
      <c r="AA5" s="542"/>
      <c r="AB5" s="542"/>
      <c r="AC5" s="542"/>
      <c r="AD5" s="542"/>
      <c r="AE5" s="542"/>
      <c r="AF5" s="542"/>
      <c r="AG5" s="542"/>
      <c r="AH5" s="542"/>
      <c r="AI5" s="542"/>
      <c r="AJ5" s="542"/>
      <c r="AK5" s="542"/>
      <c r="AL5" s="542"/>
      <c r="AM5" s="542"/>
      <c r="AN5" s="542"/>
    </row>
    <row r="6" spans="2:40" ht="31.5" customHeight="1">
      <c r="C6" s="545" t="s">
        <v>360</v>
      </c>
      <c r="D6" s="545" t="s">
        <v>343</v>
      </c>
      <c r="E6" s="548" t="s">
        <v>363</v>
      </c>
      <c r="F6" s="549"/>
      <c r="G6" s="552" t="s">
        <v>367</v>
      </c>
      <c r="H6" s="553"/>
      <c r="I6" s="570" t="s">
        <v>368</v>
      </c>
      <c r="J6" s="570" t="s">
        <v>369</v>
      </c>
      <c r="K6" s="569" t="s">
        <v>370</v>
      </c>
      <c r="L6" s="569"/>
      <c r="M6" s="562" t="s">
        <v>79</v>
      </c>
      <c r="N6" s="559" t="s">
        <v>373</v>
      </c>
      <c r="O6" s="560"/>
      <c r="P6" s="560"/>
      <c r="Q6" s="560"/>
      <c r="R6" s="560"/>
      <c r="S6" s="560"/>
      <c r="T6" s="560"/>
      <c r="U6" s="560"/>
      <c r="V6" s="560"/>
      <c r="W6" s="560"/>
      <c r="X6" s="560"/>
      <c r="Y6" s="560"/>
      <c r="Z6" s="560"/>
      <c r="AA6" s="560"/>
      <c r="AB6" s="560"/>
      <c r="AC6" s="560"/>
      <c r="AD6" s="561"/>
      <c r="AE6" s="566" t="s">
        <v>375</v>
      </c>
      <c r="AF6" s="556" t="s">
        <v>185</v>
      </c>
      <c r="AG6" s="556"/>
      <c r="AH6" s="556"/>
      <c r="AI6" s="556"/>
      <c r="AJ6" s="556"/>
      <c r="AK6" s="556"/>
      <c r="AL6" s="556"/>
      <c r="AM6" s="556"/>
      <c r="AN6" s="562" t="s">
        <v>397</v>
      </c>
    </row>
    <row r="7" spans="2:40" ht="27" customHeight="1">
      <c r="C7" s="546"/>
      <c r="D7" s="546"/>
      <c r="E7" s="550"/>
      <c r="F7" s="551"/>
      <c r="G7" s="554"/>
      <c r="H7" s="555"/>
      <c r="I7" s="571"/>
      <c r="J7" s="571"/>
      <c r="K7" s="573" t="s">
        <v>371</v>
      </c>
      <c r="L7" s="573" t="s">
        <v>372</v>
      </c>
      <c r="M7" s="565"/>
      <c r="N7" s="562" t="s">
        <v>79</v>
      </c>
      <c r="O7" s="564" t="s">
        <v>387</v>
      </c>
      <c r="P7" s="564"/>
      <c r="Q7" s="564"/>
      <c r="R7" s="564" t="s">
        <v>389</v>
      </c>
      <c r="S7" s="564"/>
      <c r="T7" s="564"/>
      <c r="U7" s="564"/>
      <c r="V7" s="564" t="s">
        <v>391</v>
      </c>
      <c r="W7" s="564"/>
      <c r="X7" s="564"/>
      <c r="Y7" s="564" t="s">
        <v>355</v>
      </c>
      <c r="Z7" s="564"/>
      <c r="AA7" s="564"/>
      <c r="AB7" s="286" t="s">
        <v>392</v>
      </c>
      <c r="AC7" s="564" t="s">
        <v>393</v>
      </c>
      <c r="AD7" s="286" t="s">
        <v>394</v>
      </c>
      <c r="AE7" s="567"/>
      <c r="AF7" s="557" t="s">
        <v>379</v>
      </c>
      <c r="AG7" s="543" t="s">
        <v>376</v>
      </c>
      <c r="AH7" s="544"/>
      <c r="AI7" s="287" t="s">
        <v>359</v>
      </c>
      <c r="AJ7" s="287" t="s">
        <v>384</v>
      </c>
      <c r="AK7" s="287" t="s">
        <v>385</v>
      </c>
      <c r="AL7" s="543" t="s">
        <v>386</v>
      </c>
      <c r="AM7" s="544"/>
      <c r="AN7" s="565"/>
    </row>
    <row r="8" spans="2:40" ht="34.5">
      <c r="C8" s="547"/>
      <c r="D8" s="547"/>
      <c r="E8" s="272"/>
      <c r="F8" s="272"/>
      <c r="G8" s="285" t="s">
        <v>383</v>
      </c>
      <c r="H8" s="285" t="s">
        <v>382</v>
      </c>
      <c r="I8" s="572"/>
      <c r="J8" s="572"/>
      <c r="K8" s="574"/>
      <c r="L8" s="574"/>
      <c r="M8" s="563"/>
      <c r="N8" s="563"/>
      <c r="O8" s="277" t="s">
        <v>371</v>
      </c>
      <c r="P8" s="277" t="s">
        <v>388</v>
      </c>
      <c r="Q8" s="278" t="s">
        <v>374</v>
      </c>
      <c r="R8" s="277" t="s">
        <v>371</v>
      </c>
      <c r="S8" s="277" t="s">
        <v>388</v>
      </c>
      <c r="T8" s="278" t="s">
        <v>374</v>
      </c>
      <c r="U8" s="278" t="s">
        <v>390</v>
      </c>
      <c r="V8" s="277" t="s">
        <v>371</v>
      </c>
      <c r="W8" s="279" t="s">
        <v>388</v>
      </c>
      <c r="X8" s="278" t="s">
        <v>374</v>
      </c>
      <c r="Y8" s="277" t="s">
        <v>371</v>
      </c>
      <c r="Z8" s="279" t="s">
        <v>388</v>
      </c>
      <c r="AA8" s="278" t="s">
        <v>374</v>
      </c>
      <c r="AB8" s="278" t="s">
        <v>374</v>
      </c>
      <c r="AC8" s="564"/>
      <c r="AD8" s="278" t="s">
        <v>395</v>
      </c>
      <c r="AE8" s="568"/>
      <c r="AF8" s="558"/>
      <c r="AG8" s="276" t="s">
        <v>380</v>
      </c>
      <c r="AH8" s="275" t="s">
        <v>381</v>
      </c>
      <c r="AI8" s="276"/>
      <c r="AJ8" s="276"/>
      <c r="AK8" s="276"/>
      <c r="AL8" s="276" t="s">
        <v>377</v>
      </c>
      <c r="AM8" s="276" t="s">
        <v>378</v>
      </c>
      <c r="AN8" s="563"/>
    </row>
    <row r="10" spans="2:40">
      <c r="B10" s="291">
        <v>1</v>
      </c>
      <c r="C10" s="288" t="s">
        <v>355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  <c r="P10" s="288"/>
      <c r="Q10" s="288"/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/>
      <c r="AF10" s="288"/>
      <c r="AG10" s="288"/>
      <c r="AH10" s="288"/>
      <c r="AI10" s="288"/>
      <c r="AJ10" s="288"/>
      <c r="AK10" s="288"/>
      <c r="AL10" s="288"/>
      <c r="AM10" s="288"/>
      <c r="AN10" s="288"/>
    </row>
    <row r="11" spans="2:40">
      <c r="D11" s="251" t="s">
        <v>361</v>
      </c>
      <c r="E11" t="s">
        <v>364</v>
      </c>
      <c r="F11" t="s">
        <v>366</v>
      </c>
      <c r="G11" t="s">
        <v>330</v>
      </c>
      <c r="I11" s="274">
        <v>41518</v>
      </c>
      <c r="J11" s="274">
        <v>41548</v>
      </c>
      <c r="K11" t="str">
        <f>Y11</f>
        <v>км</v>
      </c>
      <c r="L11">
        <f>Z11</f>
        <v>4.6500000000000004</v>
      </c>
      <c r="M11" s="270">
        <f>N11+AE11+AF11</f>
        <v>29429.560494330985</v>
      </c>
      <c r="N11" s="270">
        <f>Q11+T11+U11+X11+AA11+AB11</f>
        <v>24169.99785</v>
      </c>
      <c r="X11" s="270"/>
      <c r="Y11" t="s">
        <v>311</v>
      </c>
      <c r="Z11">
        <v>4.6500000000000004</v>
      </c>
      <c r="AA11" s="270">
        <f>Z11*2157.849+AC11</f>
        <v>24169.99785</v>
      </c>
      <c r="AB11" s="270"/>
      <c r="AC11" s="270">
        <v>14136</v>
      </c>
      <c r="AD11" s="270"/>
      <c r="AE11">
        <v>1197</v>
      </c>
      <c r="AF11" s="270">
        <f>AG11+AH11+AI11+AJ11+AK11+AL11+AM11</f>
        <v>4062.5626443309834</v>
      </c>
      <c r="AG11" s="280">
        <f>(AA11-AC11+AD11)*7%</f>
        <v>702.37984950000009</v>
      </c>
      <c r="AH11" s="280">
        <f>(T11+AB11-AD11)*пр13</f>
        <v>0</v>
      </c>
      <c r="AI11" s="270">
        <f>N11*0.05</f>
        <v>1208.4998925</v>
      </c>
      <c r="AJ11" s="280">
        <f>AI11*0.15</f>
        <v>181.274983875</v>
      </c>
      <c r="AK11" s="281">
        <f>N11*2.31%</f>
        <v>558.32695033499999</v>
      </c>
      <c r="AL11" s="282">
        <f>(N11+AE11+AG11+AI11+AJ11+AK11+AH11)*4%</f>
        <v>1120.6991810483999</v>
      </c>
      <c r="AM11" s="282">
        <f>(N11+AE11+AG11+AI11+AJ11+AK11+AL11+AH11)*1%</f>
        <v>291.38178707258396</v>
      </c>
      <c r="AN11" s="270">
        <f>M11-AL11-AM11</f>
        <v>28017.479526210001</v>
      </c>
    </row>
    <row r="12" spans="2:40" ht="15.75" thickBot="1">
      <c r="D12" s="251" t="s">
        <v>362</v>
      </c>
      <c r="E12" t="s">
        <v>365</v>
      </c>
      <c r="F12" t="s">
        <v>366</v>
      </c>
      <c r="G12" t="s">
        <v>330</v>
      </c>
      <c r="I12" s="274">
        <v>41518</v>
      </c>
      <c r="J12" s="274">
        <v>41548</v>
      </c>
      <c r="K12" t="s">
        <v>311</v>
      </c>
      <c r="L12">
        <v>4.75</v>
      </c>
      <c r="M12" s="270"/>
      <c r="N12" s="270"/>
      <c r="X12" s="270"/>
      <c r="AA12" s="270"/>
      <c r="AB12" s="270"/>
      <c r="AC12" s="270"/>
      <c r="AD12" s="270"/>
      <c r="AF12" s="270"/>
      <c r="AG12" s="270"/>
      <c r="AH12" s="270"/>
      <c r="AI12" s="270"/>
      <c r="AJ12" s="270"/>
      <c r="AK12" s="270"/>
      <c r="AL12" s="270"/>
      <c r="AM12" s="270"/>
      <c r="AN12" s="270"/>
    </row>
    <row r="13" spans="2:40" ht="16.5" thickTop="1" thickBot="1">
      <c r="D13" s="258" t="s">
        <v>330</v>
      </c>
      <c r="M13" s="270"/>
      <c r="N13" s="270"/>
      <c r="X13" s="270"/>
      <c r="AA13" s="270"/>
      <c r="AB13" s="270"/>
      <c r="AC13" s="270"/>
      <c r="AD13" s="270"/>
      <c r="AF13" s="270"/>
      <c r="AG13" s="270"/>
      <c r="AH13" s="270"/>
      <c r="AI13" s="270"/>
      <c r="AJ13" s="270"/>
      <c r="AK13" s="270"/>
      <c r="AL13" s="270"/>
      <c r="AM13" s="270"/>
      <c r="AN13" s="270"/>
    </row>
    <row r="14" spans="2:40" ht="15.75" thickTop="1">
      <c r="M14" s="270"/>
      <c r="N14" s="270"/>
      <c r="X14" s="270"/>
      <c r="AA14" s="270"/>
      <c r="AB14" s="270"/>
      <c r="AC14" s="270"/>
      <c r="AD14" s="270"/>
      <c r="AF14" s="270"/>
      <c r="AG14" s="270"/>
      <c r="AH14" s="270"/>
      <c r="AI14" s="270"/>
      <c r="AJ14" s="270"/>
      <c r="AK14" s="270"/>
      <c r="AL14" s="270"/>
      <c r="AM14" s="270"/>
      <c r="AN14" s="270"/>
    </row>
    <row r="15" spans="2:40">
      <c r="M15" s="270"/>
      <c r="N15" s="270"/>
      <c r="X15" s="270"/>
      <c r="AA15" s="270"/>
      <c r="AB15" s="270"/>
      <c r="AC15" s="270"/>
      <c r="AD15" s="270"/>
      <c r="AF15" s="270"/>
      <c r="AG15" s="270"/>
      <c r="AH15" s="270"/>
      <c r="AI15" s="270"/>
      <c r="AJ15" s="270"/>
      <c r="AK15" s="270"/>
      <c r="AL15" s="270"/>
      <c r="AM15" s="270"/>
      <c r="AN15" s="270"/>
    </row>
    <row r="16" spans="2:40" ht="15.75" thickBot="1">
      <c r="B16" s="291">
        <v>2</v>
      </c>
      <c r="C16" s="288" t="s">
        <v>310</v>
      </c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</row>
    <row r="17" spans="2:40" ht="16.5" thickTop="1" thickBot="1">
      <c r="D17" s="258" t="s">
        <v>330</v>
      </c>
      <c r="M17" s="270"/>
      <c r="N17" s="270"/>
      <c r="X17" s="270"/>
      <c r="AA17" s="270"/>
      <c r="AB17" s="270"/>
      <c r="AC17" s="270"/>
      <c r="AD17" s="270"/>
      <c r="AF17" s="270"/>
      <c r="AG17" s="270"/>
      <c r="AH17" s="270"/>
      <c r="AI17" s="270"/>
      <c r="AJ17" s="270"/>
      <c r="AK17" s="270"/>
      <c r="AL17" s="270"/>
      <c r="AM17" s="270"/>
      <c r="AN17" s="270"/>
    </row>
    <row r="18" spans="2:40" ht="16.5" thickTop="1" thickBot="1">
      <c r="B18" s="291">
        <v>3</v>
      </c>
      <c r="C18" s="288" t="s">
        <v>356</v>
      </c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/>
      <c r="AF18" s="288"/>
      <c r="AG18" s="288"/>
      <c r="AH18" s="288"/>
      <c r="AI18" s="288"/>
      <c r="AJ18" s="288"/>
      <c r="AK18" s="288"/>
      <c r="AL18" s="288"/>
      <c r="AM18" s="288"/>
      <c r="AN18" s="288"/>
    </row>
    <row r="19" spans="2:40" ht="16.5" thickTop="1" thickBot="1">
      <c r="D19" s="258" t="s">
        <v>330</v>
      </c>
      <c r="M19" s="270"/>
      <c r="N19" s="270"/>
      <c r="X19" s="270"/>
      <c r="AA19" s="270"/>
      <c r="AB19" s="270"/>
      <c r="AC19" s="270"/>
      <c r="AD19" s="270"/>
      <c r="AF19" s="270"/>
      <c r="AG19" s="270"/>
      <c r="AH19" s="270"/>
      <c r="AI19" s="270"/>
      <c r="AJ19" s="270"/>
      <c r="AK19" s="270"/>
      <c r="AL19" s="270"/>
      <c r="AM19" s="270"/>
      <c r="AN19" s="270"/>
    </row>
    <row r="20" spans="2:40" ht="16.5" thickTop="1" thickBot="1">
      <c r="B20" s="291">
        <v>4</v>
      </c>
      <c r="C20" s="288" t="s">
        <v>309</v>
      </c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288"/>
      <c r="AE20" s="288"/>
      <c r="AF20" s="288"/>
      <c r="AG20" s="288"/>
      <c r="AH20" s="288"/>
      <c r="AI20" s="288"/>
      <c r="AJ20" s="288"/>
      <c r="AK20" s="288"/>
      <c r="AL20" s="288"/>
      <c r="AM20" s="288"/>
      <c r="AN20" s="288"/>
    </row>
    <row r="21" spans="2:40" ht="16.5" thickTop="1" thickBot="1">
      <c r="D21" s="258" t="s">
        <v>330</v>
      </c>
      <c r="M21" s="270"/>
      <c r="N21" s="270"/>
      <c r="X21" s="270"/>
      <c r="AA21" s="270"/>
      <c r="AB21" s="270"/>
      <c r="AC21" s="270"/>
      <c r="AD21" s="270"/>
      <c r="AF21" s="270"/>
      <c r="AG21" s="270"/>
      <c r="AH21" s="270"/>
      <c r="AI21" s="270"/>
      <c r="AJ21" s="270"/>
      <c r="AK21" s="270"/>
      <c r="AL21" s="270"/>
      <c r="AM21" s="270"/>
      <c r="AN21" s="270"/>
    </row>
    <row r="22" spans="2:40" ht="15.75" thickTop="1">
      <c r="B22" s="291">
        <v>5</v>
      </c>
      <c r="C22" s="288" t="s">
        <v>357</v>
      </c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289"/>
      <c r="O22" s="288"/>
      <c r="P22" s="288"/>
      <c r="Q22" s="288"/>
      <c r="R22" s="288"/>
      <c r="S22" s="288"/>
      <c r="T22" s="288"/>
      <c r="U22" s="288"/>
      <c r="V22" s="288"/>
      <c r="W22" s="288"/>
      <c r="X22" s="289"/>
      <c r="Y22" s="288"/>
      <c r="Z22" s="288"/>
      <c r="AA22" s="289"/>
      <c r="AB22" s="289"/>
      <c r="AC22" s="289"/>
      <c r="AD22" s="289"/>
      <c r="AE22" s="288"/>
      <c r="AF22" s="289"/>
      <c r="AG22" s="289"/>
      <c r="AH22" s="289"/>
      <c r="AI22" s="289"/>
      <c r="AJ22" s="289"/>
      <c r="AK22" s="289"/>
      <c r="AL22" s="289"/>
      <c r="AM22" s="289"/>
      <c r="AN22" s="289"/>
    </row>
    <row r="23" spans="2:40">
      <c r="M23" s="270"/>
      <c r="N23" s="270"/>
      <c r="X23" s="270"/>
      <c r="AA23" s="270"/>
      <c r="AB23" s="270"/>
      <c r="AC23" s="270"/>
      <c r="AD23" s="270"/>
      <c r="AF23" s="270"/>
      <c r="AG23" s="270"/>
      <c r="AH23" s="270"/>
      <c r="AI23" s="270"/>
      <c r="AJ23" s="270"/>
      <c r="AK23" s="270"/>
      <c r="AL23" s="270"/>
      <c r="AM23" s="270"/>
      <c r="AN23" s="270"/>
    </row>
    <row r="24" spans="2:40" ht="15.75" thickBot="1">
      <c r="D24" s="251" t="s">
        <v>396</v>
      </c>
      <c r="G24" t="s">
        <v>330</v>
      </c>
      <c r="I24" s="274">
        <v>41518</v>
      </c>
      <c r="J24" s="274">
        <v>41548</v>
      </c>
      <c r="K24" t="str">
        <f>V24</f>
        <v>км</v>
      </c>
      <c r="L24">
        <f>W24</f>
        <v>4</v>
      </c>
      <c r="M24" s="270">
        <f>N24+AE24+AF24</f>
        <v>10575.1646</v>
      </c>
      <c r="N24" s="270">
        <f>Q24+T24+U24+X24+AA24+AB24</f>
        <v>8750</v>
      </c>
      <c r="V24" t="s">
        <v>311</v>
      </c>
      <c r="W24">
        <v>4</v>
      </c>
      <c r="X24" s="270">
        <f>W24*2187.5</f>
        <v>8750</v>
      </c>
      <c r="AA24" s="270"/>
      <c r="AB24" s="270"/>
      <c r="AC24" s="270"/>
      <c r="AD24" s="270"/>
      <c r="AF24" s="270">
        <f>AG24+AH24+AI24+AJ24+AK24+AL24+AM24</f>
        <v>1825.1646000000001</v>
      </c>
      <c r="AG24" s="280">
        <f>(X24-AC24+AD24)*7%</f>
        <v>612.50000000000011</v>
      </c>
      <c r="AH24" s="280">
        <f>(T24+AB24-AD24)*пр13</f>
        <v>0</v>
      </c>
      <c r="AI24" s="270">
        <f>N24*0.05</f>
        <v>437.5</v>
      </c>
      <c r="AJ24" s="280">
        <f>AI24*0.15</f>
        <v>65.625</v>
      </c>
      <c r="AK24" s="281">
        <f>N24*2.31%</f>
        <v>202.125</v>
      </c>
      <c r="AL24" s="282">
        <f>(N24+AE24+AG24+AI24+AJ24+AK24+AH24)*4%</f>
        <v>402.71000000000004</v>
      </c>
      <c r="AM24" s="282">
        <f>(N24+AE24+AG24+AI24+AJ24+AK24+AL24+AH24)*1%</f>
        <v>104.7046</v>
      </c>
      <c r="AN24" s="270">
        <f>M24-AL24-AM24</f>
        <v>10067.750000000002</v>
      </c>
    </row>
    <row r="25" spans="2:40" ht="16.5" thickTop="1" thickBot="1">
      <c r="D25" s="258" t="s">
        <v>330</v>
      </c>
    </row>
    <row r="26" spans="2:40" ht="16.5" thickTop="1" thickBot="1">
      <c r="B26" s="291">
        <v>6</v>
      </c>
      <c r="C26" s="288" t="s">
        <v>358</v>
      </c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</row>
    <row r="27" spans="2:40" ht="16.5" thickTop="1" thickBot="1">
      <c r="D27" s="258" t="s">
        <v>330</v>
      </c>
    </row>
    <row r="28" spans="2:40" ht="16.5" thickTop="1" thickBot="1">
      <c r="B28" s="291">
        <v>7</v>
      </c>
      <c r="C28" s="288" t="s">
        <v>359</v>
      </c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8"/>
      <c r="AF28" s="288"/>
      <c r="AG28" s="288"/>
      <c r="AH28" s="288"/>
      <c r="AI28" s="288"/>
      <c r="AJ28" s="288"/>
      <c r="AK28" s="288"/>
      <c r="AL28" s="288"/>
      <c r="AM28" s="288"/>
      <c r="AN28" s="288"/>
    </row>
    <row r="29" spans="2:40" ht="16.5" thickTop="1" thickBot="1">
      <c r="D29" s="258" t="s">
        <v>330</v>
      </c>
    </row>
    <row r="30" spans="2:40" ht="15.75" thickTop="1"/>
    <row r="31" spans="2:40">
      <c r="B31" s="291"/>
      <c r="C31" s="288" t="s">
        <v>451</v>
      </c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468">
        <f>SUM(AN11:AN30)</f>
        <v>38085.229526210001</v>
      </c>
    </row>
  </sheetData>
  <mergeCells count="24">
    <mergeCell ref="Y7:AA7"/>
    <mergeCell ref="AC7:AC8"/>
    <mergeCell ref="K6:L6"/>
    <mergeCell ref="AL7:AM7"/>
    <mergeCell ref="I6:I8"/>
    <mergeCell ref="J6:J8"/>
    <mergeCell ref="K7:K8"/>
    <mergeCell ref="L7:L8"/>
    <mergeCell ref="M5:AN5"/>
    <mergeCell ref="AG7:AH7"/>
    <mergeCell ref="C6:C8"/>
    <mergeCell ref="D6:D8"/>
    <mergeCell ref="E6:F7"/>
    <mergeCell ref="G6:H7"/>
    <mergeCell ref="AF6:AM6"/>
    <mergeCell ref="AF7:AF8"/>
    <mergeCell ref="N6:AD6"/>
    <mergeCell ref="N7:N8"/>
    <mergeCell ref="O7:Q7"/>
    <mergeCell ref="R7:U7"/>
    <mergeCell ref="M6:M8"/>
    <mergeCell ref="AN6:AN8"/>
    <mergeCell ref="AE6:AE8"/>
    <mergeCell ref="V7:X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1">
    <tabColor rgb="FF92D050"/>
  </sheetPr>
  <dimension ref="A1:IX65"/>
  <sheetViews>
    <sheetView tabSelected="1" workbookViewId="0">
      <pane xSplit="4" topLeftCell="E1" activePane="topRight" state="frozen"/>
      <selection activeCell="A17" sqref="A17"/>
      <selection pane="topRight" activeCell="F32" sqref="F32"/>
    </sheetView>
  </sheetViews>
  <sheetFormatPr defaultRowHeight="15"/>
  <cols>
    <col min="2" max="2" width="10.42578125" customWidth="1"/>
    <col min="3" max="3" width="11.7109375" customWidth="1"/>
    <col min="4" max="4" width="10.140625" customWidth="1"/>
    <col min="5" max="5" width="9.85546875" customWidth="1"/>
    <col min="7" max="7" width="10.140625" bestFit="1" customWidth="1"/>
    <col min="25" max="26" width="8.5703125" customWidth="1"/>
    <col min="185" max="196" width="9.28515625" customWidth="1"/>
    <col min="257" max="257" width="1.42578125" customWidth="1"/>
  </cols>
  <sheetData>
    <row r="1" spans="2:10" s="320" customFormat="1" hidden="1"/>
    <row r="2" spans="2:10" s="320" customFormat="1" hidden="1">
      <c r="B2" s="320" t="s">
        <v>305</v>
      </c>
      <c r="J2" s="320" t="s">
        <v>307</v>
      </c>
    </row>
    <row r="3" spans="2:10" s="320" customFormat="1" hidden="1">
      <c r="B3" s="320" t="s">
        <v>306</v>
      </c>
      <c r="J3" s="320" t="s">
        <v>308</v>
      </c>
    </row>
    <row r="4" spans="2:10" s="320" customFormat="1" hidden="1">
      <c r="B4" s="320" t="s">
        <v>297</v>
      </c>
      <c r="D4" s="320" t="s">
        <v>304</v>
      </c>
      <c r="F4" s="320" t="s">
        <v>303</v>
      </c>
    </row>
    <row r="5" spans="2:10" s="320" customFormat="1" hidden="1">
      <c r="B5" s="320" t="s">
        <v>298</v>
      </c>
      <c r="D5" s="320" t="s">
        <v>304</v>
      </c>
      <c r="J5" s="320" t="s">
        <v>319</v>
      </c>
    </row>
    <row r="6" spans="2:10" s="320" customFormat="1" hidden="1">
      <c r="B6" s="320" t="s">
        <v>301</v>
      </c>
      <c r="D6" s="320" t="s">
        <v>302</v>
      </c>
    </row>
    <row r="7" spans="2:10" s="320" customFormat="1" hidden="1">
      <c r="B7" s="320" t="s">
        <v>299</v>
      </c>
    </row>
    <row r="8" spans="2:10" s="320" customFormat="1" hidden="1">
      <c r="B8" s="320" t="s">
        <v>300</v>
      </c>
    </row>
    <row r="9" spans="2:10" s="320" customFormat="1" hidden="1">
      <c r="B9" s="320" t="s">
        <v>316</v>
      </c>
    </row>
    <row r="10" spans="2:10" s="320" customFormat="1" hidden="1">
      <c r="B10" s="320" t="s">
        <v>317</v>
      </c>
    </row>
    <row r="11" spans="2:10" s="320" customFormat="1" hidden="1">
      <c r="B11" s="320" t="s">
        <v>313</v>
      </c>
    </row>
    <row r="12" spans="2:10" s="320" customFormat="1" hidden="1">
      <c r="B12" s="320" t="s">
        <v>318</v>
      </c>
    </row>
    <row r="13" spans="2:10" s="320" customFormat="1" hidden="1"/>
    <row r="14" spans="2:10" s="320" customFormat="1" hidden="1">
      <c r="B14" s="320" t="s">
        <v>398</v>
      </c>
    </row>
    <row r="15" spans="2:10" s="320" customFormat="1" hidden="1">
      <c r="B15" s="320" t="s">
        <v>399</v>
      </c>
    </row>
    <row r="16" spans="2:10" s="320" customFormat="1" hidden="1"/>
    <row r="17" spans="2:34" s="321" customFormat="1" ht="15.75" thickBot="1">
      <c r="B17" s="321" t="s">
        <v>465</v>
      </c>
    </row>
    <row r="18" spans="2:34">
      <c r="B18" s="514">
        <v>2013</v>
      </c>
      <c r="C18" s="514"/>
      <c r="D18" s="514"/>
      <c r="E18" s="514"/>
      <c r="F18" s="514"/>
      <c r="G18" s="514"/>
      <c r="H18" s="514"/>
      <c r="I18" s="514"/>
      <c r="J18" s="514"/>
      <c r="K18" s="514"/>
      <c r="L18" s="514"/>
      <c r="M18" s="514"/>
      <c r="N18" s="514">
        <v>2014</v>
      </c>
      <c r="O18" s="514"/>
      <c r="P18" s="514"/>
      <c r="Q18" s="514"/>
      <c r="R18" s="514"/>
      <c r="S18" s="514"/>
      <c r="T18" s="514"/>
      <c r="U18" s="514"/>
      <c r="V18" s="514"/>
      <c r="W18" s="514"/>
      <c r="X18" s="514"/>
      <c r="Y18" s="514"/>
    </row>
    <row r="19" spans="2:34" ht="15.75" thickBot="1">
      <c r="B19" s="228" t="s">
        <v>258</v>
      </c>
      <c r="C19" s="228" t="s">
        <v>259</v>
      </c>
      <c r="D19" s="228" t="s">
        <v>260</v>
      </c>
      <c r="E19" s="228" t="s">
        <v>261</v>
      </c>
      <c r="F19" s="228" t="s">
        <v>262</v>
      </c>
      <c r="G19" s="228" t="s">
        <v>263</v>
      </c>
      <c r="H19" s="228" t="s">
        <v>264</v>
      </c>
      <c r="I19" s="228" t="s">
        <v>265</v>
      </c>
      <c r="J19" s="228" t="s">
        <v>266</v>
      </c>
      <c r="K19" s="228" t="s">
        <v>267</v>
      </c>
      <c r="L19" s="228" t="s">
        <v>268</v>
      </c>
      <c r="M19" s="228" t="s">
        <v>269</v>
      </c>
      <c r="N19" s="228" t="s">
        <v>258</v>
      </c>
      <c r="O19" s="228" t="s">
        <v>259</v>
      </c>
      <c r="P19" s="228" t="s">
        <v>260</v>
      </c>
      <c r="Q19" s="228" t="s">
        <v>261</v>
      </c>
      <c r="R19" s="228" t="s">
        <v>262</v>
      </c>
      <c r="S19" s="228" t="s">
        <v>263</v>
      </c>
      <c r="T19" s="228" t="s">
        <v>264</v>
      </c>
      <c r="U19" s="228" t="s">
        <v>265</v>
      </c>
      <c r="V19" s="228" t="s">
        <v>266</v>
      </c>
      <c r="W19" s="228" t="s">
        <v>267</v>
      </c>
      <c r="X19" s="228" t="s">
        <v>268</v>
      </c>
      <c r="Y19" s="228" t="s">
        <v>269</v>
      </c>
    </row>
    <row r="20" spans="2:34" ht="15.75" thickBot="1">
      <c r="B20" s="242"/>
      <c r="C20" s="243">
        <v>254</v>
      </c>
      <c r="D20" s="244"/>
      <c r="E20" s="243">
        <v>255</v>
      </c>
      <c r="F20" s="244"/>
      <c r="G20" s="243">
        <v>256</v>
      </c>
      <c r="H20" s="244"/>
      <c r="I20" s="246"/>
      <c r="J20" s="246">
        <v>257</v>
      </c>
      <c r="K20" s="244"/>
      <c r="L20" s="243">
        <v>258</v>
      </c>
      <c r="M20" s="245"/>
      <c r="N20" s="242"/>
      <c r="O20" s="244"/>
      <c r="P20" s="244"/>
      <c r="Q20" s="243">
        <v>311</v>
      </c>
      <c r="R20" s="244"/>
      <c r="S20" s="243">
        <v>312</v>
      </c>
      <c r="T20" s="244"/>
      <c r="U20" s="246">
        <v>313</v>
      </c>
      <c r="V20" s="244"/>
      <c r="W20" s="246"/>
      <c r="X20" s="246">
        <v>314</v>
      </c>
      <c r="Y20" s="245"/>
      <c r="AF20" t="s">
        <v>561</v>
      </c>
      <c r="AG20" t="s">
        <v>292</v>
      </c>
      <c r="AH20" t="s">
        <v>2</v>
      </c>
    </row>
    <row r="21" spans="2:34" ht="15.75" thickBot="1">
      <c r="B21" s="264" t="s">
        <v>466</v>
      </c>
      <c r="AF21">
        <v>254</v>
      </c>
      <c r="AG21" t="s">
        <v>0</v>
      </c>
      <c r="AH21" t="s">
        <v>4</v>
      </c>
    </row>
    <row r="22" spans="2:34">
      <c r="B22" s="298" t="s">
        <v>420</v>
      </c>
      <c r="C22" s="226"/>
      <c r="D22" s="302">
        <v>255</v>
      </c>
      <c r="E22" s="226" t="s">
        <v>421</v>
      </c>
      <c r="F22" s="226"/>
      <c r="G22" s="300">
        <v>254</v>
      </c>
      <c r="L22" s="298" t="s">
        <v>299</v>
      </c>
      <c r="M22" s="226"/>
      <c r="N22" s="227"/>
      <c r="AF22">
        <v>255</v>
      </c>
      <c r="AG22" t="s">
        <v>1</v>
      </c>
      <c r="AH22" t="s">
        <v>3</v>
      </c>
    </row>
    <row r="23" spans="2:34">
      <c r="B23" s="260" t="s">
        <v>292</v>
      </c>
      <c r="C23" s="228"/>
      <c r="D23" s="581" t="s">
        <v>0</v>
      </c>
      <c r="E23" s="582"/>
      <c r="F23" s="228"/>
      <c r="G23" s="229"/>
      <c r="L23" s="260"/>
      <c r="M23" s="306">
        <v>7.3</v>
      </c>
      <c r="N23" s="229" t="s">
        <v>417</v>
      </c>
      <c r="AF23">
        <v>256</v>
      </c>
      <c r="AG23" t="s">
        <v>560</v>
      </c>
      <c r="AH23" t="s">
        <v>559</v>
      </c>
    </row>
    <row r="24" spans="2:34" ht="15.75" thickBot="1">
      <c r="B24" s="260" t="s">
        <v>2</v>
      </c>
      <c r="C24" s="228"/>
      <c r="D24" s="581" t="s">
        <v>4</v>
      </c>
      <c r="E24" s="582"/>
      <c r="F24" s="228"/>
      <c r="G24" s="229"/>
      <c r="L24" s="296"/>
      <c r="M24" s="303">
        <v>0.87</v>
      </c>
      <c r="N24" s="231" t="s">
        <v>418</v>
      </c>
      <c r="AF24">
        <v>258</v>
      </c>
    </row>
    <row r="25" spans="2:34">
      <c r="B25" s="260" t="s">
        <v>400</v>
      </c>
      <c r="C25" s="228"/>
      <c r="D25" s="305">
        <v>41306</v>
      </c>
      <c r="E25" s="228"/>
      <c r="F25" s="228"/>
      <c r="G25" s="229"/>
      <c r="AF25">
        <v>311</v>
      </c>
    </row>
    <row r="26" spans="2:34" ht="15.75" thickBot="1">
      <c r="B26" s="296" t="s">
        <v>401</v>
      </c>
      <c r="C26" s="230"/>
      <c r="D26" s="230"/>
      <c r="E26" s="299" t="s">
        <v>556</v>
      </c>
      <c r="F26" s="230"/>
      <c r="G26" s="231"/>
      <c r="L26" s="228"/>
      <c r="M26" s="228"/>
      <c r="N26" s="228"/>
      <c r="AF26">
        <v>312</v>
      </c>
    </row>
    <row r="27" spans="2:34" ht="15.75" thickBot="1">
      <c r="E27" s="293"/>
      <c r="L27" s="228"/>
      <c r="M27" s="228"/>
      <c r="N27" s="228"/>
      <c r="AF27">
        <v>313</v>
      </c>
    </row>
    <row r="28" spans="2:34">
      <c r="B28" s="576" t="s">
        <v>411</v>
      </c>
      <c r="C28" s="579" t="s">
        <v>412</v>
      </c>
      <c r="D28" s="226" t="s">
        <v>415</v>
      </c>
      <c r="E28" s="226" t="s">
        <v>414</v>
      </c>
      <c r="F28" s="226"/>
      <c r="G28" s="307">
        <v>42370</v>
      </c>
      <c r="AF28">
        <v>314</v>
      </c>
    </row>
    <row r="29" spans="2:34" ht="15.75" thickBot="1">
      <c r="B29" s="577"/>
      <c r="C29" s="580"/>
      <c r="D29" s="228" t="s">
        <v>416</v>
      </c>
      <c r="E29" s="228" t="s">
        <v>414</v>
      </c>
      <c r="F29" s="228"/>
      <c r="G29" s="301"/>
    </row>
    <row r="30" spans="2:34" ht="15.75" thickBot="1">
      <c r="B30" s="578"/>
      <c r="C30" s="304" t="s">
        <v>413</v>
      </c>
      <c r="D30" s="230"/>
      <c r="E30" s="230"/>
      <c r="F30" s="230"/>
      <c r="G30" s="231"/>
      <c r="L30" s="298" t="s">
        <v>450</v>
      </c>
      <c r="M30" s="226"/>
      <c r="N30" s="226"/>
      <c r="O30" s="226"/>
      <c r="P30" s="227"/>
    </row>
    <row r="31" spans="2:34" ht="15.75" thickBot="1">
      <c r="L31" s="296">
        <v>0.95</v>
      </c>
      <c r="M31" s="230"/>
      <c r="N31" s="230"/>
      <c r="O31" s="230"/>
      <c r="P31" s="231"/>
    </row>
    <row r="32" spans="2:34">
      <c r="B32" s="298" t="s">
        <v>0</v>
      </c>
      <c r="C32" s="226"/>
      <c r="D32" s="226" t="s">
        <v>445</v>
      </c>
      <c r="E32" s="226"/>
      <c r="F32" s="302">
        <v>60</v>
      </c>
      <c r="G32" s="227" t="s">
        <v>409</v>
      </c>
      <c r="L32" s="298" t="s">
        <v>562</v>
      </c>
      <c r="M32" s="226"/>
      <c r="N32" s="226"/>
      <c r="O32" s="226"/>
      <c r="P32" s="227"/>
    </row>
    <row r="33" spans="1:258" ht="15.75" thickBot="1">
      <c r="B33" s="260"/>
      <c r="C33" s="228"/>
      <c r="D33" s="228" t="s">
        <v>446</v>
      </c>
      <c r="E33" s="228"/>
      <c r="F33" s="317">
        <v>100</v>
      </c>
      <c r="G33" s="229" t="s">
        <v>410</v>
      </c>
      <c r="L33" s="296">
        <v>1</v>
      </c>
      <c r="M33" s="230"/>
      <c r="N33" s="230"/>
      <c r="O33" s="230"/>
      <c r="P33" s="231"/>
    </row>
    <row r="34" spans="1:258">
      <c r="B34" s="260"/>
      <c r="C34" s="228"/>
      <c r="D34" s="239" t="s">
        <v>302</v>
      </c>
      <c r="E34" s="228"/>
      <c r="F34" s="317">
        <v>400</v>
      </c>
      <c r="G34" s="229" t="s">
        <v>457</v>
      </c>
    </row>
    <row r="35" spans="1:258" ht="15.75" thickBot="1">
      <c r="B35" s="296" t="s">
        <v>1</v>
      </c>
      <c r="C35" s="230"/>
      <c r="D35" s="230" t="s">
        <v>407</v>
      </c>
      <c r="E35" s="230"/>
      <c r="F35" s="303">
        <v>200</v>
      </c>
      <c r="G35" s="231" t="s">
        <v>410</v>
      </c>
    </row>
    <row r="36" spans="1:258">
      <c r="A36" t="s">
        <v>442</v>
      </c>
    </row>
    <row r="37" spans="1:258">
      <c r="A37" t="s">
        <v>443</v>
      </c>
    </row>
    <row r="38" spans="1:258">
      <c r="A38" t="s">
        <v>444</v>
      </c>
      <c r="E38" s="460"/>
      <c r="F38" s="460"/>
      <c r="G38" s="460"/>
      <c r="H38" s="460"/>
      <c r="I38" s="460"/>
      <c r="J38" s="460"/>
      <c r="K38" s="460"/>
      <c r="L38" s="460"/>
      <c r="M38" s="460"/>
      <c r="N38" s="460"/>
      <c r="O38" s="460"/>
      <c r="P38" s="460"/>
    </row>
    <row r="39" spans="1:258">
      <c r="A39" t="s">
        <v>459</v>
      </c>
      <c r="E39" s="450">
        <v>41275</v>
      </c>
      <c r="F39" s="450">
        <v>41306</v>
      </c>
      <c r="G39" s="450">
        <v>41334</v>
      </c>
      <c r="H39" s="450">
        <v>41365</v>
      </c>
      <c r="I39" s="450">
        <v>41395</v>
      </c>
      <c r="J39" s="450">
        <v>41426</v>
      </c>
      <c r="K39" s="450">
        <v>41456</v>
      </c>
      <c r="L39" s="450">
        <v>41487</v>
      </c>
      <c r="M39" s="450">
        <v>41518</v>
      </c>
      <c r="N39" s="450">
        <v>41548</v>
      </c>
      <c r="O39" s="450">
        <v>41579</v>
      </c>
      <c r="P39" s="450">
        <v>41609</v>
      </c>
      <c r="Q39" s="450">
        <v>41640</v>
      </c>
      <c r="R39" s="450">
        <v>41671</v>
      </c>
      <c r="S39" s="450">
        <v>41699</v>
      </c>
      <c r="T39" s="450">
        <v>41730</v>
      </c>
      <c r="U39" s="450">
        <v>41760</v>
      </c>
      <c r="V39" s="450">
        <v>41791</v>
      </c>
      <c r="W39" s="450">
        <v>41821</v>
      </c>
      <c r="X39" s="450">
        <v>41852</v>
      </c>
      <c r="Y39" s="450">
        <v>41883</v>
      </c>
      <c r="Z39" s="450">
        <v>41913</v>
      </c>
      <c r="AA39" s="450">
        <v>41944</v>
      </c>
      <c r="AB39" s="450">
        <v>41974</v>
      </c>
      <c r="AC39" s="450">
        <v>42005</v>
      </c>
      <c r="AD39" s="450">
        <v>42036</v>
      </c>
      <c r="AE39" s="450">
        <v>42064</v>
      </c>
      <c r="AF39" s="450">
        <v>42095</v>
      </c>
      <c r="AG39" s="450">
        <v>42125</v>
      </c>
      <c r="AH39" s="450">
        <v>42156</v>
      </c>
      <c r="AI39" s="450">
        <v>42186</v>
      </c>
      <c r="AJ39" s="450">
        <v>42217</v>
      </c>
      <c r="AK39" s="450">
        <v>42248</v>
      </c>
      <c r="AL39" s="450">
        <v>42278</v>
      </c>
      <c r="AM39" s="450">
        <v>42309</v>
      </c>
      <c r="AN39" s="450">
        <v>42339</v>
      </c>
      <c r="AO39" s="450">
        <v>42370</v>
      </c>
      <c r="AP39" s="450">
        <v>42401</v>
      </c>
      <c r="AQ39" s="450">
        <v>42430</v>
      </c>
      <c r="AR39" s="450">
        <v>42461</v>
      </c>
      <c r="AS39" s="450">
        <v>42491</v>
      </c>
      <c r="AT39" s="450">
        <v>42522</v>
      </c>
      <c r="AU39" s="450">
        <v>42552</v>
      </c>
      <c r="AV39" s="450">
        <v>42583</v>
      </c>
      <c r="AW39" s="450">
        <v>42614</v>
      </c>
      <c r="AX39" s="450">
        <v>42644</v>
      </c>
      <c r="AY39" s="450">
        <v>42675</v>
      </c>
      <c r="AZ39" s="450">
        <v>42705</v>
      </c>
      <c r="BA39" s="450">
        <v>42736</v>
      </c>
      <c r="BB39" s="450">
        <v>42767</v>
      </c>
      <c r="BC39" s="450">
        <v>42795</v>
      </c>
      <c r="BD39" s="450">
        <v>42826</v>
      </c>
      <c r="BE39" s="450">
        <v>42856</v>
      </c>
      <c r="BF39" s="450">
        <v>42887</v>
      </c>
      <c r="BG39" s="450">
        <v>42917</v>
      </c>
      <c r="BH39" s="450">
        <v>42948</v>
      </c>
      <c r="BI39" s="450">
        <v>42979</v>
      </c>
      <c r="BJ39" s="450">
        <v>43009</v>
      </c>
      <c r="BK39" s="450">
        <v>43040</v>
      </c>
      <c r="BL39" s="450">
        <v>43070</v>
      </c>
      <c r="BM39" s="450">
        <v>43101</v>
      </c>
      <c r="BN39" s="450">
        <v>43132</v>
      </c>
      <c r="BO39" s="450">
        <v>43160</v>
      </c>
      <c r="BP39" s="450">
        <v>43191</v>
      </c>
      <c r="BQ39" s="450">
        <v>43221</v>
      </c>
      <c r="BR39" s="450">
        <v>43252</v>
      </c>
      <c r="BS39" s="450">
        <v>43282</v>
      </c>
      <c r="BT39" s="450">
        <v>43313</v>
      </c>
      <c r="BU39" s="450">
        <v>43344</v>
      </c>
      <c r="BV39" s="450">
        <v>43374</v>
      </c>
      <c r="BW39" s="450">
        <v>43405</v>
      </c>
      <c r="BX39" s="450">
        <v>43435</v>
      </c>
      <c r="BY39" s="450">
        <v>43466</v>
      </c>
      <c r="BZ39" s="450">
        <v>43497</v>
      </c>
      <c r="CA39" s="450">
        <v>43525</v>
      </c>
      <c r="CB39" s="450">
        <v>43556</v>
      </c>
      <c r="CC39" s="450">
        <v>43586</v>
      </c>
      <c r="CD39" s="450">
        <v>43617</v>
      </c>
      <c r="CE39" s="450">
        <v>43647</v>
      </c>
      <c r="CF39" s="450">
        <v>43678</v>
      </c>
      <c r="CG39" s="450">
        <v>43709</v>
      </c>
      <c r="CH39" s="450">
        <v>43739</v>
      </c>
      <c r="CI39" s="450">
        <v>43770</v>
      </c>
      <c r="CJ39" s="450">
        <v>43800</v>
      </c>
      <c r="CK39" s="450">
        <v>43831</v>
      </c>
      <c r="CL39" s="450">
        <v>43862</v>
      </c>
      <c r="CM39" s="450">
        <v>43891</v>
      </c>
      <c r="CN39" s="450">
        <v>43922</v>
      </c>
      <c r="CO39" s="450">
        <v>43952</v>
      </c>
      <c r="CP39" s="450">
        <v>43983</v>
      </c>
      <c r="CQ39" s="450">
        <v>44013</v>
      </c>
      <c r="CR39" s="450">
        <v>44044</v>
      </c>
      <c r="CS39" s="450">
        <v>44075</v>
      </c>
      <c r="CT39" s="450">
        <v>44105</v>
      </c>
      <c r="CU39" s="450">
        <v>44136</v>
      </c>
      <c r="CV39" s="450">
        <v>44166</v>
      </c>
      <c r="CW39" s="450">
        <v>44197</v>
      </c>
      <c r="CX39" s="450">
        <v>44228</v>
      </c>
      <c r="CY39" s="450">
        <v>44256</v>
      </c>
      <c r="CZ39" s="450">
        <v>44287</v>
      </c>
      <c r="DA39" s="450">
        <v>44317</v>
      </c>
      <c r="DB39" s="450">
        <v>44348</v>
      </c>
      <c r="DC39" s="450">
        <v>44378</v>
      </c>
      <c r="DD39" s="450">
        <v>44409</v>
      </c>
      <c r="DE39" s="450">
        <v>44440</v>
      </c>
      <c r="DF39" s="450">
        <v>44470</v>
      </c>
      <c r="DG39" s="450">
        <v>44501</v>
      </c>
      <c r="DH39" s="450">
        <v>44531</v>
      </c>
      <c r="DI39" s="450">
        <v>44562</v>
      </c>
      <c r="DJ39" s="450">
        <v>44593</v>
      </c>
      <c r="DK39" s="450">
        <v>44621</v>
      </c>
      <c r="DL39" s="450">
        <v>44652</v>
      </c>
      <c r="DM39" s="450">
        <v>44682</v>
      </c>
      <c r="DN39" s="450">
        <v>44713</v>
      </c>
      <c r="DO39" s="450">
        <v>44743</v>
      </c>
      <c r="DP39" s="450">
        <v>44774</v>
      </c>
      <c r="DQ39" s="450">
        <v>44805</v>
      </c>
      <c r="DR39" s="450">
        <v>44835</v>
      </c>
      <c r="DS39" s="450">
        <v>44866</v>
      </c>
      <c r="DT39" s="450">
        <v>44896</v>
      </c>
      <c r="DU39" s="450">
        <v>44927</v>
      </c>
      <c r="DV39" s="450">
        <v>44958</v>
      </c>
      <c r="DW39" s="450">
        <v>44986</v>
      </c>
      <c r="DX39" s="450">
        <v>45017</v>
      </c>
      <c r="DY39" s="450">
        <v>45047</v>
      </c>
      <c r="DZ39" s="450">
        <v>45078</v>
      </c>
      <c r="EA39" s="450">
        <v>45108</v>
      </c>
      <c r="EB39" s="450">
        <v>45139</v>
      </c>
      <c r="EC39" s="450">
        <v>45170</v>
      </c>
      <c r="ED39" s="450">
        <v>45200</v>
      </c>
      <c r="EE39" s="450">
        <v>45231</v>
      </c>
      <c r="EF39" s="450">
        <v>45261</v>
      </c>
      <c r="EG39" s="450">
        <v>45292</v>
      </c>
      <c r="EH39" s="450">
        <v>45323</v>
      </c>
      <c r="EI39" s="450">
        <v>45352</v>
      </c>
      <c r="EJ39" s="450">
        <v>45383</v>
      </c>
      <c r="EK39" s="450">
        <v>45413</v>
      </c>
      <c r="EL39" s="450">
        <v>45444</v>
      </c>
      <c r="EM39" s="450">
        <v>45474</v>
      </c>
      <c r="EN39" s="450">
        <v>45505</v>
      </c>
      <c r="EO39" s="450">
        <v>45536</v>
      </c>
      <c r="EP39" s="450">
        <v>45566</v>
      </c>
      <c r="EQ39" s="450">
        <v>45597</v>
      </c>
      <c r="ER39" s="450">
        <v>45627</v>
      </c>
      <c r="ES39" s="450">
        <v>45658</v>
      </c>
      <c r="ET39" s="450">
        <v>45689</v>
      </c>
      <c r="EU39" s="450">
        <v>45717</v>
      </c>
      <c r="EV39" s="450">
        <v>45748</v>
      </c>
      <c r="EW39" s="450">
        <v>45778</v>
      </c>
      <c r="EX39" s="450">
        <v>45809</v>
      </c>
      <c r="EY39" s="450">
        <v>45839</v>
      </c>
      <c r="EZ39" s="450">
        <v>45870</v>
      </c>
      <c r="FA39" s="450">
        <v>45901</v>
      </c>
      <c r="FB39" s="450">
        <v>45931</v>
      </c>
      <c r="FC39" s="450">
        <v>45962</v>
      </c>
      <c r="FD39" s="450">
        <v>45992</v>
      </c>
      <c r="FE39" s="450">
        <v>46023</v>
      </c>
      <c r="FF39" s="450">
        <v>46054</v>
      </c>
      <c r="FG39" s="450">
        <v>46082</v>
      </c>
      <c r="FH39" s="450">
        <v>46113</v>
      </c>
      <c r="FI39" s="450">
        <v>46143</v>
      </c>
      <c r="FJ39" s="450">
        <v>46174</v>
      </c>
      <c r="FK39" s="450">
        <v>46204</v>
      </c>
      <c r="FL39" s="450">
        <v>46235</v>
      </c>
      <c r="FM39" s="450">
        <v>46266</v>
      </c>
      <c r="FN39" s="450">
        <v>46296</v>
      </c>
      <c r="FO39" s="450">
        <v>46327</v>
      </c>
      <c r="FP39" s="450">
        <v>46357</v>
      </c>
      <c r="FQ39" s="450">
        <v>46388</v>
      </c>
      <c r="FR39" s="450">
        <v>46419</v>
      </c>
      <c r="FS39" s="450">
        <v>46447</v>
      </c>
      <c r="FT39" s="450">
        <v>46478</v>
      </c>
      <c r="FU39" s="450">
        <v>46508</v>
      </c>
      <c r="FV39" s="450">
        <v>46539</v>
      </c>
      <c r="FW39" s="450">
        <v>46569</v>
      </c>
      <c r="FX39" s="450">
        <v>46600</v>
      </c>
      <c r="FY39" s="450">
        <v>46631</v>
      </c>
      <c r="FZ39" s="450">
        <v>46661</v>
      </c>
      <c r="GA39" s="450">
        <v>46692</v>
      </c>
      <c r="GB39" s="450">
        <v>46722</v>
      </c>
      <c r="GC39" s="450">
        <v>46753</v>
      </c>
      <c r="GD39" s="450">
        <v>46784</v>
      </c>
      <c r="GE39" s="450">
        <v>46813</v>
      </c>
      <c r="GF39" s="450">
        <v>46844</v>
      </c>
      <c r="GG39" s="450">
        <v>46874</v>
      </c>
      <c r="GH39" s="450">
        <v>46905</v>
      </c>
      <c r="GI39" s="450">
        <v>46935</v>
      </c>
      <c r="GJ39" s="450">
        <v>46966</v>
      </c>
      <c r="GK39" s="450">
        <v>46997</v>
      </c>
      <c r="GL39" s="450">
        <v>47027</v>
      </c>
      <c r="GM39" s="450">
        <v>47058</v>
      </c>
      <c r="GN39" s="450">
        <v>47088</v>
      </c>
      <c r="GO39" s="450">
        <v>47119</v>
      </c>
      <c r="GP39" s="450">
        <v>47150</v>
      </c>
      <c r="GQ39" s="450">
        <v>47178</v>
      </c>
      <c r="GR39" s="450">
        <v>47209</v>
      </c>
      <c r="GS39" s="450">
        <v>47239</v>
      </c>
      <c r="GT39" s="450">
        <v>47270</v>
      </c>
      <c r="GU39" s="450">
        <v>47300</v>
      </c>
      <c r="GV39" s="450">
        <v>47331</v>
      </c>
      <c r="GW39" s="450">
        <v>47362</v>
      </c>
      <c r="GX39" s="450">
        <v>47392</v>
      </c>
      <c r="GY39" s="450">
        <v>47423</v>
      </c>
      <c r="GZ39" s="450">
        <v>47453</v>
      </c>
      <c r="HA39" s="450">
        <v>47484</v>
      </c>
      <c r="HB39" s="450">
        <v>47515</v>
      </c>
      <c r="HC39" s="450">
        <v>47543</v>
      </c>
      <c r="HD39" s="450">
        <v>47574</v>
      </c>
      <c r="HE39" s="450">
        <v>47604</v>
      </c>
      <c r="HF39" s="450">
        <v>47635</v>
      </c>
      <c r="HG39" s="450">
        <v>47665</v>
      </c>
      <c r="HH39" s="450">
        <v>47696</v>
      </c>
      <c r="HI39" s="450">
        <v>47727</v>
      </c>
      <c r="HJ39" s="450">
        <v>47757</v>
      </c>
      <c r="HK39" s="450">
        <v>47788</v>
      </c>
      <c r="HL39" s="450">
        <v>47818</v>
      </c>
      <c r="HM39" s="450">
        <v>47849</v>
      </c>
      <c r="HN39" s="450">
        <v>47880</v>
      </c>
      <c r="HO39" s="450">
        <v>47908</v>
      </c>
      <c r="HP39" s="450">
        <v>47939</v>
      </c>
      <c r="HQ39" s="450">
        <v>47969</v>
      </c>
      <c r="HR39" s="450">
        <v>48000</v>
      </c>
      <c r="HS39" s="450">
        <v>48030</v>
      </c>
      <c r="HT39" s="450">
        <v>48061</v>
      </c>
      <c r="HU39" s="450">
        <v>48092</v>
      </c>
      <c r="HV39" s="450">
        <v>48122</v>
      </c>
      <c r="HW39" s="450">
        <v>48153</v>
      </c>
      <c r="HX39" s="450">
        <v>48183</v>
      </c>
      <c r="HY39" s="450">
        <v>48214</v>
      </c>
      <c r="HZ39" s="450">
        <v>48245</v>
      </c>
      <c r="IA39" s="450">
        <v>48274</v>
      </c>
      <c r="IB39" s="450">
        <v>48305</v>
      </c>
      <c r="IC39" s="450">
        <v>48335</v>
      </c>
      <c r="ID39" s="450">
        <v>48366</v>
      </c>
      <c r="IE39" s="450">
        <v>48396</v>
      </c>
      <c r="IF39" s="450">
        <v>48427</v>
      </c>
      <c r="IG39" s="450">
        <v>48458</v>
      </c>
      <c r="IH39" s="450">
        <v>48488</v>
      </c>
      <c r="II39" s="450">
        <v>48519</v>
      </c>
      <c r="IJ39" s="450">
        <v>48549</v>
      </c>
      <c r="IK39" s="450">
        <v>48580</v>
      </c>
      <c r="IL39" s="450">
        <v>48611</v>
      </c>
      <c r="IM39" s="450">
        <v>48639</v>
      </c>
      <c r="IN39" s="450">
        <v>48670</v>
      </c>
      <c r="IO39" s="450">
        <v>48700</v>
      </c>
      <c r="IP39" s="450">
        <v>48731</v>
      </c>
      <c r="IQ39" s="450">
        <v>48761</v>
      </c>
      <c r="IR39" s="450">
        <v>48792</v>
      </c>
      <c r="IS39" s="450">
        <v>48823</v>
      </c>
      <c r="IT39" s="450">
        <v>48853</v>
      </c>
      <c r="IU39" s="450">
        <v>48884</v>
      </c>
      <c r="IV39" s="450">
        <v>48914</v>
      </c>
      <c r="IW39" s="316">
        <v>48945</v>
      </c>
      <c r="IX39" s="318" t="s">
        <v>451</v>
      </c>
    </row>
    <row r="40" spans="1:258" ht="6.75" customHeight="1">
      <c r="E40" s="322">
        <v>1</v>
      </c>
      <c r="Q40" s="322">
        <v>2</v>
      </c>
      <c r="AC40" s="322">
        <v>3</v>
      </c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>
        <v>4</v>
      </c>
      <c r="AP40" s="322"/>
      <c r="AQ40" s="322"/>
      <c r="AR40" s="322"/>
      <c r="AS40" s="322"/>
      <c r="AT40" s="322"/>
      <c r="AU40" s="322"/>
      <c r="AV40" s="322"/>
      <c r="AW40" s="322"/>
      <c r="AX40" s="322"/>
      <c r="AY40" s="322"/>
      <c r="AZ40" s="322"/>
      <c r="BA40" s="322">
        <v>5</v>
      </c>
      <c r="BB40" s="322"/>
      <c r="BC40" s="322"/>
      <c r="BD40" s="322"/>
      <c r="BE40" s="322"/>
      <c r="BF40" s="322"/>
      <c r="BG40" s="322"/>
      <c r="BH40" s="322"/>
      <c r="BI40" s="322"/>
      <c r="BJ40" s="322"/>
      <c r="BK40" s="322"/>
      <c r="BL40" s="322"/>
      <c r="BM40" s="322">
        <v>6</v>
      </c>
      <c r="BN40" s="322"/>
      <c r="BO40" s="322"/>
      <c r="BP40" s="322"/>
      <c r="BQ40" s="322"/>
      <c r="BR40" s="322"/>
      <c r="BS40" s="322"/>
      <c r="BT40" s="322"/>
      <c r="BU40" s="322"/>
      <c r="BV40" s="322"/>
      <c r="BW40" s="322"/>
      <c r="BX40" s="322"/>
      <c r="BY40" s="322">
        <v>7</v>
      </c>
      <c r="BZ40" s="322"/>
      <c r="CA40" s="322"/>
      <c r="CB40" s="322"/>
      <c r="CC40" s="322"/>
      <c r="CD40" s="322"/>
      <c r="CE40" s="322"/>
      <c r="CF40" s="322"/>
      <c r="CG40" s="322"/>
      <c r="CH40" s="322"/>
      <c r="CI40" s="322"/>
      <c r="CJ40" s="322"/>
      <c r="CK40" s="322">
        <v>8</v>
      </c>
      <c r="CL40" s="322"/>
      <c r="CM40" s="322"/>
      <c r="CN40" s="322"/>
      <c r="CO40" s="322"/>
      <c r="CP40" s="322"/>
      <c r="CQ40" s="322"/>
      <c r="CR40" s="322"/>
      <c r="CS40" s="322"/>
      <c r="CT40" s="322"/>
      <c r="CU40" s="322"/>
      <c r="CV40" s="322"/>
      <c r="CW40" s="322">
        <v>9</v>
      </c>
      <c r="CX40" s="322"/>
      <c r="CY40" s="322"/>
      <c r="CZ40" s="322"/>
      <c r="DA40" s="322"/>
      <c r="DB40" s="322"/>
      <c r="DC40" s="322"/>
      <c r="DD40" s="322"/>
      <c r="DE40" s="322"/>
      <c r="DF40" s="322"/>
      <c r="DG40" s="322"/>
      <c r="DH40" s="322"/>
      <c r="DI40" s="322">
        <v>10</v>
      </c>
      <c r="DJ40" s="322"/>
      <c r="DK40" s="322"/>
      <c r="DL40" s="322"/>
      <c r="DM40" s="322"/>
      <c r="DN40" s="322"/>
      <c r="DO40" s="322"/>
      <c r="DP40" s="322"/>
      <c r="DQ40" s="322"/>
      <c r="DR40" s="322"/>
      <c r="DS40" s="322"/>
      <c r="DT40" s="322"/>
      <c r="DU40" s="322">
        <v>11</v>
      </c>
      <c r="DV40" s="322"/>
      <c r="DW40" s="322"/>
      <c r="DX40" s="322"/>
      <c r="DY40" s="322"/>
      <c r="DZ40" s="322"/>
      <c r="EA40" s="322"/>
      <c r="EB40" s="322"/>
      <c r="EC40" s="322"/>
      <c r="ED40" s="322"/>
      <c r="EE40" s="322"/>
      <c r="EF40" s="322"/>
      <c r="EG40" s="322">
        <v>12</v>
      </c>
      <c r="EH40" s="322"/>
      <c r="EI40" s="322"/>
      <c r="EJ40" s="322"/>
      <c r="EK40" s="322"/>
      <c r="EL40" s="322"/>
      <c r="EM40" s="322"/>
      <c r="EN40" s="322"/>
      <c r="EO40" s="322"/>
      <c r="EP40" s="322"/>
      <c r="EQ40" s="322"/>
      <c r="ER40" s="322"/>
      <c r="ES40" s="322">
        <v>13</v>
      </c>
      <c r="ET40" s="322"/>
      <c r="EU40" s="322"/>
      <c r="EV40" s="322"/>
      <c r="EW40" s="322"/>
      <c r="EX40" s="322"/>
      <c r="EY40" s="322"/>
      <c r="EZ40" s="322"/>
      <c r="FA40" s="322"/>
      <c r="FB40" s="322"/>
      <c r="FC40" s="322"/>
      <c r="FD40" s="322"/>
      <c r="FE40" s="322">
        <v>14</v>
      </c>
      <c r="FF40" s="322"/>
      <c r="FG40" s="322"/>
      <c r="FH40" s="322"/>
      <c r="FI40" s="322"/>
      <c r="FJ40" s="322"/>
      <c r="FK40" s="322"/>
      <c r="FL40" s="322"/>
      <c r="FM40" s="322"/>
      <c r="FN40" s="322"/>
      <c r="FO40" s="322"/>
      <c r="FP40" s="322"/>
      <c r="FQ40" s="322">
        <v>15</v>
      </c>
      <c r="FR40" s="322"/>
      <c r="FS40" s="322"/>
      <c r="FT40" s="322"/>
      <c r="FU40" s="322"/>
      <c r="FV40" s="322"/>
      <c r="FW40" s="322"/>
      <c r="FX40" s="322"/>
      <c r="FY40" s="322"/>
      <c r="FZ40" s="322"/>
      <c r="GA40" s="322"/>
      <c r="GB40" s="322"/>
      <c r="GC40" s="322">
        <v>16</v>
      </c>
      <c r="GD40" s="322"/>
      <c r="GE40" s="322"/>
      <c r="GF40" s="322"/>
      <c r="GG40" s="322"/>
      <c r="GH40" s="322"/>
      <c r="GI40" s="322"/>
      <c r="GJ40" s="322"/>
      <c r="GK40" s="322"/>
      <c r="GL40" s="322"/>
      <c r="GM40" s="322"/>
      <c r="GN40" s="322"/>
      <c r="GO40" s="322">
        <v>17</v>
      </c>
      <c r="GP40" s="322"/>
      <c r="GQ40" s="322"/>
      <c r="GR40" s="322"/>
      <c r="GS40" s="322"/>
      <c r="GT40" s="322"/>
      <c r="GU40" s="322"/>
      <c r="GV40" s="322"/>
      <c r="GW40" s="322"/>
      <c r="GX40" s="322"/>
      <c r="GY40" s="322"/>
      <c r="GZ40" s="322"/>
      <c r="HA40" s="322">
        <v>18</v>
      </c>
      <c r="HB40" s="322"/>
      <c r="HC40" s="322"/>
      <c r="HD40" s="322"/>
      <c r="HE40" s="322"/>
      <c r="HF40" s="322"/>
      <c r="HG40" s="322"/>
      <c r="HH40" s="322"/>
      <c r="HI40" s="322"/>
      <c r="HJ40" s="322"/>
      <c r="HK40" s="322"/>
      <c r="HL40" s="322"/>
      <c r="HM40" s="322">
        <v>19</v>
      </c>
      <c r="HN40" s="322"/>
      <c r="HO40" s="322"/>
      <c r="HP40" s="322"/>
      <c r="HQ40" s="322"/>
      <c r="HR40" s="322"/>
      <c r="HS40" s="322"/>
      <c r="HT40" s="322"/>
      <c r="HU40" s="322"/>
      <c r="HV40" s="322"/>
      <c r="HW40" s="322"/>
      <c r="HX40" s="322"/>
      <c r="HY40" s="322">
        <v>20</v>
      </c>
      <c r="HZ40" s="322"/>
      <c r="IA40" s="322"/>
      <c r="IB40" s="322"/>
      <c r="IC40" s="322"/>
      <c r="ID40" s="322"/>
      <c r="IE40" s="322"/>
      <c r="IF40" s="322"/>
      <c r="IG40" s="322"/>
      <c r="IH40" s="322"/>
      <c r="II40" s="322"/>
      <c r="IJ40" s="322"/>
      <c r="IK40" s="322">
        <v>21</v>
      </c>
      <c r="IL40" s="322"/>
      <c r="IM40" s="322"/>
      <c r="IN40" s="322"/>
      <c r="IO40" s="322"/>
      <c r="IP40" s="322"/>
      <c r="IQ40" s="322"/>
      <c r="IR40" s="322"/>
      <c r="IS40" s="322"/>
      <c r="IT40" s="322"/>
      <c r="IU40" s="322"/>
      <c r="IV40" s="322"/>
      <c r="IW40" s="316"/>
    </row>
    <row r="41" spans="1:258">
      <c r="A41" s="319"/>
      <c r="B41" s="458" t="s">
        <v>557</v>
      </c>
      <c r="C41" s="458"/>
      <c r="D41" s="323"/>
      <c r="E41" s="451">
        <f>SUM(E42:E44)</f>
        <v>0</v>
      </c>
      <c r="F41" s="451">
        <f t="shared" ref="F41:BQ41" si="0">SUM(F42:F44)</f>
        <v>1</v>
      </c>
      <c r="G41" s="451">
        <f t="shared" si="0"/>
        <v>0</v>
      </c>
      <c r="H41" s="451">
        <f t="shared" si="0"/>
        <v>0</v>
      </c>
      <c r="I41" s="451">
        <f t="shared" si="0"/>
        <v>0</v>
      </c>
      <c r="J41" s="451">
        <f t="shared" si="0"/>
        <v>0</v>
      </c>
      <c r="K41" s="451">
        <f t="shared" si="0"/>
        <v>0</v>
      </c>
      <c r="L41" s="451">
        <f t="shared" si="0"/>
        <v>0</v>
      </c>
      <c r="M41" s="451">
        <f t="shared" si="0"/>
        <v>0</v>
      </c>
      <c r="N41" s="451">
        <f t="shared" si="0"/>
        <v>0</v>
      </c>
      <c r="O41" s="451">
        <f t="shared" si="0"/>
        <v>0</v>
      </c>
      <c r="P41" s="451">
        <f t="shared" si="0"/>
        <v>0</v>
      </c>
      <c r="Q41" s="451">
        <f t="shared" si="0"/>
        <v>0</v>
      </c>
      <c r="R41" s="451">
        <f t="shared" si="0"/>
        <v>0</v>
      </c>
      <c r="S41" s="451">
        <f t="shared" si="0"/>
        <v>0</v>
      </c>
      <c r="T41" s="451">
        <f t="shared" si="0"/>
        <v>0</v>
      </c>
      <c r="U41" s="451">
        <f t="shared" si="0"/>
        <v>0</v>
      </c>
      <c r="V41" s="451">
        <f t="shared" si="0"/>
        <v>0</v>
      </c>
      <c r="W41" s="451">
        <f t="shared" si="0"/>
        <v>0</v>
      </c>
      <c r="X41" s="451">
        <f t="shared" si="0"/>
        <v>0</v>
      </c>
      <c r="Y41" s="451">
        <f t="shared" si="0"/>
        <v>0</v>
      </c>
      <c r="Z41" s="451">
        <f t="shared" si="0"/>
        <v>0</v>
      </c>
      <c r="AA41" s="451">
        <f t="shared" si="0"/>
        <v>0</v>
      </c>
      <c r="AB41" s="451">
        <f t="shared" si="0"/>
        <v>0</v>
      </c>
      <c r="AC41" s="451">
        <f t="shared" si="0"/>
        <v>0</v>
      </c>
      <c r="AD41" s="451">
        <f t="shared" si="0"/>
        <v>0</v>
      </c>
      <c r="AE41" s="451">
        <f t="shared" si="0"/>
        <v>0</v>
      </c>
      <c r="AF41" s="451">
        <f t="shared" si="0"/>
        <v>0</v>
      </c>
      <c r="AG41" s="451">
        <f t="shared" si="0"/>
        <v>0</v>
      </c>
      <c r="AH41" s="451">
        <f t="shared" si="0"/>
        <v>0</v>
      </c>
      <c r="AI41" s="451">
        <f t="shared" si="0"/>
        <v>0</v>
      </c>
      <c r="AJ41" s="451">
        <f t="shared" si="0"/>
        <v>0</v>
      </c>
      <c r="AK41" s="451">
        <f t="shared" si="0"/>
        <v>0</v>
      </c>
      <c r="AL41" s="451">
        <f t="shared" si="0"/>
        <v>0</v>
      </c>
      <c r="AM41" s="451">
        <f t="shared" si="0"/>
        <v>0</v>
      </c>
      <c r="AN41" s="451">
        <f t="shared" si="0"/>
        <v>0</v>
      </c>
      <c r="AO41" s="451">
        <f t="shared" si="0"/>
        <v>0</v>
      </c>
      <c r="AP41" s="451">
        <f t="shared" si="0"/>
        <v>0</v>
      </c>
      <c r="AQ41" s="451">
        <f t="shared" si="0"/>
        <v>0</v>
      </c>
      <c r="AR41" s="451">
        <f t="shared" si="0"/>
        <v>0</v>
      </c>
      <c r="AS41" s="451">
        <f t="shared" si="0"/>
        <v>0</v>
      </c>
      <c r="AT41" s="451">
        <f t="shared" si="0"/>
        <v>0</v>
      </c>
      <c r="AU41" s="451">
        <f t="shared" si="0"/>
        <v>0</v>
      </c>
      <c r="AV41" s="451">
        <f t="shared" si="0"/>
        <v>0</v>
      </c>
      <c r="AW41" s="451">
        <f t="shared" si="0"/>
        <v>0</v>
      </c>
      <c r="AX41" s="451">
        <f t="shared" si="0"/>
        <v>0</v>
      </c>
      <c r="AY41" s="451">
        <f t="shared" si="0"/>
        <v>0</v>
      </c>
      <c r="AZ41" s="451">
        <f t="shared" si="0"/>
        <v>0</v>
      </c>
      <c r="BA41" s="451">
        <f t="shared" si="0"/>
        <v>0</v>
      </c>
      <c r="BB41" s="451">
        <f t="shared" si="0"/>
        <v>0</v>
      </c>
      <c r="BC41" s="451">
        <f t="shared" si="0"/>
        <v>0</v>
      </c>
      <c r="BD41" s="451">
        <f t="shared" si="0"/>
        <v>0</v>
      </c>
      <c r="BE41" s="451">
        <f t="shared" si="0"/>
        <v>0</v>
      </c>
      <c r="BF41" s="451">
        <f t="shared" si="0"/>
        <v>0</v>
      </c>
      <c r="BG41" s="451">
        <f t="shared" si="0"/>
        <v>0</v>
      </c>
      <c r="BH41" s="451">
        <f t="shared" si="0"/>
        <v>0</v>
      </c>
      <c r="BI41" s="451">
        <f t="shared" si="0"/>
        <v>0</v>
      </c>
      <c r="BJ41" s="451">
        <f t="shared" si="0"/>
        <v>0</v>
      </c>
      <c r="BK41" s="451">
        <f t="shared" si="0"/>
        <v>0</v>
      </c>
      <c r="BL41" s="451">
        <f t="shared" si="0"/>
        <v>0</v>
      </c>
      <c r="BM41" s="451">
        <f t="shared" si="0"/>
        <v>0</v>
      </c>
      <c r="BN41" s="451">
        <f t="shared" si="0"/>
        <v>0</v>
      </c>
      <c r="BO41" s="451">
        <f t="shared" si="0"/>
        <v>0</v>
      </c>
      <c r="BP41" s="451">
        <f t="shared" si="0"/>
        <v>0</v>
      </c>
      <c r="BQ41" s="451">
        <f t="shared" si="0"/>
        <v>0</v>
      </c>
      <c r="BR41" s="451">
        <f t="shared" ref="BR41:EC41" si="1">SUM(BR42:BR44)</f>
        <v>0</v>
      </c>
      <c r="BS41" s="451">
        <f t="shared" si="1"/>
        <v>0</v>
      </c>
      <c r="BT41" s="451">
        <f t="shared" si="1"/>
        <v>0</v>
      </c>
      <c r="BU41" s="451">
        <f t="shared" si="1"/>
        <v>0</v>
      </c>
      <c r="BV41" s="451">
        <f t="shared" si="1"/>
        <v>0</v>
      </c>
      <c r="BW41" s="451">
        <f t="shared" si="1"/>
        <v>0</v>
      </c>
      <c r="BX41" s="451">
        <f t="shared" si="1"/>
        <v>0</v>
      </c>
      <c r="BY41" s="451">
        <f t="shared" si="1"/>
        <v>0</v>
      </c>
      <c r="BZ41" s="451">
        <f t="shared" si="1"/>
        <v>0</v>
      </c>
      <c r="CA41" s="451">
        <f t="shared" si="1"/>
        <v>0</v>
      </c>
      <c r="CB41" s="451">
        <f t="shared" si="1"/>
        <v>0</v>
      </c>
      <c r="CC41" s="451">
        <f t="shared" si="1"/>
        <v>0</v>
      </c>
      <c r="CD41" s="451">
        <f t="shared" si="1"/>
        <v>0</v>
      </c>
      <c r="CE41" s="451">
        <f t="shared" si="1"/>
        <v>0</v>
      </c>
      <c r="CF41" s="451">
        <f t="shared" si="1"/>
        <v>0</v>
      </c>
      <c r="CG41" s="451">
        <f t="shared" si="1"/>
        <v>0</v>
      </c>
      <c r="CH41" s="451">
        <f t="shared" si="1"/>
        <v>0</v>
      </c>
      <c r="CI41" s="451">
        <f t="shared" si="1"/>
        <v>0</v>
      </c>
      <c r="CJ41" s="451">
        <f t="shared" si="1"/>
        <v>0</v>
      </c>
      <c r="CK41" s="451">
        <f t="shared" si="1"/>
        <v>0</v>
      </c>
      <c r="CL41" s="451">
        <f t="shared" si="1"/>
        <v>0</v>
      </c>
      <c r="CM41" s="451">
        <f t="shared" si="1"/>
        <v>0</v>
      </c>
      <c r="CN41" s="451">
        <f t="shared" si="1"/>
        <v>0</v>
      </c>
      <c r="CO41" s="451">
        <f t="shared" si="1"/>
        <v>0</v>
      </c>
      <c r="CP41" s="451">
        <f t="shared" si="1"/>
        <v>0</v>
      </c>
      <c r="CQ41" s="451">
        <f t="shared" si="1"/>
        <v>0</v>
      </c>
      <c r="CR41" s="451">
        <f t="shared" si="1"/>
        <v>0</v>
      </c>
      <c r="CS41" s="451">
        <f t="shared" si="1"/>
        <v>0</v>
      </c>
      <c r="CT41" s="451">
        <f t="shared" si="1"/>
        <v>0</v>
      </c>
      <c r="CU41" s="451">
        <f t="shared" si="1"/>
        <v>0</v>
      </c>
      <c r="CV41" s="451">
        <f t="shared" si="1"/>
        <v>0</v>
      </c>
      <c r="CW41" s="451">
        <f t="shared" si="1"/>
        <v>0</v>
      </c>
      <c r="CX41" s="451">
        <f t="shared" si="1"/>
        <v>0</v>
      </c>
      <c r="CY41" s="451">
        <f t="shared" si="1"/>
        <v>0</v>
      </c>
      <c r="CZ41" s="451">
        <f t="shared" si="1"/>
        <v>0</v>
      </c>
      <c r="DA41" s="451">
        <f t="shared" si="1"/>
        <v>0</v>
      </c>
      <c r="DB41" s="451">
        <f t="shared" si="1"/>
        <v>0</v>
      </c>
      <c r="DC41" s="451">
        <f t="shared" si="1"/>
        <v>0</v>
      </c>
      <c r="DD41" s="451">
        <f t="shared" si="1"/>
        <v>0</v>
      </c>
      <c r="DE41" s="451">
        <f t="shared" si="1"/>
        <v>0</v>
      </c>
      <c r="DF41" s="451">
        <f t="shared" si="1"/>
        <v>0</v>
      </c>
      <c r="DG41" s="451">
        <f t="shared" si="1"/>
        <v>0</v>
      </c>
      <c r="DH41" s="451">
        <f t="shared" si="1"/>
        <v>0</v>
      </c>
      <c r="DI41" s="451">
        <f t="shared" si="1"/>
        <v>0</v>
      </c>
      <c r="DJ41" s="451">
        <f t="shared" si="1"/>
        <v>0</v>
      </c>
      <c r="DK41" s="451">
        <f t="shared" si="1"/>
        <v>0</v>
      </c>
      <c r="DL41" s="451">
        <f t="shared" si="1"/>
        <v>0</v>
      </c>
      <c r="DM41" s="451">
        <f t="shared" si="1"/>
        <v>0</v>
      </c>
      <c r="DN41" s="451">
        <f t="shared" si="1"/>
        <v>0</v>
      </c>
      <c r="DO41" s="451">
        <f t="shared" si="1"/>
        <v>0</v>
      </c>
      <c r="DP41" s="451">
        <f t="shared" si="1"/>
        <v>0</v>
      </c>
      <c r="DQ41" s="451">
        <f t="shared" si="1"/>
        <v>0</v>
      </c>
      <c r="DR41" s="451">
        <f t="shared" si="1"/>
        <v>0</v>
      </c>
      <c r="DS41" s="451">
        <f t="shared" si="1"/>
        <v>0</v>
      </c>
      <c r="DT41" s="451">
        <f t="shared" si="1"/>
        <v>0</v>
      </c>
      <c r="DU41" s="451">
        <f t="shared" si="1"/>
        <v>0</v>
      </c>
      <c r="DV41" s="451">
        <f t="shared" si="1"/>
        <v>0</v>
      </c>
      <c r="DW41" s="451">
        <f t="shared" si="1"/>
        <v>0</v>
      </c>
      <c r="DX41" s="451">
        <f t="shared" si="1"/>
        <v>0</v>
      </c>
      <c r="DY41" s="451">
        <f t="shared" si="1"/>
        <v>0</v>
      </c>
      <c r="DZ41" s="451">
        <f t="shared" si="1"/>
        <v>0</v>
      </c>
      <c r="EA41" s="451">
        <f t="shared" si="1"/>
        <v>0</v>
      </c>
      <c r="EB41" s="451">
        <f t="shared" si="1"/>
        <v>0</v>
      </c>
      <c r="EC41" s="451">
        <f t="shared" si="1"/>
        <v>0</v>
      </c>
      <c r="ED41" s="451">
        <f t="shared" ref="ED41:GO41" si="2">SUM(ED42:ED44)</f>
        <v>0</v>
      </c>
      <c r="EE41" s="451">
        <f t="shared" si="2"/>
        <v>0</v>
      </c>
      <c r="EF41" s="451">
        <f t="shared" si="2"/>
        <v>0</v>
      </c>
      <c r="EG41" s="451">
        <f t="shared" si="2"/>
        <v>0</v>
      </c>
      <c r="EH41" s="451">
        <f t="shared" si="2"/>
        <v>0</v>
      </c>
      <c r="EI41" s="451">
        <f t="shared" si="2"/>
        <v>0</v>
      </c>
      <c r="EJ41" s="451">
        <f t="shared" si="2"/>
        <v>0</v>
      </c>
      <c r="EK41" s="451">
        <f t="shared" si="2"/>
        <v>0</v>
      </c>
      <c r="EL41" s="451">
        <f t="shared" si="2"/>
        <v>0</v>
      </c>
      <c r="EM41" s="451">
        <f t="shared" si="2"/>
        <v>0</v>
      </c>
      <c r="EN41" s="451">
        <f t="shared" si="2"/>
        <v>0</v>
      </c>
      <c r="EO41" s="451">
        <f t="shared" si="2"/>
        <v>0</v>
      </c>
      <c r="EP41" s="451">
        <f t="shared" si="2"/>
        <v>0</v>
      </c>
      <c r="EQ41" s="451">
        <f t="shared" si="2"/>
        <v>0</v>
      </c>
      <c r="ER41" s="451">
        <f t="shared" si="2"/>
        <v>0</v>
      </c>
      <c r="ES41" s="451">
        <f t="shared" si="2"/>
        <v>0</v>
      </c>
      <c r="ET41" s="451">
        <f t="shared" si="2"/>
        <v>0</v>
      </c>
      <c r="EU41" s="451">
        <f t="shared" si="2"/>
        <v>0</v>
      </c>
      <c r="EV41" s="451">
        <f t="shared" si="2"/>
        <v>0</v>
      </c>
      <c r="EW41" s="451">
        <f t="shared" si="2"/>
        <v>0</v>
      </c>
      <c r="EX41" s="451">
        <f t="shared" si="2"/>
        <v>0</v>
      </c>
      <c r="EY41" s="451">
        <f t="shared" si="2"/>
        <v>0</v>
      </c>
      <c r="EZ41" s="451">
        <f t="shared" si="2"/>
        <v>0</v>
      </c>
      <c r="FA41" s="451">
        <f t="shared" si="2"/>
        <v>0</v>
      </c>
      <c r="FB41" s="451">
        <f t="shared" si="2"/>
        <v>0</v>
      </c>
      <c r="FC41" s="451">
        <f t="shared" si="2"/>
        <v>0</v>
      </c>
      <c r="FD41" s="451">
        <f t="shared" si="2"/>
        <v>0</v>
      </c>
      <c r="FE41" s="451">
        <f t="shared" si="2"/>
        <v>0</v>
      </c>
      <c r="FF41" s="451">
        <f t="shared" si="2"/>
        <v>0</v>
      </c>
      <c r="FG41" s="451">
        <f t="shared" si="2"/>
        <v>0</v>
      </c>
      <c r="FH41" s="451">
        <f t="shared" si="2"/>
        <v>0</v>
      </c>
      <c r="FI41" s="451">
        <f t="shared" si="2"/>
        <v>0</v>
      </c>
      <c r="FJ41" s="451">
        <f t="shared" si="2"/>
        <v>0</v>
      </c>
      <c r="FK41" s="451">
        <f t="shared" si="2"/>
        <v>0</v>
      </c>
      <c r="FL41" s="451">
        <f t="shared" si="2"/>
        <v>0</v>
      </c>
      <c r="FM41" s="451">
        <f t="shared" si="2"/>
        <v>0</v>
      </c>
      <c r="FN41" s="451">
        <f t="shared" si="2"/>
        <v>0</v>
      </c>
      <c r="FO41" s="451">
        <f t="shared" si="2"/>
        <v>0</v>
      </c>
      <c r="FP41" s="451">
        <f t="shared" si="2"/>
        <v>0</v>
      </c>
      <c r="FQ41" s="451">
        <f t="shared" si="2"/>
        <v>0</v>
      </c>
      <c r="FR41" s="451">
        <f t="shared" si="2"/>
        <v>0</v>
      </c>
      <c r="FS41" s="451">
        <f t="shared" si="2"/>
        <v>0</v>
      </c>
      <c r="FT41" s="451">
        <f t="shared" si="2"/>
        <v>0</v>
      </c>
      <c r="FU41" s="451">
        <f t="shared" si="2"/>
        <v>0</v>
      </c>
      <c r="FV41" s="451">
        <f t="shared" si="2"/>
        <v>0</v>
      </c>
      <c r="FW41" s="451">
        <f t="shared" si="2"/>
        <v>0</v>
      </c>
      <c r="FX41" s="451">
        <f t="shared" si="2"/>
        <v>0</v>
      </c>
      <c r="FY41" s="451">
        <f t="shared" si="2"/>
        <v>0</v>
      </c>
      <c r="FZ41" s="451">
        <f t="shared" si="2"/>
        <v>0</v>
      </c>
      <c r="GA41" s="451">
        <f t="shared" si="2"/>
        <v>0</v>
      </c>
      <c r="GB41" s="451">
        <f t="shared" si="2"/>
        <v>0</v>
      </c>
      <c r="GC41" s="451">
        <f t="shared" si="2"/>
        <v>0</v>
      </c>
      <c r="GD41" s="451">
        <f t="shared" si="2"/>
        <v>0</v>
      </c>
      <c r="GE41" s="451">
        <f t="shared" si="2"/>
        <v>0</v>
      </c>
      <c r="GF41" s="451">
        <f t="shared" si="2"/>
        <v>0</v>
      </c>
      <c r="GG41" s="451">
        <f t="shared" si="2"/>
        <v>0</v>
      </c>
      <c r="GH41" s="451">
        <f t="shared" si="2"/>
        <v>0</v>
      </c>
      <c r="GI41" s="451">
        <f t="shared" si="2"/>
        <v>0</v>
      </c>
      <c r="GJ41" s="451">
        <f t="shared" si="2"/>
        <v>0</v>
      </c>
      <c r="GK41" s="451">
        <f t="shared" si="2"/>
        <v>0</v>
      </c>
      <c r="GL41" s="451">
        <f t="shared" si="2"/>
        <v>0</v>
      </c>
      <c r="GM41" s="451">
        <f t="shared" si="2"/>
        <v>0</v>
      </c>
      <c r="GN41" s="451">
        <f t="shared" si="2"/>
        <v>0</v>
      </c>
      <c r="GO41" s="451">
        <f t="shared" si="2"/>
        <v>0</v>
      </c>
      <c r="GP41" s="451">
        <f t="shared" ref="GP41:IV41" si="3">SUM(GP42:GP44)</f>
        <v>0</v>
      </c>
      <c r="GQ41" s="451">
        <f t="shared" si="3"/>
        <v>0</v>
      </c>
      <c r="GR41" s="451">
        <f t="shared" si="3"/>
        <v>0</v>
      </c>
      <c r="GS41" s="451">
        <f t="shared" si="3"/>
        <v>0</v>
      </c>
      <c r="GT41" s="451">
        <f t="shared" si="3"/>
        <v>0</v>
      </c>
      <c r="GU41" s="451">
        <f t="shared" si="3"/>
        <v>0</v>
      </c>
      <c r="GV41" s="451">
        <f t="shared" si="3"/>
        <v>0</v>
      </c>
      <c r="GW41" s="451">
        <f t="shared" si="3"/>
        <v>0</v>
      </c>
      <c r="GX41" s="451">
        <f t="shared" si="3"/>
        <v>0</v>
      </c>
      <c r="GY41" s="451">
        <f t="shared" si="3"/>
        <v>0</v>
      </c>
      <c r="GZ41" s="451">
        <f t="shared" si="3"/>
        <v>0</v>
      </c>
      <c r="HA41" s="451">
        <f t="shared" si="3"/>
        <v>0</v>
      </c>
      <c r="HB41" s="451">
        <f t="shared" si="3"/>
        <v>0</v>
      </c>
      <c r="HC41" s="451">
        <f t="shared" si="3"/>
        <v>0</v>
      </c>
      <c r="HD41" s="451">
        <f t="shared" si="3"/>
        <v>0</v>
      </c>
      <c r="HE41" s="451">
        <f t="shared" si="3"/>
        <v>0</v>
      </c>
      <c r="HF41" s="451">
        <f t="shared" si="3"/>
        <v>0</v>
      </c>
      <c r="HG41" s="451">
        <f t="shared" si="3"/>
        <v>0</v>
      </c>
      <c r="HH41" s="451">
        <f t="shared" si="3"/>
        <v>0</v>
      </c>
      <c r="HI41" s="451">
        <f t="shared" si="3"/>
        <v>0</v>
      </c>
      <c r="HJ41" s="451">
        <f t="shared" si="3"/>
        <v>0</v>
      </c>
      <c r="HK41" s="451">
        <f t="shared" si="3"/>
        <v>0</v>
      </c>
      <c r="HL41" s="451">
        <f t="shared" si="3"/>
        <v>0</v>
      </c>
      <c r="HM41" s="451">
        <f t="shared" si="3"/>
        <v>0</v>
      </c>
      <c r="HN41" s="451">
        <f t="shared" si="3"/>
        <v>0</v>
      </c>
      <c r="HO41" s="451">
        <f t="shared" si="3"/>
        <v>0</v>
      </c>
      <c r="HP41" s="451">
        <f t="shared" si="3"/>
        <v>0</v>
      </c>
      <c r="HQ41" s="451">
        <f t="shared" si="3"/>
        <v>0</v>
      </c>
      <c r="HR41" s="451">
        <f t="shared" si="3"/>
        <v>0</v>
      </c>
      <c r="HS41" s="451">
        <f t="shared" si="3"/>
        <v>0</v>
      </c>
      <c r="HT41" s="451">
        <f t="shared" si="3"/>
        <v>0</v>
      </c>
      <c r="HU41" s="451">
        <f t="shared" si="3"/>
        <v>0</v>
      </c>
      <c r="HV41" s="451">
        <f t="shared" si="3"/>
        <v>0</v>
      </c>
      <c r="HW41" s="451">
        <f t="shared" si="3"/>
        <v>0</v>
      </c>
      <c r="HX41" s="451">
        <f t="shared" si="3"/>
        <v>0</v>
      </c>
      <c r="HY41" s="451">
        <f t="shared" si="3"/>
        <v>0</v>
      </c>
      <c r="HZ41" s="451">
        <f t="shared" si="3"/>
        <v>0</v>
      </c>
      <c r="IA41" s="451">
        <f t="shared" si="3"/>
        <v>0</v>
      </c>
      <c r="IB41" s="451">
        <f t="shared" si="3"/>
        <v>0</v>
      </c>
      <c r="IC41" s="451">
        <f t="shared" si="3"/>
        <v>0</v>
      </c>
      <c r="ID41" s="451">
        <f t="shared" si="3"/>
        <v>0</v>
      </c>
      <c r="IE41" s="451">
        <f t="shared" si="3"/>
        <v>0</v>
      </c>
      <c r="IF41" s="451">
        <f t="shared" si="3"/>
        <v>0</v>
      </c>
      <c r="IG41" s="451">
        <f t="shared" si="3"/>
        <v>0</v>
      </c>
      <c r="IH41" s="451">
        <f t="shared" si="3"/>
        <v>0</v>
      </c>
      <c r="II41" s="451">
        <f t="shared" si="3"/>
        <v>0</v>
      </c>
      <c r="IJ41" s="451">
        <f t="shared" si="3"/>
        <v>0</v>
      </c>
      <c r="IK41" s="451">
        <f t="shared" si="3"/>
        <v>0</v>
      </c>
      <c r="IL41" s="451">
        <f t="shared" si="3"/>
        <v>0</v>
      </c>
      <c r="IM41" s="451">
        <f t="shared" si="3"/>
        <v>0</v>
      </c>
      <c r="IN41" s="451">
        <f t="shared" si="3"/>
        <v>0</v>
      </c>
      <c r="IO41" s="451">
        <f t="shared" si="3"/>
        <v>0</v>
      </c>
      <c r="IP41" s="451">
        <f t="shared" si="3"/>
        <v>0</v>
      </c>
      <c r="IQ41" s="451">
        <f t="shared" si="3"/>
        <v>0</v>
      </c>
      <c r="IR41" s="451">
        <f t="shared" si="3"/>
        <v>0</v>
      </c>
      <c r="IS41" s="451">
        <f t="shared" si="3"/>
        <v>0</v>
      </c>
      <c r="IT41" s="451">
        <f t="shared" si="3"/>
        <v>0</v>
      </c>
      <c r="IU41" s="451">
        <f t="shared" si="3"/>
        <v>0</v>
      </c>
      <c r="IV41" s="451">
        <f t="shared" si="3"/>
        <v>0</v>
      </c>
      <c r="IX41" s="323"/>
    </row>
    <row r="42" spans="1:258">
      <c r="A42" s="319"/>
      <c r="B42" s="461" t="str">
        <f>"-ННС"</f>
        <v>-ННС</v>
      </c>
      <c r="C42" s="459"/>
      <c r="D42" s="328"/>
      <c r="E42" s="454">
        <f>IF($D$24="ННС",IF(E$39=$D$25,1,0),0)</f>
        <v>0</v>
      </c>
      <c r="F42" s="454">
        <f t="shared" ref="F42:BQ42" si="4">IF($D$24="ННС",IF(F$39=$D$25,1,0),0)</f>
        <v>0</v>
      </c>
      <c r="G42" s="454">
        <f t="shared" si="4"/>
        <v>0</v>
      </c>
      <c r="H42" s="454">
        <f t="shared" si="4"/>
        <v>0</v>
      </c>
      <c r="I42" s="454">
        <f t="shared" si="4"/>
        <v>0</v>
      </c>
      <c r="J42" s="454">
        <f t="shared" si="4"/>
        <v>0</v>
      </c>
      <c r="K42" s="454">
        <f t="shared" si="4"/>
        <v>0</v>
      </c>
      <c r="L42" s="454">
        <f t="shared" si="4"/>
        <v>0</v>
      </c>
      <c r="M42" s="454">
        <f t="shared" si="4"/>
        <v>0</v>
      </c>
      <c r="N42" s="454">
        <f t="shared" si="4"/>
        <v>0</v>
      </c>
      <c r="O42" s="454">
        <f t="shared" si="4"/>
        <v>0</v>
      </c>
      <c r="P42" s="454">
        <f t="shared" si="4"/>
        <v>0</v>
      </c>
      <c r="Q42" s="454">
        <f t="shared" si="4"/>
        <v>0</v>
      </c>
      <c r="R42" s="454">
        <f t="shared" si="4"/>
        <v>0</v>
      </c>
      <c r="S42" s="454">
        <f t="shared" si="4"/>
        <v>0</v>
      </c>
      <c r="T42" s="454">
        <f t="shared" si="4"/>
        <v>0</v>
      </c>
      <c r="U42" s="454">
        <f t="shared" si="4"/>
        <v>0</v>
      </c>
      <c r="V42" s="454">
        <f t="shared" si="4"/>
        <v>0</v>
      </c>
      <c r="W42" s="454">
        <f t="shared" si="4"/>
        <v>0</v>
      </c>
      <c r="X42" s="454">
        <f t="shared" si="4"/>
        <v>0</v>
      </c>
      <c r="Y42" s="454">
        <f t="shared" si="4"/>
        <v>0</v>
      </c>
      <c r="Z42" s="454">
        <f t="shared" si="4"/>
        <v>0</v>
      </c>
      <c r="AA42" s="454">
        <f t="shared" si="4"/>
        <v>0</v>
      </c>
      <c r="AB42" s="454">
        <f t="shared" si="4"/>
        <v>0</v>
      </c>
      <c r="AC42" s="454">
        <f t="shared" si="4"/>
        <v>0</v>
      </c>
      <c r="AD42" s="454">
        <f t="shared" si="4"/>
        <v>0</v>
      </c>
      <c r="AE42" s="454">
        <f t="shared" si="4"/>
        <v>0</v>
      </c>
      <c r="AF42" s="454">
        <f t="shared" si="4"/>
        <v>0</v>
      </c>
      <c r="AG42" s="454">
        <f t="shared" si="4"/>
        <v>0</v>
      </c>
      <c r="AH42" s="454">
        <f t="shared" si="4"/>
        <v>0</v>
      </c>
      <c r="AI42" s="454">
        <f t="shared" si="4"/>
        <v>0</v>
      </c>
      <c r="AJ42" s="454">
        <f t="shared" si="4"/>
        <v>0</v>
      </c>
      <c r="AK42" s="454">
        <f t="shared" si="4"/>
        <v>0</v>
      </c>
      <c r="AL42" s="454">
        <f t="shared" si="4"/>
        <v>0</v>
      </c>
      <c r="AM42" s="454">
        <f t="shared" si="4"/>
        <v>0</v>
      </c>
      <c r="AN42" s="454">
        <f t="shared" si="4"/>
        <v>0</v>
      </c>
      <c r="AO42" s="454">
        <f t="shared" si="4"/>
        <v>0</v>
      </c>
      <c r="AP42" s="454">
        <f t="shared" si="4"/>
        <v>0</v>
      </c>
      <c r="AQ42" s="454">
        <f t="shared" si="4"/>
        <v>0</v>
      </c>
      <c r="AR42" s="454">
        <f t="shared" si="4"/>
        <v>0</v>
      </c>
      <c r="AS42" s="454">
        <f t="shared" si="4"/>
        <v>0</v>
      </c>
      <c r="AT42" s="454">
        <f t="shared" si="4"/>
        <v>0</v>
      </c>
      <c r="AU42" s="454">
        <f t="shared" si="4"/>
        <v>0</v>
      </c>
      <c r="AV42" s="454">
        <f t="shared" si="4"/>
        <v>0</v>
      </c>
      <c r="AW42" s="454">
        <f t="shared" si="4"/>
        <v>0</v>
      </c>
      <c r="AX42" s="454">
        <f t="shared" si="4"/>
        <v>0</v>
      </c>
      <c r="AY42" s="454">
        <f t="shared" si="4"/>
        <v>0</v>
      </c>
      <c r="AZ42" s="454">
        <f t="shared" si="4"/>
        <v>0</v>
      </c>
      <c r="BA42" s="454">
        <f t="shared" si="4"/>
        <v>0</v>
      </c>
      <c r="BB42" s="454">
        <f t="shared" si="4"/>
        <v>0</v>
      </c>
      <c r="BC42" s="454">
        <f t="shared" si="4"/>
        <v>0</v>
      </c>
      <c r="BD42" s="454">
        <f t="shared" si="4"/>
        <v>0</v>
      </c>
      <c r="BE42" s="454">
        <f t="shared" si="4"/>
        <v>0</v>
      </c>
      <c r="BF42" s="454">
        <f t="shared" si="4"/>
        <v>0</v>
      </c>
      <c r="BG42" s="454">
        <f t="shared" si="4"/>
        <v>0</v>
      </c>
      <c r="BH42" s="454">
        <f t="shared" si="4"/>
        <v>0</v>
      </c>
      <c r="BI42" s="454">
        <f t="shared" si="4"/>
        <v>0</v>
      </c>
      <c r="BJ42" s="454">
        <f t="shared" si="4"/>
        <v>0</v>
      </c>
      <c r="BK42" s="454">
        <f t="shared" si="4"/>
        <v>0</v>
      </c>
      <c r="BL42" s="454">
        <f t="shared" si="4"/>
        <v>0</v>
      </c>
      <c r="BM42" s="454">
        <f t="shared" si="4"/>
        <v>0</v>
      </c>
      <c r="BN42" s="454">
        <f t="shared" si="4"/>
        <v>0</v>
      </c>
      <c r="BO42" s="454">
        <f t="shared" si="4"/>
        <v>0</v>
      </c>
      <c r="BP42" s="454">
        <f t="shared" si="4"/>
        <v>0</v>
      </c>
      <c r="BQ42" s="454">
        <f t="shared" si="4"/>
        <v>0</v>
      </c>
      <c r="BR42" s="454">
        <f t="shared" ref="BR42:EC42" si="5">IF($D$24="ННС",IF(BR$39=$D$25,1,0),0)</f>
        <v>0</v>
      </c>
      <c r="BS42" s="454">
        <f t="shared" si="5"/>
        <v>0</v>
      </c>
      <c r="BT42" s="454">
        <f t="shared" si="5"/>
        <v>0</v>
      </c>
      <c r="BU42" s="454">
        <f t="shared" si="5"/>
        <v>0</v>
      </c>
      <c r="BV42" s="454">
        <f t="shared" si="5"/>
        <v>0</v>
      </c>
      <c r="BW42" s="454">
        <f t="shared" si="5"/>
        <v>0</v>
      </c>
      <c r="BX42" s="454">
        <f t="shared" si="5"/>
        <v>0</v>
      </c>
      <c r="BY42" s="454">
        <f t="shared" si="5"/>
        <v>0</v>
      </c>
      <c r="BZ42" s="454">
        <f t="shared" si="5"/>
        <v>0</v>
      </c>
      <c r="CA42" s="454">
        <f t="shared" si="5"/>
        <v>0</v>
      </c>
      <c r="CB42" s="454">
        <f t="shared" si="5"/>
        <v>0</v>
      </c>
      <c r="CC42" s="454">
        <f t="shared" si="5"/>
        <v>0</v>
      </c>
      <c r="CD42" s="454">
        <f t="shared" si="5"/>
        <v>0</v>
      </c>
      <c r="CE42" s="454">
        <f t="shared" si="5"/>
        <v>0</v>
      </c>
      <c r="CF42" s="454">
        <f t="shared" si="5"/>
        <v>0</v>
      </c>
      <c r="CG42" s="454">
        <f t="shared" si="5"/>
        <v>0</v>
      </c>
      <c r="CH42" s="454">
        <f t="shared" si="5"/>
        <v>0</v>
      </c>
      <c r="CI42" s="454">
        <f t="shared" si="5"/>
        <v>0</v>
      </c>
      <c r="CJ42" s="454">
        <f t="shared" si="5"/>
        <v>0</v>
      </c>
      <c r="CK42" s="454">
        <f t="shared" si="5"/>
        <v>0</v>
      </c>
      <c r="CL42" s="454">
        <f t="shared" si="5"/>
        <v>0</v>
      </c>
      <c r="CM42" s="454">
        <f t="shared" si="5"/>
        <v>0</v>
      </c>
      <c r="CN42" s="454">
        <f t="shared" si="5"/>
        <v>0</v>
      </c>
      <c r="CO42" s="454">
        <f t="shared" si="5"/>
        <v>0</v>
      </c>
      <c r="CP42" s="454">
        <f t="shared" si="5"/>
        <v>0</v>
      </c>
      <c r="CQ42" s="454">
        <f t="shared" si="5"/>
        <v>0</v>
      </c>
      <c r="CR42" s="454">
        <f t="shared" si="5"/>
        <v>0</v>
      </c>
      <c r="CS42" s="454">
        <f t="shared" si="5"/>
        <v>0</v>
      </c>
      <c r="CT42" s="454">
        <f t="shared" si="5"/>
        <v>0</v>
      </c>
      <c r="CU42" s="454">
        <f t="shared" si="5"/>
        <v>0</v>
      </c>
      <c r="CV42" s="454">
        <f t="shared" si="5"/>
        <v>0</v>
      </c>
      <c r="CW42" s="454">
        <f t="shared" si="5"/>
        <v>0</v>
      </c>
      <c r="CX42" s="454">
        <f t="shared" si="5"/>
        <v>0</v>
      </c>
      <c r="CY42" s="454">
        <f t="shared" si="5"/>
        <v>0</v>
      </c>
      <c r="CZ42" s="454">
        <f t="shared" si="5"/>
        <v>0</v>
      </c>
      <c r="DA42" s="454">
        <f t="shared" si="5"/>
        <v>0</v>
      </c>
      <c r="DB42" s="454">
        <f t="shared" si="5"/>
        <v>0</v>
      </c>
      <c r="DC42" s="454">
        <f t="shared" si="5"/>
        <v>0</v>
      </c>
      <c r="DD42" s="454">
        <f t="shared" si="5"/>
        <v>0</v>
      </c>
      <c r="DE42" s="454">
        <f t="shared" si="5"/>
        <v>0</v>
      </c>
      <c r="DF42" s="454">
        <f t="shared" si="5"/>
        <v>0</v>
      </c>
      <c r="DG42" s="454">
        <f t="shared" si="5"/>
        <v>0</v>
      </c>
      <c r="DH42" s="454">
        <f t="shared" si="5"/>
        <v>0</v>
      </c>
      <c r="DI42" s="454">
        <f t="shared" si="5"/>
        <v>0</v>
      </c>
      <c r="DJ42" s="454">
        <f t="shared" si="5"/>
        <v>0</v>
      </c>
      <c r="DK42" s="454">
        <f t="shared" si="5"/>
        <v>0</v>
      </c>
      <c r="DL42" s="454">
        <f t="shared" si="5"/>
        <v>0</v>
      </c>
      <c r="DM42" s="454">
        <f t="shared" si="5"/>
        <v>0</v>
      </c>
      <c r="DN42" s="454">
        <f t="shared" si="5"/>
        <v>0</v>
      </c>
      <c r="DO42" s="454">
        <f t="shared" si="5"/>
        <v>0</v>
      </c>
      <c r="DP42" s="454">
        <f t="shared" si="5"/>
        <v>0</v>
      </c>
      <c r="DQ42" s="454">
        <f t="shared" si="5"/>
        <v>0</v>
      </c>
      <c r="DR42" s="454">
        <f t="shared" si="5"/>
        <v>0</v>
      </c>
      <c r="DS42" s="454">
        <f t="shared" si="5"/>
        <v>0</v>
      </c>
      <c r="DT42" s="454">
        <f t="shared" si="5"/>
        <v>0</v>
      </c>
      <c r="DU42" s="454">
        <f t="shared" si="5"/>
        <v>0</v>
      </c>
      <c r="DV42" s="454">
        <f t="shared" si="5"/>
        <v>0</v>
      </c>
      <c r="DW42" s="454">
        <f t="shared" si="5"/>
        <v>0</v>
      </c>
      <c r="DX42" s="454">
        <f t="shared" si="5"/>
        <v>0</v>
      </c>
      <c r="DY42" s="454">
        <f t="shared" si="5"/>
        <v>0</v>
      </c>
      <c r="DZ42" s="454">
        <f t="shared" si="5"/>
        <v>0</v>
      </c>
      <c r="EA42" s="454">
        <f t="shared" si="5"/>
        <v>0</v>
      </c>
      <c r="EB42" s="454">
        <f t="shared" si="5"/>
        <v>0</v>
      </c>
      <c r="EC42" s="454">
        <f t="shared" si="5"/>
        <v>0</v>
      </c>
      <c r="ED42" s="454">
        <f t="shared" ref="ED42:GO42" si="6">IF($D$24="ННС",IF(ED$39=$D$25,1,0),0)</f>
        <v>0</v>
      </c>
      <c r="EE42" s="454">
        <f t="shared" si="6"/>
        <v>0</v>
      </c>
      <c r="EF42" s="454">
        <f t="shared" si="6"/>
        <v>0</v>
      </c>
      <c r="EG42" s="454">
        <f t="shared" si="6"/>
        <v>0</v>
      </c>
      <c r="EH42" s="454">
        <f t="shared" si="6"/>
        <v>0</v>
      </c>
      <c r="EI42" s="454">
        <f t="shared" si="6"/>
        <v>0</v>
      </c>
      <c r="EJ42" s="454">
        <f t="shared" si="6"/>
        <v>0</v>
      </c>
      <c r="EK42" s="454">
        <f t="shared" si="6"/>
        <v>0</v>
      </c>
      <c r="EL42" s="454">
        <f t="shared" si="6"/>
        <v>0</v>
      </c>
      <c r="EM42" s="454">
        <f t="shared" si="6"/>
        <v>0</v>
      </c>
      <c r="EN42" s="454">
        <f t="shared" si="6"/>
        <v>0</v>
      </c>
      <c r="EO42" s="454">
        <f t="shared" si="6"/>
        <v>0</v>
      </c>
      <c r="EP42" s="454">
        <f t="shared" si="6"/>
        <v>0</v>
      </c>
      <c r="EQ42" s="454">
        <f t="shared" si="6"/>
        <v>0</v>
      </c>
      <c r="ER42" s="454">
        <f t="shared" si="6"/>
        <v>0</v>
      </c>
      <c r="ES42" s="454">
        <f t="shared" si="6"/>
        <v>0</v>
      </c>
      <c r="ET42" s="454">
        <f t="shared" si="6"/>
        <v>0</v>
      </c>
      <c r="EU42" s="454">
        <f t="shared" si="6"/>
        <v>0</v>
      </c>
      <c r="EV42" s="454">
        <f t="shared" si="6"/>
        <v>0</v>
      </c>
      <c r="EW42" s="454">
        <f t="shared" si="6"/>
        <v>0</v>
      </c>
      <c r="EX42" s="454">
        <f t="shared" si="6"/>
        <v>0</v>
      </c>
      <c r="EY42" s="454">
        <f t="shared" si="6"/>
        <v>0</v>
      </c>
      <c r="EZ42" s="454">
        <f t="shared" si="6"/>
        <v>0</v>
      </c>
      <c r="FA42" s="454">
        <f t="shared" si="6"/>
        <v>0</v>
      </c>
      <c r="FB42" s="454">
        <f t="shared" si="6"/>
        <v>0</v>
      </c>
      <c r="FC42" s="454">
        <f t="shared" si="6"/>
        <v>0</v>
      </c>
      <c r="FD42" s="454">
        <f t="shared" si="6"/>
        <v>0</v>
      </c>
      <c r="FE42" s="454">
        <f t="shared" si="6"/>
        <v>0</v>
      </c>
      <c r="FF42" s="454">
        <f t="shared" si="6"/>
        <v>0</v>
      </c>
      <c r="FG42" s="454">
        <f t="shared" si="6"/>
        <v>0</v>
      </c>
      <c r="FH42" s="454">
        <f t="shared" si="6"/>
        <v>0</v>
      </c>
      <c r="FI42" s="454">
        <f t="shared" si="6"/>
        <v>0</v>
      </c>
      <c r="FJ42" s="454">
        <f t="shared" si="6"/>
        <v>0</v>
      </c>
      <c r="FK42" s="454">
        <f t="shared" si="6"/>
        <v>0</v>
      </c>
      <c r="FL42" s="454">
        <f t="shared" si="6"/>
        <v>0</v>
      </c>
      <c r="FM42" s="454">
        <f t="shared" si="6"/>
        <v>0</v>
      </c>
      <c r="FN42" s="454">
        <f t="shared" si="6"/>
        <v>0</v>
      </c>
      <c r="FO42" s="454">
        <f t="shared" si="6"/>
        <v>0</v>
      </c>
      <c r="FP42" s="454">
        <f t="shared" si="6"/>
        <v>0</v>
      </c>
      <c r="FQ42" s="454">
        <f t="shared" si="6"/>
        <v>0</v>
      </c>
      <c r="FR42" s="454">
        <f t="shared" si="6"/>
        <v>0</v>
      </c>
      <c r="FS42" s="454">
        <f t="shared" si="6"/>
        <v>0</v>
      </c>
      <c r="FT42" s="454">
        <f t="shared" si="6"/>
        <v>0</v>
      </c>
      <c r="FU42" s="454">
        <f t="shared" si="6"/>
        <v>0</v>
      </c>
      <c r="FV42" s="454">
        <f t="shared" si="6"/>
        <v>0</v>
      </c>
      <c r="FW42" s="454">
        <f t="shared" si="6"/>
        <v>0</v>
      </c>
      <c r="FX42" s="454">
        <f t="shared" si="6"/>
        <v>0</v>
      </c>
      <c r="FY42" s="454">
        <f t="shared" si="6"/>
        <v>0</v>
      </c>
      <c r="FZ42" s="454">
        <f t="shared" si="6"/>
        <v>0</v>
      </c>
      <c r="GA42" s="454">
        <f t="shared" si="6"/>
        <v>0</v>
      </c>
      <c r="GB42" s="454">
        <f t="shared" si="6"/>
        <v>0</v>
      </c>
      <c r="GC42" s="454">
        <f t="shared" si="6"/>
        <v>0</v>
      </c>
      <c r="GD42" s="454">
        <f t="shared" si="6"/>
        <v>0</v>
      </c>
      <c r="GE42" s="454">
        <f t="shared" si="6"/>
        <v>0</v>
      </c>
      <c r="GF42" s="454">
        <f t="shared" si="6"/>
        <v>0</v>
      </c>
      <c r="GG42" s="454">
        <f t="shared" si="6"/>
        <v>0</v>
      </c>
      <c r="GH42" s="454">
        <f t="shared" si="6"/>
        <v>0</v>
      </c>
      <c r="GI42" s="454">
        <f t="shared" si="6"/>
        <v>0</v>
      </c>
      <c r="GJ42" s="454">
        <f t="shared" si="6"/>
        <v>0</v>
      </c>
      <c r="GK42" s="454">
        <f t="shared" si="6"/>
        <v>0</v>
      </c>
      <c r="GL42" s="454">
        <f t="shared" si="6"/>
        <v>0</v>
      </c>
      <c r="GM42" s="454">
        <f t="shared" si="6"/>
        <v>0</v>
      </c>
      <c r="GN42" s="454">
        <f t="shared" si="6"/>
        <v>0</v>
      </c>
      <c r="GO42" s="454">
        <f t="shared" si="6"/>
        <v>0</v>
      </c>
      <c r="GP42" s="454">
        <f t="shared" ref="GP42:IV42" si="7">IF($D$24="ННС",IF(GP$39=$D$25,1,0),0)</f>
        <v>0</v>
      </c>
      <c r="GQ42" s="454">
        <f t="shared" si="7"/>
        <v>0</v>
      </c>
      <c r="GR42" s="454">
        <f t="shared" si="7"/>
        <v>0</v>
      </c>
      <c r="GS42" s="454">
        <f t="shared" si="7"/>
        <v>0</v>
      </c>
      <c r="GT42" s="454">
        <f t="shared" si="7"/>
        <v>0</v>
      </c>
      <c r="GU42" s="454">
        <f t="shared" si="7"/>
        <v>0</v>
      </c>
      <c r="GV42" s="454">
        <f t="shared" si="7"/>
        <v>0</v>
      </c>
      <c r="GW42" s="454">
        <f t="shared" si="7"/>
        <v>0</v>
      </c>
      <c r="GX42" s="454">
        <f t="shared" si="7"/>
        <v>0</v>
      </c>
      <c r="GY42" s="454">
        <f t="shared" si="7"/>
        <v>0</v>
      </c>
      <c r="GZ42" s="454">
        <f t="shared" si="7"/>
        <v>0</v>
      </c>
      <c r="HA42" s="454">
        <f t="shared" si="7"/>
        <v>0</v>
      </c>
      <c r="HB42" s="454">
        <f t="shared" si="7"/>
        <v>0</v>
      </c>
      <c r="HC42" s="454">
        <f t="shared" si="7"/>
        <v>0</v>
      </c>
      <c r="HD42" s="454">
        <f t="shared" si="7"/>
        <v>0</v>
      </c>
      <c r="HE42" s="454">
        <f t="shared" si="7"/>
        <v>0</v>
      </c>
      <c r="HF42" s="454">
        <f t="shared" si="7"/>
        <v>0</v>
      </c>
      <c r="HG42" s="454">
        <f t="shared" si="7"/>
        <v>0</v>
      </c>
      <c r="HH42" s="454">
        <f t="shared" si="7"/>
        <v>0</v>
      </c>
      <c r="HI42" s="454">
        <f t="shared" si="7"/>
        <v>0</v>
      </c>
      <c r="HJ42" s="454">
        <f t="shared" si="7"/>
        <v>0</v>
      </c>
      <c r="HK42" s="454">
        <f t="shared" si="7"/>
        <v>0</v>
      </c>
      <c r="HL42" s="454">
        <f t="shared" si="7"/>
        <v>0</v>
      </c>
      <c r="HM42" s="454">
        <f t="shared" si="7"/>
        <v>0</v>
      </c>
      <c r="HN42" s="454">
        <f t="shared" si="7"/>
        <v>0</v>
      </c>
      <c r="HO42" s="454">
        <f t="shared" si="7"/>
        <v>0</v>
      </c>
      <c r="HP42" s="454">
        <f t="shared" si="7"/>
        <v>0</v>
      </c>
      <c r="HQ42" s="454">
        <f t="shared" si="7"/>
        <v>0</v>
      </c>
      <c r="HR42" s="454">
        <f t="shared" si="7"/>
        <v>0</v>
      </c>
      <c r="HS42" s="454">
        <f t="shared" si="7"/>
        <v>0</v>
      </c>
      <c r="HT42" s="454">
        <f t="shared" si="7"/>
        <v>0</v>
      </c>
      <c r="HU42" s="454">
        <f t="shared" si="7"/>
        <v>0</v>
      </c>
      <c r="HV42" s="454">
        <f t="shared" si="7"/>
        <v>0</v>
      </c>
      <c r="HW42" s="454">
        <f t="shared" si="7"/>
        <v>0</v>
      </c>
      <c r="HX42" s="454">
        <f t="shared" si="7"/>
        <v>0</v>
      </c>
      <c r="HY42" s="454">
        <f t="shared" si="7"/>
        <v>0</v>
      </c>
      <c r="HZ42" s="454">
        <f t="shared" si="7"/>
        <v>0</v>
      </c>
      <c r="IA42" s="454">
        <f t="shared" si="7"/>
        <v>0</v>
      </c>
      <c r="IB42" s="454">
        <f t="shared" si="7"/>
        <v>0</v>
      </c>
      <c r="IC42" s="454">
        <f t="shared" si="7"/>
        <v>0</v>
      </c>
      <c r="ID42" s="454">
        <f t="shared" si="7"/>
        <v>0</v>
      </c>
      <c r="IE42" s="454">
        <f t="shared" si="7"/>
        <v>0</v>
      </c>
      <c r="IF42" s="454">
        <f t="shared" si="7"/>
        <v>0</v>
      </c>
      <c r="IG42" s="454">
        <f t="shared" si="7"/>
        <v>0</v>
      </c>
      <c r="IH42" s="454">
        <f t="shared" si="7"/>
        <v>0</v>
      </c>
      <c r="II42" s="454">
        <f t="shared" si="7"/>
        <v>0</v>
      </c>
      <c r="IJ42" s="454">
        <f t="shared" si="7"/>
        <v>0</v>
      </c>
      <c r="IK42" s="454">
        <f t="shared" si="7"/>
        <v>0</v>
      </c>
      <c r="IL42" s="454">
        <f t="shared" si="7"/>
        <v>0</v>
      </c>
      <c r="IM42" s="454">
        <f t="shared" si="7"/>
        <v>0</v>
      </c>
      <c r="IN42" s="454">
        <f t="shared" si="7"/>
        <v>0</v>
      </c>
      <c r="IO42" s="454">
        <f t="shared" si="7"/>
        <v>0</v>
      </c>
      <c r="IP42" s="454">
        <f t="shared" si="7"/>
        <v>0</v>
      </c>
      <c r="IQ42" s="454">
        <f t="shared" si="7"/>
        <v>0</v>
      </c>
      <c r="IR42" s="454">
        <f t="shared" si="7"/>
        <v>0</v>
      </c>
      <c r="IS42" s="454">
        <f t="shared" si="7"/>
        <v>0</v>
      </c>
      <c r="IT42" s="454">
        <f t="shared" si="7"/>
        <v>0</v>
      </c>
      <c r="IU42" s="454">
        <f t="shared" si="7"/>
        <v>0</v>
      </c>
      <c r="IV42" s="454">
        <f t="shared" si="7"/>
        <v>0</v>
      </c>
      <c r="IX42" s="323"/>
    </row>
    <row r="43" spans="1:258">
      <c r="A43" s="319"/>
      <c r="B43" s="462" t="str">
        <f>"-ГС"</f>
        <v>-ГС</v>
      </c>
      <c r="C43" s="458"/>
      <c r="D43" s="323"/>
      <c r="E43" s="452">
        <f>IF($D$24="ГС",IF(E$39=$D$25,1,0),0)</f>
        <v>0</v>
      </c>
      <c r="F43" s="452">
        <f t="shared" ref="F43:BQ43" si="8">IF($D$24="ГС",IF(F$39=$D$25,1,0),0)</f>
        <v>1</v>
      </c>
      <c r="G43" s="452">
        <f t="shared" si="8"/>
        <v>0</v>
      </c>
      <c r="H43" s="452">
        <f t="shared" si="8"/>
        <v>0</v>
      </c>
      <c r="I43" s="452">
        <f t="shared" si="8"/>
        <v>0</v>
      </c>
      <c r="J43" s="452">
        <f t="shared" si="8"/>
        <v>0</v>
      </c>
      <c r="K43" s="452">
        <f t="shared" si="8"/>
        <v>0</v>
      </c>
      <c r="L43" s="452">
        <f t="shared" si="8"/>
        <v>0</v>
      </c>
      <c r="M43" s="452">
        <f t="shared" si="8"/>
        <v>0</v>
      </c>
      <c r="N43" s="452">
        <f t="shared" si="8"/>
        <v>0</v>
      </c>
      <c r="O43" s="452">
        <f t="shared" si="8"/>
        <v>0</v>
      </c>
      <c r="P43" s="452">
        <f t="shared" si="8"/>
        <v>0</v>
      </c>
      <c r="Q43" s="452">
        <f t="shared" si="8"/>
        <v>0</v>
      </c>
      <c r="R43" s="452">
        <f t="shared" si="8"/>
        <v>0</v>
      </c>
      <c r="S43" s="452">
        <f t="shared" si="8"/>
        <v>0</v>
      </c>
      <c r="T43" s="452">
        <f t="shared" si="8"/>
        <v>0</v>
      </c>
      <c r="U43" s="452">
        <f t="shared" si="8"/>
        <v>0</v>
      </c>
      <c r="V43" s="452">
        <f t="shared" si="8"/>
        <v>0</v>
      </c>
      <c r="W43" s="452">
        <f t="shared" si="8"/>
        <v>0</v>
      </c>
      <c r="X43" s="452">
        <f t="shared" si="8"/>
        <v>0</v>
      </c>
      <c r="Y43" s="452">
        <f t="shared" si="8"/>
        <v>0</v>
      </c>
      <c r="Z43" s="452">
        <f t="shared" si="8"/>
        <v>0</v>
      </c>
      <c r="AA43" s="452">
        <f t="shared" si="8"/>
        <v>0</v>
      </c>
      <c r="AB43" s="452">
        <f t="shared" si="8"/>
        <v>0</v>
      </c>
      <c r="AC43" s="452">
        <f t="shared" si="8"/>
        <v>0</v>
      </c>
      <c r="AD43" s="452">
        <f t="shared" si="8"/>
        <v>0</v>
      </c>
      <c r="AE43" s="452">
        <f t="shared" si="8"/>
        <v>0</v>
      </c>
      <c r="AF43" s="452">
        <f t="shared" si="8"/>
        <v>0</v>
      </c>
      <c r="AG43" s="452">
        <f t="shared" si="8"/>
        <v>0</v>
      </c>
      <c r="AH43" s="452">
        <f t="shared" si="8"/>
        <v>0</v>
      </c>
      <c r="AI43" s="452">
        <f t="shared" si="8"/>
        <v>0</v>
      </c>
      <c r="AJ43" s="452">
        <f t="shared" si="8"/>
        <v>0</v>
      </c>
      <c r="AK43" s="452">
        <f t="shared" si="8"/>
        <v>0</v>
      </c>
      <c r="AL43" s="452">
        <f t="shared" si="8"/>
        <v>0</v>
      </c>
      <c r="AM43" s="452">
        <f t="shared" si="8"/>
        <v>0</v>
      </c>
      <c r="AN43" s="452">
        <f t="shared" si="8"/>
        <v>0</v>
      </c>
      <c r="AO43" s="452">
        <f t="shared" si="8"/>
        <v>0</v>
      </c>
      <c r="AP43" s="452">
        <f t="shared" si="8"/>
        <v>0</v>
      </c>
      <c r="AQ43" s="452">
        <f t="shared" si="8"/>
        <v>0</v>
      </c>
      <c r="AR43" s="452">
        <f t="shared" si="8"/>
        <v>0</v>
      </c>
      <c r="AS43" s="452">
        <f t="shared" si="8"/>
        <v>0</v>
      </c>
      <c r="AT43" s="452">
        <f t="shared" si="8"/>
        <v>0</v>
      </c>
      <c r="AU43" s="452">
        <f t="shared" si="8"/>
        <v>0</v>
      </c>
      <c r="AV43" s="452">
        <f t="shared" si="8"/>
        <v>0</v>
      </c>
      <c r="AW43" s="452">
        <f t="shared" si="8"/>
        <v>0</v>
      </c>
      <c r="AX43" s="452">
        <f t="shared" si="8"/>
        <v>0</v>
      </c>
      <c r="AY43" s="452">
        <f t="shared" si="8"/>
        <v>0</v>
      </c>
      <c r="AZ43" s="452">
        <f t="shared" si="8"/>
        <v>0</v>
      </c>
      <c r="BA43" s="452">
        <f t="shared" si="8"/>
        <v>0</v>
      </c>
      <c r="BB43" s="452">
        <f t="shared" si="8"/>
        <v>0</v>
      </c>
      <c r="BC43" s="452">
        <f t="shared" si="8"/>
        <v>0</v>
      </c>
      <c r="BD43" s="452">
        <f t="shared" si="8"/>
        <v>0</v>
      </c>
      <c r="BE43" s="452">
        <f t="shared" si="8"/>
        <v>0</v>
      </c>
      <c r="BF43" s="452">
        <f t="shared" si="8"/>
        <v>0</v>
      </c>
      <c r="BG43" s="452">
        <f t="shared" si="8"/>
        <v>0</v>
      </c>
      <c r="BH43" s="452">
        <f t="shared" si="8"/>
        <v>0</v>
      </c>
      <c r="BI43" s="452">
        <f t="shared" si="8"/>
        <v>0</v>
      </c>
      <c r="BJ43" s="452">
        <f t="shared" si="8"/>
        <v>0</v>
      </c>
      <c r="BK43" s="452">
        <f t="shared" si="8"/>
        <v>0</v>
      </c>
      <c r="BL43" s="452">
        <f t="shared" si="8"/>
        <v>0</v>
      </c>
      <c r="BM43" s="452">
        <f t="shared" si="8"/>
        <v>0</v>
      </c>
      <c r="BN43" s="452">
        <f t="shared" si="8"/>
        <v>0</v>
      </c>
      <c r="BO43" s="452">
        <f t="shared" si="8"/>
        <v>0</v>
      </c>
      <c r="BP43" s="452">
        <f t="shared" si="8"/>
        <v>0</v>
      </c>
      <c r="BQ43" s="452">
        <f t="shared" si="8"/>
        <v>0</v>
      </c>
      <c r="BR43" s="452">
        <f t="shared" ref="BR43:EC43" si="9">IF($D$24="ГС",IF(BR$39=$D$25,1,0),0)</f>
        <v>0</v>
      </c>
      <c r="BS43" s="452">
        <f t="shared" si="9"/>
        <v>0</v>
      </c>
      <c r="BT43" s="452">
        <f t="shared" si="9"/>
        <v>0</v>
      </c>
      <c r="BU43" s="452">
        <f t="shared" si="9"/>
        <v>0</v>
      </c>
      <c r="BV43" s="452">
        <f t="shared" si="9"/>
        <v>0</v>
      </c>
      <c r="BW43" s="452">
        <f t="shared" si="9"/>
        <v>0</v>
      </c>
      <c r="BX43" s="452">
        <f t="shared" si="9"/>
        <v>0</v>
      </c>
      <c r="BY43" s="452">
        <f t="shared" si="9"/>
        <v>0</v>
      </c>
      <c r="BZ43" s="452">
        <f t="shared" si="9"/>
        <v>0</v>
      </c>
      <c r="CA43" s="452">
        <f t="shared" si="9"/>
        <v>0</v>
      </c>
      <c r="CB43" s="452">
        <f t="shared" si="9"/>
        <v>0</v>
      </c>
      <c r="CC43" s="452">
        <f t="shared" si="9"/>
        <v>0</v>
      </c>
      <c r="CD43" s="452">
        <f t="shared" si="9"/>
        <v>0</v>
      </c>
      <c r="CE43" s="452">
        <f t="shared" si="9"/>
        <v>0</v>
      </c>
      <c r="CF43" s="452">
        <f t="shared" si="9"/>
        <v>0</v>
      </c>
      <c r="CG43" s="452">
        <f t="shared" si="9"/>
        <v>0</v>
      </c>
      <c r="CH43" s="452">
        <f t="shared" si="9"/>
        <v>0</v>
      </c>
      <c r="CI43" s="452">
        <f t="shared" si="9"/>
        <v>0</v>
      </c>
      <c r="CJ43" s="452">
        <f t="shared" si="9"/>
        <v>0</v>
      </c>
      <c r="CK43" s="452">
        <f t="shared" si="9"/>
        <v>0</v>
      </c>
      <c r="CL43" s="452">
        <f t="shared" si="9"/>
        <v>0</v>
      </c>
      <c r="CM43" s="452">
        <f t="shared" si="9"/>
        <v>0</v>
      </c>
      <c r="CN43" s="452">
        <f t="shared" si="9"/>
        <v>0</v>
      </c>
      <c r="CO43" s="452">
        <f t="shared" si="9"/>
        <v>0</v>
      </c>
      <c r="CP43" s="452">
        <f t="shared" si="9"/>
        <v>0</v>
      </c>
      <c r="CQ43" s="452">
        <f t="shared" si="9"/>
        <v>0</v>
      </c>
      <c r="CR43" s="452">
        <f t="shared" si="9"/>
        <v>0</v>
      </c>
      <c r="CS43" s="452">
        <f t="shared" si="9"/>
        <v>0</v>
      </c>
      <c r="CT43" s="452">
        <f t="shared" si="9"/>
        <v>0</v>
      </c>
      <c r="CU43" s="452">
        <f t="shared" si="9"/>
        <v>0</v>
      </c>
      <c r="CV43" s="452">
        <f t="shared" si="9"/>
        <v>0</v>
      </c>
      <c r="CW43" s="452">
        <f t="shared" si="9"/>
        <v>0</v>
      </c>
      <c r="CX43" s="452">
        <f t="shared" si="9"/>
        <v>0</v>
      </c>
      <c r="CY43" s="452">
        <f t="shared" si="9"/>
        <v>0</v>
      </c>
      <c r="CZ43" s="452">
        <f t="shared" si="9"/>
        <v>0</v>
      </c>
      <c r="DA43" s="452">
        <f t="shared" si="9"/>
        <v>0</v>
      </c>
      <c r="DB43" s="452">
        <f t="shared" si="9"/>
        <v>0</v>
      </c>
      <c r="DC43" s="452">
        <f t="shared" si="9"/>
        <v>0</v>
      </c>
      <c r="DD43" s="452">
        <f t="shared" si="9"/>
        <v>0</v>
      </c>
      <c r="DE43" s="452">
        <f t="shared" si="9"/>
        <v>0</v>
      </c>
      <c r="DF43" s="452">
        <f t="shared" si="9"/>
        <v>0</v>
      </c>
      <c r="DG43" s="452">
        <f t="shared" si="9"/>
        <v>0</v>
      </c>
      <c r="DH43" s="452">
        <f t="shared" si="9"/>
        <v>0</v>
      </c>
      <c r="DI43" s="452">
        <f t="shared" si="9"/>
        <v>0</v>
      </c>
      <c r="DJ43" s="452">
        <f t="shared" si="9"/>
        <v>0</v>
      </c>
      <c r="DK43" s="452">
        <f t="shared" si="9"/>
        <v>0</v>
      </c>
      <c r="DL43" s="452">
        <f t="shared" si="9"/>
        <v>0</v>
      </c>
      <c r="DM43" s="452">
        <f t="shared" si="9"/>
        <v>0</v>
      </c>
      <c r="DN43" s="452">
        <f t="shared" si="9"/>
        <v>0</v>
      </c>
      <c r="DO43" s="452">
        <f t="shared" si="9"/>
        <v>0</v>
      </c>
      <c r="DP43" s="452">
        <f t="shared" si="9"/>
        <v>0</v>
      </c>
      <c r="DQ43" s="452">
        <f t="shared" si="9"/>
        <v>0</v>
      </c>
      <c r="DR43" s="452">
        <f t="shared" si="9"/>
        <v>0</v>
      </c>
      <c r="DS43" s="452">
        <f t="shared" si="9"/>
        <v>0</v>
      </c>
      <c r="DT43" s="452">
        <f t="shared" si="9"/>
        <v>0</v>
      </c>
      <c r="DU43" s="452">
        <f t="shared" si="9"/>
        <v>0</v>
      </c>
      <c r="DV43" s="452">
        <f t="shared" si="9"/>
        <v>0</v>
      </c>
      <c r="DW43" s="452">
        <f t="shared" si="9"/>
        <v>0</v>
      </c>
      <c r="DX43" s="452">
        <f t="shared" si="9"/>
        <v>0</v>
      </c>
      <c r="DY43" s="452">
        <f t="shared" si="9"/>
        <v>0</v>
      </c>
      <c r="DZ43" s="452">
        <f t="shared" si="9"/>
        <v>0</v>
      </c>
      <c r="EA43" s="452">
        <f t="shared" si="9"/>
        <v>0</v>
      </c>
      <c r="EB43" s="452">
        <f t="shared" si="9"/>
        <v>0</v>
      </c>
      <c r="EC43" s="452">
        <f t="shared" si="9"/>
        <v>0</v>
      </c>
      <c r="ED43" s="452">
        <f t="shared" ref="ED43:GO43" si="10">IF($D$24="ГС",IF(ED$39=$D$25,1,0),0)</f>
        <v>0</v>
      </c>
      <c r="EE43" s="452">
        <f t="shared" si="10"/>
        <v>0</v>
      </c>
      <c r="EF43" s="452">
        <f t="shared" si="10"/>
        <v>0</v>
      </c>
      <c r="EG43" s="452">
        <f t="shared" si="10"/>
        <v>0</v>
      </c>
      <c r="EH43" s="452">
        <f t="shared" si="10"/>
        <v>0</v>
      </c>
      <c r="EI43" s="452">
        <f t="shared" si="10"/>
        <v>0</v>
      </c>
      <c r="EJ43" s="452">
        <f t="shared" si="10"/>
        <v>0</v>
      </c>
      <c r="EK43" s="452">
        <f t="shared" si="10"/>
        <v>0</v>
      </c>
      <c r="EL43" s="452">
        <f t="shared" si="10"/>
        <v>0</v>
      </c>
      <c r="EM43" s="452">
        <f t="shared" si="10"/>
        <v>0</v>
      </c>
      <c r="EN43" s="452">
        <f t="shared" si="10"/>
        <v>0</v>
      </c>
      <c r="EO43" s="452">
        <f t="shared" si="10"/>
        <v>0</v>
      </c>
      <c r="EP43" s="452">
        <f t="shared" si="10"/>
        <v>0</v>
      </c>
      <c r="EQ43" s="452">
        <f t="shared" si="10"/>
        <v>0</v>
      </c>
      <c r="ER43" s="452">
        <f t="shared" si="10"/>
        <v>0</v>
      </c>
      <c r="ES43" s="452">
        <f t="shared" si="10"/>
        <v>0</v>
      </c>
      <c r="ET43" s="452">
        <f t="shared" si="10"/>
        <v>0</v>
      </c>
      <c r="EU43" s="452">
        <f t="shared" si="10"/>
        <v>0</v>
      </c>
      <c r="EV43" s="452">
        <f t="shared" si="10"/>
        <v>0</v>
      </c>
      <c r="EW43" s="452">
        <f t="shared" si="10"/>
        <v>0</v>
      </c>
      <c r="EX43" s="452">
        <f t="shared" si="10"/>
        <v>0</v>
      </c>
      <c r="EY43" s="452">
        <f t="shared" si="10"/>
        <v>0</v>
      </c>
      <c r="EZ43" s="452">
        <f t="shared" si="10"/>
        <v>0</v>
      </c>
      <c r="FA43" s="452">
        <f t="shared" si="10"/>
        <v>0</v>
      </c>
      <c r="FB43" s="452">
        <f t="shared" si="10"/>
        <v>0</v>
      </c>
      <c r="FC43" s="452">
        <f t="shared" si="10"/>
        <v>0</v>
      </c>
      <c r="FD43" s="452">
        <f t="shared" si="10"/>
        <v>0</v>
      </c>
      <c r="FE43" s="452">
        <f t="shared" si="10"/>
        <v>0</v>
      </c>
      <c r="FF43" s="452">
        <f t="shared" si="10"/>
        <v>0</v>
      </c>
      <c r="FG43" s="452">
        <f t="shared" si="10"/>
        <v>0</v>
      </c>
      <c r="FH43" s="452">
        <f t="shared" si="10"/>
        <v>0</v>
      </c>
      <c r="FI43" s="452">
        <f t="shared" si="10"/>
        <v>0</v>
      </c>
      <c r="FJ43" s="452">
        <f t="shared" si="10"/>
        <v>0</v>
      </c>
      <c r="FK43" s="452">
        <f t="shared" si="10"/>
        <v>0</v>
      </c>
      <c r="FL43" s="452">
        <f t="shared" si="10"/>
        <v>0</v>
      </c>
      <c r="FM43" s="452">
        <f t="shared" si="10"/>
        <v>0</v>
      </c>
      <c r="FN43" s="452">
        <f t="shared" si="10"/>
        <v>0</v>
      </c>
      <c r="FO43" s="452">
        <f t="shared" si="10"/>
        <v>0</v>
      </c>
      <c r="FP43" s="452">
        <f t="shared" si="10"/>
        <v>0</v>
      </c>
      <c r="FQ43" s="452">
        <f t="shared" si="10"/>
        <v>0</v>
      </c>
      <c r="FR43" s="452">
        <f t="shared" si="10"/>
        <v>0</v>
      </c>
      <c r="FS43" s="452">
        <f t="shared" si="10"/>
        <v>0</v>
      </c>
      <c r="FT43" s="452">
        <f t="shared" si="10"/>
        <v>0</v>
      </c>
      <c r="FU43" s="452">
        <f t="shared" si="10"/>
        <v>0</v>
      </c>
      <c r="FV43" s="452">
        <f t="shared" si="10"/>
        <v>0</v>
      </c>
      <c r="FW43" s="452">
        <f t="shared" si="10"/>
        <v>0</v>
      </c>
      <c r="FX43" s="452">
        <f t="shared" si="10"/>
        <v>0</v>
      </c>
      <c r="FY43" s="452">
        <f t="shared" si="10"/>
        <v>0</v>
      </c>
      <c r="FZ43" s="452">
        <f t="shared" si="10"/>
        <v>0</v>
      </c>
      <c r="GA43" s="452">
        <f t="shared" si="10"/>
        <v>0</v>
      </c>
      <c r="GB43" s="452">
        <f t="shared" si="10"/>
        <v>0</v>
      </c>
      <c r="GC43" s="452">
        <f t="shared" si="10"/>
        <v>0</v>
      </c>
      <c r="GD43" s="452">
        <f t="shared" si="10"/>
        <v>0</v>
      </c>
      <c r="GE43" s="452">
        <f t="shared" si="10"/>
        <v>0</v>
      </c>
      <c r="GF43" s="452">
        <f t="shared" si="10"/>
        <v>0</v>
      </c>
      <c r="GG43" s="452">
        <f t="shared" si="10"/>
        <v>0</v>
      </c>
      <c r="GH43" s="452">
        <f t="shared" si="10"/>
        <v>0</v>
      </c>
      <c r="GI43" s="452">
        <f t="shared" si="10"/>
        <v>0</v>
      </c>
      <c r="GJ43" s="452">
        <f t="shared" si="10"/>
        <v>0</v>
      </c>
      <c r="GK43" s="452">
        <f t="shared" si="10"/>
        <v>0</v>
      </c>
      <c r="GL43" s="452">
        <f t="shared" si="10"/>
        <v>0</v>
      </c>
      <c r="GM43" s="452">
        <f t="shared" si="10"/>
        <v>0</v>
      </c>
      <c r="GN43" s="452">
        <f t="shared" si="10"/>
        <v>0</v>
      </c>
      <c r="GO43" s="452">
        <f t="shared" si="10"/>
        <v>0</v>
      </c>
      <c r="GP43" s="452">
        <f t="shared" ref="GP43:IV43" si="11">IF($D$24="ГС",IF(GP$39=$D$25,1,0),0)</f>
        <v>0</v>
      </c>
      <c r="GQ43" s="452">
        <f t="shared" si="11"/>
        <v>0</v>
      </c>
      <c r="GR43" s="452">
        <f t="shared" si="11"/>
        <v>0</v>
      </c>
      <c r="GS43" s="452">
        <f t="shared" si="11"/>
        <v>0</v>
      </c>
      <c r="GT43" s="452">
        <f t="shared" si="11"/>
        <v>0</v>
      </c>
      <c r="GU43" s="452">
        <f t="shared" si="11"/>
        <v>0</v>
      </c>
      <c r="GV43" s="452">
        <f t="shared" si="11"/>
        <v>0</v>
      </c>
      <c r="GW43" s="452">
        <f t="shared" si="11"/>
        <v>0</v>
      </c>
      <c r="GX43" s="452">
        <f t="shared" si="11"/>
        <v>0</v>
      </c>
      <c r="GY43" s="452">
        <f t="shared" si="11"/>
        <v>0</v>
      </c>
      <c r="GZ43" s="452">
        <f t="shared" si="11"/>
        <v>0</v>
      </c>
      <c r="HA43" s="452">
        <f t="shared" si="11"/>
        <v>0</v>
      </c>
      <c r="HB43" s="452">
        <f t="shared" si="11"/>
        <v>0</v>
      </c>
      <c r="HC43" s="452">
        <f t="shared" si="11"/>
        <v>0</v>
      </c>
      <c r="HD43" s="452">
        <f t="shared" si="11"/>
        <v>0</v>
      </c>
      <c r="HE43" s="452">
        <f t="shared" si="11"/>
        <v>0</v>
      </c>
      <c r="HF43" s="452">
        <f t="shared" si="11"/>
        <v>0</v>
      </c>
      <c r="HG43" s="452">
        <f t="shared" si="11"/>
        <v>0</v>
      </c>
      <c r="HH43" s="452">
        <f t="shared" si="11"/>
        <v>0</v>
      </c>
      <c r="HI43" s="452">
        <f t="shared" si="11"/>
        <v>0</v>
      </c>
      <c r="HJ43" s="452">
        <f t="shared" si="11"/>
        <v>0</v>
      </c>
      <c r="HK43" s="452">
        <f t="shared" si="11"/>
        <v>0</v>
      </c>
      <c r="HL43" s="452">
        <f t="shared" si="11"/>
        <v>0</v>
      </c>
      <c r="HM43" s="452">
        <f t="shared" si="11"/>
        <v>0</v>
      </c>
      <c r="HN43" s="452">
        <f t="shared" si="11"/>
        <v>0</v>
      </c>
      <c r="HO43" s="452">
        <f t="shared" si="11"/>
        <v>0</v>
      </c>
      <c r="HP43" s="452">
        <f t="shared" si="11"/>
        <v>0</v>
      </c>
      <c r="HQ43" s="452">
        <f t="shared" si="11"/>
        <v>0</v>
      </c>
      <c r="HR43" s="452">
        <f t="shared" si="11"/>
        <v>0</v>
      </c>
      <c r="HS43" s="452">
        <f t="shared" si="11"/>
        <v>0</v>
      </c>
      <c r="HT43" s="452">
        <f t="shared" si="11"/>
        <v>0</v>
      </c>
      <c r="HU43" s="452">
        <f t="shared" si="11"/>
        <v>0</v>
      </c>
      <c r="HV43" s="452">
        <f t="shared" si="11"/>
        <v>0</v>
      </c>
      <c r="HW43" s="452">
        <f t="shared" si="11"/>
        <v>0</v>
      </c>
      <c r="HX43" s="452">
        <f t="shared" si="11"/>
        <v>0</v>
      </c>
      <c r="HY43" s="452">
        <f t="shared" si="11"/>
        <v>0</v>
      </c>
      <c r="HZ43" s="452">
        <f t="shared" si="11"/>
        <v>0</v>
      </c>
      <c r="IA43" s="452">
        <f t="shared" si="11"/>
        <v>0</v>
      </c>
      <c r="IB43" s="452">
        <f t="shared" si="11"/>
        <v>0</v>
      </c>
      <c r="IC43" s="452">
        <f t="shared" si="11"/>
        <v>0</v>
      </c>
      <c r="ID43" s="452">
        <f t="shared" si="11"/>
        <v>0</v>
      </c>
      <c r="IE43" s="452">
        <f t="shared" si="11"/>
        <v>0</v>
      </c>
      <c r="IF43" s="452">
        <f t="shared" si="11"/>
        <v>0</v>
      </c>
      <c r="IG43" s="452">
        <f t="shared" si="11"/>
        <v>0</v>
      </c>
      <c r="IH43" s="452">
        <f t="shared" si="11"/>
        <v>0</v>
      </c>
      <c r="II43" s="452">
        <f t="shared" si="11"/>
        <v>0</v>
      </c>
      <c r="IJ43" s="452">
        <f t="shared" si="11"/>
        <v>0</v>
      </c>
      <c r="IK43" s="452">
        <f t="shared" si="11"/>
        <v>0</v>
      </c>
      <c r="IL43" s="452">
        <f t="shared" si="11"/>
        <v>0</v>
      </c>
      <c r="IM43" s="452">
        <f t="shared" si="11"/>
        <v>0</v>
      </c>
      <c r="IN43" s="452">
        <f t="shared" si="11"/>
        <v>0</v>
      </c>
      <c r="IO43" s="452">
        <f t="shared" si="11"/>
        <v>0</v>
      </c>
      <c r="IP43" s="452">
        <f t="shared" si="11"/>
        <v>0</v>
      </c>
      <c r="IQ43" s="452">
        <f t="shared" si="11"/>
        <v>0</v>
      </c>
      <c r="IR43" s="452">
        <f t="shared" si="11"/>
        <v>0</v>
      </c>
      <c r="IS43" s="452">
        <f t="shared" si="11"/>
        <v>0</v>
      </c>
      <c r="IT43" s="452">
        <f t="shared" si="11"/>
        <v>0</v>
      </c>
      <c r="IU43" s="452">
        <f t="shared" si="11"/>
        <v>0</v>
      </c>
      <c r="IV43" s="452">
        <f t="shared" si="11"/>
        <v>0</v>
      </c>
      <c r="IX43" s="323"/>
    </row>
    <row r="44" spans="1:258">
      <c r="A44" s="319"/>
      <c r="B44" s="461" t="str">
        <f>"-ГС с МСГРП"</f>
        <v>-ГС с МСГРП</v>
      </c>
      <c r="C44" s="459"/>
      <c r="D44" s="328"/>
      <c r="E44" s="454">
        <f>IF($D$24="ГС с МСГРП",IF(E$39=$D$25,1,0),0)</f>
        <v>0</v>
      </c>
      <c r="F44" s="454">
        <f t="shared" ref="F44:BQ44" si="12">IF($D$24="ГС с МСГРП",IF(F$39=$D$25,1,0),0)</f>
        <v>0</v>
      </c>
      <c r="G44" s="454">
        <f t="shared" si="12"/>
        <v>0</v>
      </c>
      <c r="H44" s="454">
        <f t="shared" si="12"/>
        <v>0</v>
      </c>
      <c r="I44" s="454">
        <f t="shared" si="12"/>
        <v>0</v>
      </c>
      <c r="J44" s="454">
        <f t="shared" si="12"/>
        <v>0</v>
      </c>
      <c r="K44" s="454">
        <f t="shared" si="12"/>
        <v>0</v>
      </c>
      <c r="L44" s="454">
        <f t="shared" si="12"/>
        <v>0</v>
      </c>
      <c r="M44" s="454">
        <f t="shared" si="12"/>
        <v>0</v>
      </c>
      <c r="N44" s="454">
        <f t="shared" si="12"/>
        <v>0</v>
      </c>
      <c r="O44" s="454">
        <f t="shared" si="12"/>
        <v>0</v>
      </c>
      <c r="P44" s="454">
        <f t="shared" si="12"/>
        <v>0</v>
      </c>
      <c r="Q44" s="454">
        <f t="shared" si="12"/>
        <v>0</v>
      </c>
      <c r="R44" s="454">
        <f t="shared" si="12"/>
        <v>0</v>
      </c>
      <c r="S44" s="454">
        <f t="shared" si="12"/>
        <v>0</v>
      </c>
      <c r="T44" s="454">
        <f t="shared" si="12"/>
        <v>0</v>
      </c>
      <c r="U44" s="454">
        <f t="shared" si="12"/>
        <v>0</v>
      </c>
      <c r="V44" s="454">
        <f t="shared" si="12"/>
        <v>0</v>
      </c>
      <c r="W44" s="454">
        <f t="shared" si="12"/>
        <v>0</v>
      </c>
      <c r="X44" s="454">
        <f t="shared" si="12"/>
        <v>0</v>
      </c>
      <c r="Y44" s="454">
        <f t="shared" si="12"/>
        <v>0</v>
      </c>
      <c r="Z44" s="454">
        <f t="shared" si="12"/>
        <v>0</v>
      </c>
      <c r="AA44" s="454">
        <f t="shared" si="12"/>
        <v>0</v>
      </c>
      <c r="AB44" s="454">
        <f t="shared" si="12"/>
        <v>0</v>
      </c>
      <c r="AC44" s="454">
        <f t="shared" si="12"/>
        <v>0</v>
      </c>
      <c r="AD44" s="454">
        <f t="shared" si="12"/>
        <v>0</v>
      </c>
      <c r="AE44" s="454">
        <f t="shared" si="12"/>
        <v>0</v>
      </c>
      <c r="AF44" s="454">
        <f t="shared" si="12"/>
        <v>0</v>
      </c>
      <c r="AG44" s="454">
        <f t="shared" si="12"/>
        <v>0</v>
      </c>
      <c r="AH44" s="454">
        <f t="shared" si="12"/>
        <v>0</v>
      </c>
      <c r="AI44" s="454">
        <f t="shared" si="12"/>
        <v>0</v>
      </c>
      <c r="AJ44" s="454">
        <f t="shared" si="12"/>
        <v>0</v>
      </c>
      <c r="AK44" s="454">
        <f t="shared" si="12"/>
        <v>0</v>
      </c>
      <c r="AL44" s="454">
        <f t="shared" si="12"/>
        <v>0</v>
      </c>
      <c r="AM44" s="454">
        <f t="shared" si="12"/>
        <v>0</v>
      </c>
      <c r="AN44" s="454">
        <f t="shared" si="12"/>
        <v>0</v>
      </c>
      <c r="AO44" s="454">
        <f t="shared" si="12"/>
        <v>0</v>
      </c>
      <c r="AP44" s="454">
        <f t="shared" si="12"/>
        <v>0</v>
      </c>
      <c r="AQ44" s="454">
        <f t="shared" si="12"/>
        <v>0</v>
      </c>
      <c r="AR44" s="454">
        <f t="shared" si="12"/>
        <v>0</v>
      </c>
      <c r="AS44" s="454">
        <f t="shared" si="12"/>
        <v>0</v>
      </c>
      <c r="AT44" s="454">
        <f t="shared" si="12"/>
        <v>0</v>
      </c>
      <c r="AU44" s="454">
        <f t="shared" si="12"/>
        <v>0</v>
      </c>
      <c r="AV44" s="454">
        <f t="shared" si="12"/>
        <v>0</v>
      </c>
      <c r="AW44" s="454">
        <f t="shared" si="12"/>
        <v>0</v>
      </c>
      <c r="AX44" s="454">
        <f t="shared" si="12"/>
        <v>0</v>
      </c>
      <c r="AY44" s="454">
        <f t="shared" si="12"/>
        <v>0</v>
      </c>
      <c r="AZ44" s="454">
        <f t="shared" si="12"/>
        <v>0</v>
      </c>
      <c r="BA44" s="454">
        <f t="shared" si="12"/>
        <v>0</v>
      </c>
      <c r="BB44" s="454">
        <f t="shared" si="12"/>
        <v>0</v>
      </c>
      <c r="BC44" s="454">
        <f t="shared" si="12"/>
        <v>0</v>
      </c>
      <c r="BD44" s="454">
        <f t="shared" si="12"/>
        <v>0</v>
      </c>
      <c r="BE44" s="454">
        <f t="shared" si="12"/>
        <v>0</v>
      </c>
      <c r="BF44" s="454">
        <f t="shared" si="12"/>
        <v>0</v>
      </c>
      <c r="BG44" s="454">
        <f t="shared" si="12"/>
        <v>0</v>
      </c>
      <c r="BH44" s="454">
        <f t="shared" si="12"/>
        <v>0</v>
      </c>
      <c r="BI44" s="454">
        <f t="shared" si="12"/>
        <v>0</v>
      </c>
      <c r="BJ44" s="454">
        <f t="shared" si="12"/>
        <v>0</v>
      </c>
      <c r="BK44" s="454">
        <f t="shared" si="12"/>
        <v>0</v>
      </c>
      <c r="BL44" s="454">
        <f t="shared" si="12"/>
        <v>0</v>
      </c>
      <c r="BM44" s="454">
        <f t="shared" si="12"/>
        <v>0</v>
      </c>
      <c r="BN44" s="454">
        <f t="shared" si="12"/>
        <v>0</v>
      </c>
      <c r="BO44" s="454">
        <f t="shared" si="12"/>
        <v>0</v>
      </c>
      <c r="BP44" s="454">
        <f t="shared" si="12"/>
        <v>0</v>
      </c>
      <c r="BQ44" s="454">
        <f t="shared" si="12"/>
        <v>0</v>
      </c>
      <c r="BR44" s="454">
        <f t="shared" ref="BR44:EC44" si="13">IF($D$24="ГС с МСГРП",IF(BR$39=$D$25,1,0),0)</f>
        <v>0</v>
      </c>
      <c r="BS44" s="454">
        <f t="shared" si="13"/>
        <v>0</v>
      </c>
      <c r="BT44" s="454">
        <f t="shared" si="13"/>
        <v>0</v>
      </c>
      <c r="BU44" s="454">
        <f t="shared" si="13"/>
        <v>0</v>
      </c>
      <c r="BV44" s="454">
        <f t="shared" si="13"/>
        <v>0</v>
      </c>
      <c r="BW44" s="454">
        <f t="shared" si="13"/>
        <v>0</v>
      </c>
      <c r="BX44" s="454">
        <f t="shared" si="13"/>
        <v>0</v>
      </c>
      <c r="BY44" s="454">
        <f t="shared" si="13"/>
        <v>0</v>
      </c>
      <c r="BZ44" s="454">
        <f t="shared" si="13"/>
        <v>0</v>
      </c>
      <c r="CA44" s="454">
        <f t="shared" si="13"/>
        <v>0</v>
      </c>
      <c r="CB44" s="454">
        <f t="shared" si="13"/>
        <v>0</v>
      </c>
      <c r="CC44" s="454">
        <f t="shared" si="13"/>
        <v>0</v>
      </c>
      <c r="CD44" s="454">
        <f t="shared" si="13"/>
        <v>0</v>
      </c>
      <c r="CE44" s="454">
        <f t="shared" si="13"/>
        <v>0</v>
      </c>
      <c r="CF44" s="454">
        <f t="shared" si="13"/>
        <v>0</v>
      </c>
      <c r="CG44" s="454">
        <f t="shared" si="13"/>
        <v>0</v>
      </c>
      <c r="CH44" s="454">
        <f t="shared" si="13"/>
        <v>0</v>
      </c>
      <c r="CI44" s="454">
        <f t="shared" si="13"/>
        <v>0</v>
      </c>
      <c r="CJ44" s="454">
        <f t="shared" si="13"/>
        <v>0</v>
      </c>
      <c r="CK44" s="454">
        <f t="shared" si="13"/>
        <v>0</v>
      </c>
      <c r="CL44" s="454">
        <f t="shared" si="13"/>
        <v>0</v>
      </c>
      <c r="CM44" s="454">
        <f t="shared" si="13"/>
        <v>0</v>
      </c>
      <c r="CN44" s="454">
        <f t="shared" si="13"/>
        <v>0</v>
      </c>
      <c r="CO44" s="454">
        <f t="shared" si="13"/>
        <v>0</v>
      </c>
      <c r="CP44" s="454">
        <f t="shared" si="13"/>
        <v>0</v>
      </c>
      <c r="CQ44" s="454">
        <f t="shared" si="13"/>
        <v>0</v>
      </c>
      <c r="CR44" s="454">
        <f t="shared" si="13"/>
        <v>0</v>
      </c>
      <c r="CS44" s="454">
        <f t="shared" si="13"/>
        <v>0</v>
      </c>
      <c r="CT44" s="454">
        <f t="shared" si="13"/>
        <v>0</v>
      </c>
      <c r="CU44" s="454">
        <f t="shared" si="13"/>
        <v>0</v>
      </c>
      <c r="CV44" s="454">
        <f t="shared" si="13"/>
        <v>0</v>
      </c>
      <c r="CW44" s="454">
        <f t="shared" si="13"/>
        <v>0</v>
      </c>
      <c r="CX44" s="454">
        <f t="shared" si="13"/>
        <v>0</v>
      </c>
      <c r="CY44" s="454">
        <f t="shared" si="13"/>
        <v>0</v>
      </c>
      <c r="CZ44" s="454">
        <f t="shared" si="13"/>
        <v>0</v>
      </c>
      <c r="DA44" s="454">
        <f t="shared" si="13"/>
        <v>0</v>
      </c>
      <c r="DB44" s="454">
        <f t="shared" si="13"/>
        <v>0</v>
      </c>
      <c r="DC44" s="454">
        <f t="shared" si="13"/>
        <v>0</v>
      </c>
      <c r="DD44" s="454">
        <f t="shared" si="13"/>
        <v>0</v>
      </c>
      <c r="DE44" s="454">
        <f t="shared" si="13"/>
        <v>0</v>
      </c>
      <c r="DF44" s="454">
        <f t="shared" si="13"/>
        <v>0</v>
      </c>
      <c r="DG44" s="454">
        <f t="shared" si="13"/>
        <v>0</v>
      </c>
      <c r="DH44" s="454">
        <f t="shared" si="13"/>
        <v>0</v>
      </c>
      <c r="DI44" s="454">
        <f t="shared" si="13"/>
        <v>0</v>
      </c>
      <c r="DJ44" s="454">
        <f t="shared" si="13"/>
        <v>0</v>
      </c>
      <c r="DK44" s="454">
        <f t="shared" si="13"/>
        <v>0</v>
      </c>
      <c r="DL44" s="454">
        <f t="shared" si="13"/>
        <v>0</v>
      </c>
      <c r="DM44" s="454">
        <f t="shared" si="13"/>
        <v>0</v>
      </c>
      <c r="DN44" s="454">
        <f t="shared" si="13"/>
        <v>0</v>
      </c>
      <c r="DO44" s="454">
        <f t="shared" si="13"/>
        <v>0</v>
      </c>
      <c r="DP44" s="454">
        <f t="shared" si="13"/>
        <v>0</v>
      </c>
      <c r="DQ44" s="454">
        <f t="shared" si="13"/>
        <v>0</v>
      </c>
      <c r="DR44" s="454">
        <f t="shared" si="13"/>
        <v>0</v>
      </c>
      <c r="DS44" s="454">
        <f t="shared" si="13"/>
        <v>0</v>
      </c>
      <c r="DT44" s="454">
        <f t="shared" si="13"/>
        <v>0</v>
      </c>
      <c r="DU44" s="454">
        <f t="shared" si="13"/>
        <v>0</v>
      </c>
      <c r="DV44" s="454">
        <f t="shared" si="13"/>
        <v>0</v>
      </c>
      <c r="DW44" s="454">
        <f t="shared" si="13"/>
        <v>0</v>
      </c>
      <c r="DX44" s="454">
        <f t="shared" si="13"/>
        <v>0</v>
      </c>
      <c r="DY44" s="454">
        <f t="shared" si="13"/>
        <v>0</v>
      </c>
      <c r="DZ44" s="454">
        <f t="shared" si="13"/>
        <v>0</v>
      </c>
      <c r="EA44" s="454">
        <f t="shared" si="13"/>
        <v>0</v>
      </c>
      <c r="EB44" s="454">
        <f t="shared" si="13"/>
        <v>0</v>
      </c>
      <c r="EC44" s="454">
        <f t="shared" si="13"/>
        <v>0</v>
      </c>
      <c r="ED44" s="454">
        <f t="shared" ref="ED44:GO44" si="14">IF($D$24="ГС с МСГРП",IF(ED$39=$D$25,1,0),0)</f>
        <v>0</v>
      </c>
      <c r="EE44" s="454">
        <f t="shared" si="14"/>
        <v>0</v>
      </c>
      <c r="EF44" s="454">
        <f t="shared" si="14"/>
        <v>0</v>
      </c>
      <c r="EG44" s="454">
        <f t="shared" si="14"/>
        <v>0</v>
      </c>
      <c r="EH44" s="454">
        <f t="shared" si="14"/>
        <v>0</v>
      </c>
      <c r="EI44" s="454">
        <f t="shared" si="14"/>
        <v>0</v>
      </c>
      <c r="EJ44" s="454">
        <f t="shared" si="14"/>
        <v>0</v>
      </c>
      <c r="EK44" s="454">
        <f t="shared" si="14"/>
        <v>0</v>
      </c>
      <c r="EL44" s="454">
        <f t="shared" si="14"/>
        <v>0</v>
      </c>
      <c r="EM44" s="454">
        <f t="shared" si="14"/>
        <v>0</v>
      </c>
      <c r="EN44" s="454">
        <f t="shared" si="14"/>
        <v>0</v>
      </c>
      <c r="EO44" s="454">
        <f t="shared" si="14"/>
        <v>0</v>
      </c>
      <c r="EP44" s="454">
        <f t="shared" si="14"/>
        <v>0</v>
      </c>
      <c r="EQ44" s="454">
        <f t="shared" si="14"/>
        <v>0</v>
      </c>
      <c r="ER44" s="454">
        <f t="shared" si="14"/>
        <v>0</v>
      </c>
      <c r="ES44" s="454">
        <f t="shared" si="14"/>
        <v>0</v>
      </c>
      <c r="ET44" s="454">
        <f t="shared" si="14"/>
        <v>0</v>
      </c>
      <c r="EU44" s="454">
        <f t="shared" si="14"/>
        <v>0</v>
      </c>
      <c r="EV44" s="454">
        <f t="shared" si="14"/>
        <v>0</v>
      </c>
      <c r="EW44" s="454">
        <f t="shared" si="14"/>
        <v>0</v>
      </c>
      <c r="EX44" s="454">
        <f t="shared" si="14"/>
        <v>0</v>
      </c>
      <c r="EY44" s="454">
        <f t="shared" si="14"/>
        <v>0</v>
      </c>
      <c r="EZ44" s="454">
        <f t="shared" si="14"/>
        <v>0</v>
      </c>
      <c r="FA44" s="454">
        <f t="shared" si="14"/>
        <v>0</v>
      </c>
      <c r="FB44" s="454">
        <f t="shared" si="14"/>
        <v>0</v>
      </c>
      <c r="FC44" s="454">
        <f t="shared" si="14"/>
        <v>0</v>
      </c>
      <c r="FD44" s="454">
        <f t="shared" si="14"/>
        <v>0</v>
      </c>
      <c r="FE44" s="454">
        <f t="shared" si="14"/>
        <v>0</v>
      </c>
      <c r="FF44" s="454">
        <f t="shared" si="14"/>
        <v>0</v>
      </c>
      <c r="FG44" s="454">
        <f t="shared" si="14"/>
        <v>0</v>
      </c>
      <c r="FH44" s="454">
        <f t="shared" si="14"/>
        <v>0</v>
      </c>
      <c r="FI44" s="454">
        <f t="shared" si="14"/>
        <v>0</v>
      </c>
      <c r="FJ44" s="454">
        <f t="shared" si="14"/>
        <v>0</v>
      </c>
      <c r="FK44" s="454">
        <f t="shared" si="14"/>
        <v>0</v>
      </c>
      <c r="FL44" s="454">
        <f t="shared" si="14"/>
        <v>0</v>
      </c>
      <c r="FM44" s="454">
        <f t="shared" si="14"/>
        <v>0</v>
      </c>
      <c r="FN44" s="454">
        <f t="shared" si="14"/>
        <v>0</v>
      </c>
      <c r="FO44" s="454">
        <f t="shared" si="14"/>
        <v>0</v>
      </c>
      <c r="FP44" s="454">
        <f t="shared" si="14"/>
        <v>0</v>
      </c>
      <c r="FQ44" s="454">
        <f t="shared" si="14"/>
        <v>0</v>
      </c>
      <c r="FR44" s="454">
        <f t="shared" si="14"/>
        <v>0</v>
      </c>
      <c r="FS44" s="454">
        <f t="shared" si="14"/>
        <v>0</v>
      </c>
      <c r="FT44" s="454">
        <f t="shared" si="14"/>
        <v>0</v>
      </c>
      <c r="FU44" s="454">
        <f t="shared" si="14"/>
        <v>0</v>
      </c>
      <c r="FV44" s="454">
        <f t="shared" si="14"/>
        <v>0</v>
      </c>
      <c r="FW44" s="454">
        <f t="shared" si="14"/>
        <v>0</v>
      </c>
      <c r="FX44" s="454">
        <f t="shared" si="14"/>
        <v>0</v>
      </c>
      <c r="FY44" s="454">
        <f t="shared" si="14"/>
        <v>0</v>
      </c>
      <c r="FZ44" s="454">
        <f t="shared" si="14"/>
        <v>0</v>
      </c>
      <c r="GA44" s="454">
        <f t="shared" si="14"/>
        <v>0</v>
      </c>
      <c r="GB44" s="454">
        <f t="shared" si="14"/>
        <v>0</v>
      </c>
      <c r="GC44" s="454">
        <f t="shared" si="14"/>
        <v>0</v>
      </c>
      <c r="GD44" s="454">
        <f t="shared" si="14"/>
        <v>0</v>
      </c>
      <c r="GE44" s="454">
        <f t="shared" si="14"/>
        <v>0</v>
      </c>
      <c r="GF44" s="454">
        <f t="shared" si="14"/>
        <v>0</v>
      </c>
      <c r="GG44" s="454">
        <f t="shared" si="14"/>
        <v>0</v>
      </c>
      <c r="GH44" s="454">
        <f t="shared" si="14"/>
        <v>0</v>
      </c>
      <c r="GI44" s="454">
        <f t="shared" si="14"/>
        <v>0</v>
      </c>
      <c r="GJ44" s="454">
        <f t="shared" si="14"/>
        <v>0</v>
      </c>
      <c r="GK44" s="454">
        <f t="shared" si="14"/>
        <v>0</v>
      </c>
      <c r="GL44" s="454">
        <f t="shared" si="14"/>
        <v>0</v>
      </c>
      <c r="GM44" s="454">
        <f t="shared" si="14"/>
        <v>0</v>
      </c>
      <c r="GN44" s="454">
        <f t="shared" si="14"/>
        <v>0</v>
      </c>
      <c r="GO44" s="454">
        <f t="shared" si="14"/>
        <v>0</v>
      </c>
      <c r="GP44" s="454">
        <f t="shared" ref="GP44:IV44" si="15">IF($D$24="ГС с МСГРП",IF(GP$39=$D$25,1,0),0)</f>
        <v>0</v>
      </c>
      <c r="GQ44" s="454">
        <f t="shared" si="15"/>
        <v>0</v>
      </c>
      <c r="GR44" s="454">
        <f t="shared" si="15"/>
        <v>0</v>
      </c>
      <c r="GS44" s="454">
        <f t="shared" si="15"/>
        <v>0</v>
      </c>
      <c r="GT44" s="454">
        <f t="shared" si="15"/>
        <v>0</v>
      </c>
      <c r="GU44" s="454">
        <f t="shared" si="15"/>
        <v>0</v>
      </c>
      <c r="GV44" s="454">
        <f t="shared" si="15"/>
        <v>0</v>
      </c>
      <c r="GW44" s="454">
        <f t="shared" si="15"/>
        <v>0</v>
      </c>
      <c r="GX44" s="454">
        <f t="shared" si="15"/>
        <v>0</v>
      </c>
      <c r="GY44" s="454">
        <f t="shared" si="15"/>
        <v>0</v>
      </c>
      <c r="GZ44" s="454">
        <f t="shared" si="15"/>
        <v>0</v>
      </c>
      <c r="HA44" s="454">
        <f t="shared" si="15"/>
        <v>0</v>
      </c>
      <c r="HB44" s="454">
        <f t="shared" si="15"/>
        <v>0</v>
      </c>
      <c r="HC44" s="454">
        <f t="shared" si="15"/>
        <v>0</v>
      </c>
      <c r="HD44" s="454">
        <f t="shared" si="15"/>
        <v>0</v>
      </c>
      <c r="HE44" s="454">
        <f t="shared" si="15"/>
        <v>0</v>
      </c>
      <c r="HF44" s="454">
        <f t="shared" si="15"/>
        <v>0</v>
      </c>
      <c r="HG44" s="454">
        <f t="shared" si="15"/>
        <v>0</v>
      </c>
      <c r="HH44" s="454">
        <f t="shared" si="15"/>
        <v>0</v>
      </c>
      <c r="HI44" s="454">
        <f t="shared" si="15"/>
        <v>0</v>
      </c>
      <c r="HJ44" s="454">
        <f t="shared" si="15"/>
        <v>0</v>
      </c>
      <c r="HK44" s="454">
        <f t="shared" si="15"/>
        <v>0</v>
      </c>
      <c r="HL44" s="454">
        <f t="shared" si="15"/>
        <v>0</v>
      </c>
      <c r="HM44" s="454">
        <f t="shared" si="15"/>
        <v>0</v>
      </c>
      <c r="HN44" s="454">
        <f t="shared" si="15"/>
        <v>0</v>
      </c>
      <c r="HO44" s="454">
        <f t="shared" si="15"/>
        <v>0</v>
      </c>
      <c r="HP44" s="454">
        <f t="shared" si="15"/>
        <v>0</v>
      </c>
      <c r="HQ44" s="454">
        <f t="shared" si="15"/>
        <v>0</v>
      </c>
      <c r="HR44" s="454">
        <f t="shared" si="15"/>
        <v>0</v>
      </c>
      <c r="HS44" s="454">
        <f t="shared" si="15"/>
        <v>0</v>
      </c>
      <c r="HT44" s="454">
        <f t="shared" si="15"/>
        <v>0</v>
      </c>
      <c r="HU44" s="454">
        <f t="shared" si="15"/>
        <v>0</v>
      </c>
      <c r="HV44" s="454">
        <f t="shared" si="15"/>
        <v>0</v>
      </c>
      <c r="HW44" s="454">
        <f t="shared" si="15"/>
        <v>0</v>
      </c>
      <c r="HX44" s="454">
        <f t="shared" si="15"/>
        <v>0</v>
      </c>
      <c r="HY44" s="454">
        <f t="shared" si="15"/>
        <v>0</v>
      </c>
      <c r="HZ44" s="454">
        <f t="shared" si="15"/>
        <v>0</v>
      </c>
      <c r="IA44" s="454">
        <f t="shared" si="15"/>
        <v>0</v>
      </c>
      <c r="IB44" s="454">
        <f t="shared" si="15"/>
        <v>0</v>
      </c>
      <c r="IC44" s="454">
        <f t="shared" si="15"/>
        <v>0</v>
      </c>
      <c r="ID44" s="454">
        <f t="shared" si="15"/>
        <v>0</v>
      </c>
      <c r="IE44" s="454">
        <f t="shared" si="15"/>
        <v>0</v>
      </c>
      <c r="IF44" s="454">
        <f t="shared" si="15"/>
        <v>0</v>
      </c>
      <c r="IG44" s="454">
        <f t="shared" si="15"/>
        <v>0</v>
      </c>
      <c r="IH44" s="454">
        <f t="shared" si="15"/>
        <v>0</v>
      </c>
      <c r="II44" s="454">
        <f t="shared" si="15"/>
        <v>0</v>
      </c>
      <c r="IJ44" s="454">
        <f t="shared" si="15"/>
        <v>0</v>
      </c>
      <c r="IK44" s="454">
        <f t="shared" si="15"/>
        <v>0</v>
      </c>
      <c r="IL44" s="454">
        <f t="shared" si="15"/>
        <v>0</v>
      </c>
      <c r="IM44" s="454">
        <f t="shared" si="15"/>
        <v>0</v>
      </c>
      <c r="IN44" s="454">
        <f t="shared" si="15"/>
        <v>0</v>
      </c>
      <c r="IO44" s="454">
        <f t="shared" si="15"/>
        <v>0</v>
      </c>
      <c r="IP44" s="454">
        <f t="shared" si="15"/>
        <v>0</v>
      </c>
      <c r="IQ44" s="454">
        <f t="shared" si="15"/>
        <v>0</v>
      </c>
      <c r="IR44" s="454">
        <f t="shared" si="15"/>
        <v>0</v>
      </c>
      <c r="IS44" s="454">
        <f t="shared" si="15"/>
        <v>0</v>
      </c>
      <c r="IT44" s="454">
        <f t="shared" si="15"/>
        <v>0</v>
      </c>
      <c r="IU44" s="454">
        <f t="shared" si="15"/>
        <v>0</v>
      </c>
      <c r="IV44" s="454">
        <f t="shared" si="15"/>
        <v>0</v>
      </c>
      <c r="IX44" s="323"/>
    </row>
    <row r="45" spans="1:258">
      <c r="A45" s="319" t="s">
        <v>449</v>
      </c>
      <c r="B45" s="575" t="s">
        <v>447</v>
      </c>
      <c r="C45" s="575"/>
      <c r="D45" s="323" t="s">
        <v>113</v>
      </c>
      <c r="E45" s="453">
        <f>IF(E49=0,E56*E47,0)</f>
        <v>29.45</v>
      </c>
      <c r="F45" s="453">
        <f>IF(SUM($E$48:F49)=0,F56*F47,0)</f>
        <v>26.599999999999998</v>
      </c>
      <c r="G45" s="453">
        <f>IF(SUM($E$48:G49)=0,G56*G47,0)</f>
        <v>29.45</v>
      </c>
      <c r="H45" s="453">
        <f>IF(SUM($E$48:H49)=0,H56*H47,0)</f>
        <v>28.5</v>
      </c>
      <c r="I45" s="453">
        <f>IF(SUM($E$48:I49)=0,I56*I47,0)</f>
        <v>29.45</v>
      </c>
      <c r="J45" s="453">
        <f>IF(SUM($E$48:J49)=0,J56*J47,0)</f>
        <v>28.5</v>
      </c>
      <c r="K45" s="453">
        <f>IF(SUM($E$48:K49)=0,K56*K47,0)</f>
        <v>29.45</v>
      </c>
      <c r="L45" s="453">
        <f>IF(SUM($E$48:L49)=0,L56*L47,0)</f>
        <v>29.45</v>
      </c>
      <c r="M45" s="453">
        <f>IF(SUM($E$48:M49)=0,M56*M47,0)</f>
        <v>28.5</v>
      </c>
      <c r="N45" s="453">
        <f>IF(SUM($E$48:N49)=0,N56*N47,0)</f>
        <v>29.45</v>
      </c>
      <c r="O45" s="453">
        <f>IF(SUM($E$48:O49)=0,O56*O47,0)</f>
        <v>28.5</v>
      </c>
      <c r="P45" s="453">
        <f>IF(SUM($E$48:P49)=0,P56*P47,0)</f>
        <v>29.45</v>
      </c>
      <c r="Q45" s="453">
        <f>IF(SUM($E$48:Q49)=0,Q56*Q47,0)</f>
        <v>29.45</v>
      </c>
      <c r="R45" s="453">
        <f>IF(SUM($E$48:R49)=0,R56*R47,0)</f>
        <v>26.599999999999998</v>
      </c>
      <c r="S45" s="453">
        <f>IF(SUM($E$48:S49)=0,S56*S47,0)</f>
        <v>29.45</v>
      </c>
      <c r="T45" s="453">
        <f>IF(SUM($E$48:T49)=0,T56*T47,0)</f>
        <v>28.5</v>
      </c>
      <c r="U45" s="453">
        <f>IF(SUM($E$48:U49)=0,U56*U47,0)</f>
        <v>29.45</v>
      </c>
      <c r="V45" s="453">
        <f>IF(SUM($E$48:V49)=0,V56*V47,0)</f>
        <v>28.5</v>
      </c>
      <c r="W45" s="453">
        <f>IF(SUM($E$48:W49)=0,W56*W47,0)</f>
        <v>29.45</v>
      </c>
      <c r="X45" s="453">
        <f>IF(SUM($E$48:X49)=0,X56*X47,0)</f>
        <v>29.45</v>
      </c>
      <c r="Y45" s="453">
        <f>IF(SUM($E$48:Y49)=0,Y56*Y47,0)</f>
        <v>28.5</v>
      </c>
      <c r="Z45" s="453">
        <f>IF(SUM($E$48:Z49)=0,Z56*Z47,0)</f>
        <v>29.45</v>
      </c>
      <c r="AA45" s="453">
        <f>IF(SUM($E$48:AA49)=0,AA56*AA47,0)</f>
        <v>28.5</v>
      </c>
      <c r="AB45" s="453">
        <f>IF(SUM($E$48:AB49)=0,AB56*AB47,0)</f>
        <v>29.45</v>
      </c>
      <c r="AC45" s="453">
        <f>IF(SUM($E$48:AC49)=0,AC56*AC47,0)</f>
        <v>29.45</v>
      </c>
      <c r="AD45" s="453">
        <f>IF(SUM($E$48:AD49)=0,AD56*AD47,0)</f>
        <v>26.599999999999998</v>
      </c>
      <c r="AE45" s="453">
        <f>IF(SUM($E$48:AE49)=0,AE56*AE47,0)</f>
        <v>29.45</v>
      </c>
      <c r="AF45" s="453">
        <f>IF(SUM($E$48:AF49)=0,AF56*AF47,0)</f>
        <v>28.5</v>
      </c>
      <c r="AG45" s="453">
        <f>IF(SUM($E$48:AG49)=0,AG56*AG47,0)</f>
        <v>29.45</v>
      </c>
      <c r="AH45" s="453">
        <f>IF(SUM($E$48:AH49)=0,AH56*AH47,0)</f>
        <v>28.5</v>
      </c>
      <c r="AI45" s="453">
        <f>IF(SUM($E$48:AI49)=0,AI56*AI47,0)</f>
        <v>29.45</v>
      </c>
      <c r="AJ45" s="453">
        <f>IF(SUM($E$48:AJ49)=0,AJ56*AJ47,0)</f>
        <v>29.45</v>
      </c>
      <c r="AK45" s="453">
        <f>IF(SUM($E$48:AK49)=0,AK56*AK47,0)</f>
        <v>28.5</v>
      </c>
      <c r="AL45" s="453">
        <f>IF(SUM($E$48:AL49)=0,AL56*AL47,0)</f>
        <v>29.45</v>
      </c>
      <c r="AM45" s="453">
        <f>IF(SUM($E$48:AM49)=0,AM56*AM47,0)</f>
        <v>28.5</v>
      </c>
      <c r="AN45" s="453">
        <f>IF(SUM($E$48:AN49)=0,AN56*AN47,0)</f>
        <v>29.45</v>
      </c>
      <c r="AO45" s="453">
        <f>IF(SUM($E$48:AO49)=0,AO56*AO47,0)</f>
        <v>0</v>
      </c>
      <c r="AP45" s="453">
        <f>IF(SUM($E$48:AP49)=0,AP56*AP47,0)</f>
        <v>0</v>
      </c>
      <c r="AQ45" s="453">
        <f>IF(SUM($E$48:AQ49)=0,AQ56*AQ47,0)</f>
        <v>0</v>
      </c>
      <c r="AR45" s="453">
        <f>IF(SUM($E$48:AR49)=0,AR56*AR47,0)</f>
        <v>0</v>
      </c>
      <c r="AS45" s="453">
        <f>IF(SUM($E$48:AS49)=0,AS56*AS47,0)</f>
        <v>0</v>
      </c>
      <c r="AT45" s="453">
        <f>IF(SUM($E$48:AT49)=0,AT56*AT47,0)</f>
        <v>0</v>
      </c>
      <c r="AU45" s="453">
        <f>IF(SUM($E$48:AU49)=0,AU56*AU47,0)</f>
        <v>0</v>
      </c>
      <c r="AV45" s="453">
        <f>IF(SUM($E$48:AV49)=0,AV56*AV47,0)</f>
        <v>0</v>
      </c>
      <c r="AW45" s="453">
        <f>IF(SUM($E$48:AW49)=0,AW56*AW47,0)</f>
        <v>0</v>
      </c>
      <c r="AX45" s="453">
        <f>IF(SUM($E$48:AX49)=0,AX56*AX47,0)</f>
        <v>0</v>
      </c>
      <c r="AY45" s="453">
        <f>IF(SUM($E$48:AY49)=0,AY56*AY47,0)</f>
        <v>0</v>
      </c>
      <c r="AZ45" s="453">
        <f>IF(SUM($E$48:AZ49)=0,AZ56*AZ47,0)</f>
        <v>0</v>
      </c>
      <c r="BA45" s="453">
        <f>IF(SUM($E$48:BA49)=0,BA56*BA47,0)</f>
        <v>0</v>
      </c>
      <c r="BB45" s="453">
        <f>IF(SUM($E$48:BB49)=0,BB56*BB47,0)</f>
        <v>0</v>
      </c>
      <c r="BC45" s="453">
        <f>IF(SUM($E$48:BC49)=0,BC56*BC47,0)</f>
        <v>0</v>
      </c>
      <c r="BD45" s="453">
        <f>IF(SUM($E$48:BD49)=0,BD56*BD47,0)</f>
        <v>0</v>
      </c>
      <c r="BE45" s="453">
        <f>IF(SUM($E$48:BE49)=0,BE56*BE47,0)</f>
        <v>0</v>
      </c>
      <c r="BF45" s="453">
        <f>IF(SUM($E$48:BF49)=0,BF56*BF47,0)</f>
        <v>0</v>
      </c>
      <c r="BG45" s="453">
        <f>IF(SUM($E$48:BG49)=0,BG56*BG47,0)</f>
        <v>0</v>
      </c>
      <c r="BH45" s="453">
        <f>IF(SUM($E$48:BH49)=0,BH56*BH47,0)</f>
        <v>0</v>
      </c>
      <c r="BI45" s="453">
        <f>IF(SUM($E$48:BI49)=0,BI56*BI47,0)</f>
        <v>0</v>
      </c>
      <c r="BJ45" s="453">
        <f>IF(SUM($E$48:BJ49)=0,BJ56*BJ47,0)</f>
        <v>0</v>
      </c>
      <c r="BK45" s="453">
        <f>IF(SUM($E$48:BK49)=0,BK56*BK47,0)</f>
        <v>0</v>
      </c>
      <c r="BL45" s="453">
        <f>IF(SUM($E$48:BL49)=0,BL56*BL47,0)</f>
        <v>0</v>
      </c>
      <c r="BM45" s="453">
        <f>IF(SUM($E$48:BM49)=0,BM56*BM47,0)</f>
        <v>0</v>
      </c>
      <c r="BN45" s="453">
        <f>IF(SUM($E$48:BN49)=0,BN56*BN47,0)</f>
        <v>0</v>
      </c>
      <c r="BO45" s="453">
        <f>IF(SUM($E$48:BO49)=0,BO56*BO47,0)</f>
        <v>0</v>
      </c>
      <c r="BP45" s="453">
        <f>IF(SUM($E$48:BP49)=0,BP56*BP47,0)</f>
        <v>0</v>
      </c>
      <c r="BQ45" s="453">
        <f>IF(SUM($E$48:BQ49)=0,BQ56*BQ47,0)</f>
        <v>0</v>
      </c>
      <c r="BR45" s="453">
        <f>IF(SUM($E$48:BR49)=0,BR56*BR47,0)</f>
        <v>0</v>
      </c>
      <c r="BS45" s="453">
        <f>IF(SUM($E$48:BS49)=0,BS56*BS47,0)</f>
        <v>0</v>
      </c>
      <c r="BT45" s="453">
        <f>IF(SUM($E$48:BT49)=0,BT56*BT47,0)</f>
        <v>0</v>
      </c>
      <c r="BU45" s="453">
        <f>IF(SUM($E$48:BU49)=0,BU56*BU47,0)</f>
        <v>0</v>
      </c>
      <c r="BV45" s="453">
        <f>IF(SUM($E$48:BV49)=0,BV56*BV47,0)</f>
        <v>0</v>
      </c>
      <c r="BW45" s="453">
        <f>IF(SUM($E$48:BW49)=0,BW56*BW47,0)</f>
        <v>0</v>
      </c>
      <c r="BX45" s="453">
        <f>IF(SUM($E$48:BX49)=0,BX56*BX47,0)</f>
        <v>0</v>
      </c>
      <c r="BY45" s="453">
        <f>IF(SUM($E$48:BY49)=0,BY56*BY47,0)</f>
        <v>0</v>
      </c>
      <c r="BZ45" s="453">
        <f>IF(SUM($E$48:BZ49)=0,BZ56*BZ47,0)</f>
        <v>0</v>
      </c>
      <c r="CA45" s="453">
        <f>IF(SUM($E$48:CA49)=0,CA56*CA47,0)</f>
        <v>0</v>
      </c>
      <c r="CB45" s="453">
        <f>IF(SUM($E$48:CB49)=0,CB56*CB47,0)</f>
        <v>0</v>
      </c>
      <c r="CC45" s="453">
        <f>IF(SUM($E$48:CC49)=0,CC56*CC47,0)</f>
        <v>0</v>
      </c>
      <c r="CD45" s="453">
        <f>IF(SUM($E$48:CD49)=0,CD56*CD47,0)</f>
        <v>0</v>
      </c>
      <c r="CE45" s="453">
        <f>IF(SUM($E$48:CE49)=0,CE56*CE47,0)</f>
        <v>0</v>
      </c>
      <c r="CF45" s="453">
        <f>IF(SUM($E$48:CF49)=0,CF56*CF47,0)</f>
        <v>0</v>
      </c>
      <c r="CG45" s="453">
        <f>IF(SUM($E$48:CG49)=0,CG56*CG47,0)</f>
        <v>0</v>
      </c>
      <c r="CH45" s="453">
        <f>IF(SUM($E$48:CH49)=0,CH56*CH47,0)</f>
        <v>0</v>
      </c>
      <c r="CI45" s="453">
        <f>IF(SUM($E$48:CI49)=0,CI56*CI47,0)</f>
        <v>0</v>
      </c>
      <c r="CJ45" s="453">
        <f>IF(SUM($E$48:CJ49)=0,CJ56*CJ47,0)</f>
        <v>0</v>
      </c>
      <c r="CK45" s="453">
        <f>IF(SUM($E$48:CK49)=0,CK56*CK47,0)</f>
        <v>0</v>
      </c>
      <c r="CL45" s="453">
        <f>IF(SUM($E$48:CL49)=0,CL56*CL47,0)</f>
        <v>0</v>
      </c>
      <c r="CM45" s="453">
        <f>IF(SUM($E$48:CM49)=0,CM56*CM47,0)</f>
        <v>0</v>
      </c>
      <c r="CN45" s="453">
        <f>IF(SUM($E$48:CN49)=0,CN56*CN47,0)</f>
        <v>0</v>
      </c>
      <c r="CO45" s="453">
        <f>IF(SUM($E$48:CO49)=0,CO56*CO47,0)</f>
        <v>0</v>
      </c>
      <c r="CP45" s="453">
        <f>IF(SUM($E$48:CP49)=0,CP56*CP47,0)</f>
        <v>0</v>
      </c>
      <c r="CQ45" s="453">
        <f>IF(SUM($E$48:CQ49)=0,CQ56*CQ47,0)</f>
        <v>0</v>
      </c>
      <c r="CR45" s="453">
        <f>IF(SUM($E$48:CR49)=0,CR56*CR47,0)</f>
        <v>0</v>
      </c>
      <c r="CS45" s="453">
        <f>IF(SUM($E$48:CS49)=0,CS56*CS47,0)</f>
        <v>0</v>
      </c>
      <c r="CT45" s="453">
        <f>IF(SUM($E$48:CT49)=0,CT56*CT47,0)</f>
        <v>0</v>
      </c>
      <c r="CU45" s="453">
        <f>IF(SUM($E$48:CU49)=0,CU56*CU47,0)</f>
        <v>0</v>
      </c>
      <c r="CV45" s="453">
        <f>IF(SUM($E$48:CV49)=0,CV56*CV47,0)</f>
        <v>0</v>
      </c>
      <c r="CW45" s="453">
        <f>IF(SUM($E$48:CW49)=0,CW56*CW47,0)</f>
        <v>0</v>
      </c>
      <c r="CX45" s="453">
        <f>IF(SUM($E$48:CX49)=0,CX56*CX47,0)</f>
        <v>0</v>
      </c>
      <c r="CY45" s="453">
        <f>IF(SUM($E$48:CY49)=0,CY56*CY47,0)</f>
        <v>0</v>
      </c>
      <c r="CZ45" s="453">
        <f>IF(SUM($E$48:CZ49)=0,CZ56*CZ47,0)</f>
        <v>0</v>
      </c>
      <c r="DA45" s="453">
        <f>IF(SUM($E$48:DA49)=0,DA56*DA47,0)</f>
        <v>0</v>
      </c>
      <c r="DB45" s="453">
        <f>IF(SUM($E$48:DB49)=0,DB56*DB47,0)</f>
        <v>0</v>
      </c>
      <c r="DC45" s="453">
        <f>IF(SUM($E$48:DC49)=0,DC56*DC47,0)</f>
        <v>0</v>
      </c>
      <c r="DD45" s="453">
        <f>IF(SUM($E$48:DD49)=0,DD56*DD47,0)</f>
        <v>0</v>
      </c>
      <c r="DE45" s="453">
        <f>IF(SUM($E$48:DE49)=0,DE56*DE47,0)</f>
        <v>0</v>
      </c>
      <c r="DF45" s="453">
        <f>IF(SUM($E$48:DF49)=0,DF56*DF47,0)</f>
        <v>0</v>
      </c>
      <c r="DG45" s="453">
        <f>IF(SUM($E$48:DG49)=0,DG56*DG47,0)</f>
        <v>0</v>
      </c>
      <c r="DH45" s="453">
        <f>IF(SUM($E$48:DH49)=0,DH56*DH47,0)</f>
        <v>0</v>
      </c>
      <c r="DI45" s="453">
        <f>IF(SUM($E$48:DI49)=0,DI56*DI47,0)</f>
        <v>0</v>
      </c>
      <c r="DJ45" s="453">
        <f>IF(SUM($E$48:DJ49)=0,DJ56*DJ47,0)</f>
        <v>0</v>
      </c>
      <c r="DK45" s="453">
        <f>IF(SUM($E$48:DK49)=0,DK56*DK47,0)</f>
        <v>0</v>
      </c>
      <c r="DL45" s="453">
        <f>IF(SUM($E$48:DL49)=0,DL56*DL47,0)</f>
        <v>0</v>
      </c>
      <c r="DM45" s="453">
        <f>IF(SUM($E$48:DM49)=0,DM56*DM47,0)</f>
        <v>0</v>
      </c>
      <c r="DN45" s="453">
        <f>IF(SUM($E$48:DN49)=0,DN56*DN47,0)</f>
        <v>0</v>
      </c>
      <c r="DO45" s="453">
        <f>IF(SUM($E$48:DO49)=0,DO56*DO47,0)</f>
        <v>0</v>
      </c>
      <c r="DP45" s="453">
        <f>IF(SUM($E$48:DP49)=0,DP56*DP47,0)</f>
        <v>0</v>
      </c>
      <c r="DQ45" s="453">
        <f>IF(SUM($E$48:DQ49)=0,DQ56*DQ47,0)</f>
        <v>0</v>
      </c>
      <c r="DR45" s="453">
        <f>IF(SUM($E$48:DR49)=0,DR56*DR47,0)</f>
        <v>0</v>
      </c>
      <c r="DS45" s="453">
        <f>IF(SUM($E$48:DS49)=0,DS56*DS47,0)</f>
        <v>0</v>
      </c>
      <c r="DT45" s="453">
        <f>IF(SUM($E$48:DT49)=0,DT56*DT47,0)</f>
        <v>0</v>
      </c>
      <c r="DU45" s="453">
        <f>IF(SUM($E$48:DU49)=0,DU56*DU47,0)</f>
        <v>0</v>
      </c>
      <c r="DV45" s="453">
        <f>IF(SUM($E$48:DV49)=0,DV56*DV47,0)</f>
        <v>0</v>
      </c>
      <c r="DW45" s="453">
        <f>IF(SUM($E$48:DW49)=0,DW56*DW47,0)</f>
        <v>0</v>
      </c>
      <c r="DX45" s="453">
        <f>IF(SUM($E$48:DX49)=0,DX56*DX47,0)</f>
        <v>0</v>
      </c>
      <c r="DY45" s="453">
        <f>IF(SUM($E$48:DY49)=0,DY56*DY47,0)</f>
        <v>0</v>
      </c>
      <c r="DZ45" s="453">
        <f>IF(SUM($E$48:DZ49)=0,DZ56*DZ47,0)</f>
        <v>0</v>
      </c>
      <c r="EA45" s="453">
        <f>IF(SUM($E$48:EA49)=0,EA56*EA47,0)</f>
        <v>0</v>
      </c>
      <c r="EB45" s="453">
        <f>IF(SUM($E$48:EB49)=0,EB56*EB47,0)</f>
        <v>0</v>
      </c>
      <c r="EC45" s="453">
        <f>IF(SUM($E$48:EC49)=0,EC56*EC47,0)</f>
        <v>0</v>
      </c>
      <c r="ED45" s="453">
        <f>IF(SUM($E$48:ED49)=0,ED56*ED47,0)</f>
        <v>0</v>
      </c>
      <c r="EE45" s="453">
        <f>IF(SUM($E$48:EE49)=0,EE56*EE47,0)</f>
        <v>0</v>
      </c>
      <c r="EF45" s="453">
        <f>IF(SUM($E$48:EF49)=0,EF56*EF47,0)</f>
        <v>0</v>
      </c>
      <c r="EG45" s="453">
        <f>IF(SUM($E$48:EG49)=0,EG56*EG47,0)</f>
        <v>0</v>
      </c>
      <c r="EH45" s="453">
        <f>IF(SUM($E$48:EH49)=0,EH56*EH47,0)</f>
        <v>0</v>
      </c>
      <c r="EI45" s="453">
        <f>IF(SUM($E$48:EI49)=0,EI56*EI47,0)</f>
        <v>0</v>
      </c>
      <c r="EJ45" s="453">
        <f>IF(SUM($E$48:EJ49)=0,EJ56*EJ47,0)</f>
        <v>0</v>
      </c>
      <c r="EK45" s="453">
        <f>IF(SUM($E$48:EK49)=0,EK56*EK47,0)</f>
        <v>0</v>
      </c>
      <c r="EL45" s="453">
        <f>IF(SUM($E$48:EL49)=0,EL56*EL47,0)</f>
        <v>0</v>
      </c>
      <c r="EM45" s="453">
        <f>IF(SUM($E$48:EM49)=0,EM56*EM47,0)</f>
        <v>0</v>
      </c>
      <c r="EN45" s="453">
        <f>IF(SUM($E$48:EN49)=0,EN56*EN47,0)</f>
        <v>0</v>
      </c>
      <c r="EO45" s="453">
        <f>IF(SUM($E$48:EO49)=0,EO56*EO47,0)</f>
        <v>0</v>
      </c>
      <c r="EP45" s="453">
        <f>IF(SUM($E$48:EP49)=0,EP56*EP47,0)</f>
        <v>0</v>
      </c>
      <c r="EQ45" s="453">
        <f>IF(SUM($E$48:EQ49)=0,EQ56*EQ47,0)</f>
        <v>0</v>
      </c>
      <c r="ER45" s="453">
        <f>IF(SUM($E$48:ER49)=0,ER56*ER47,0)</f>
        <v>0</v>
      </c>
      <c r="ES45" s="453">
        <f>IF(SUM($E$48:ES49)=0,ES56*ES47,0)</f>
        <v>0</v>
      </c>
      <c r="ET45" s="453">
        <f>IF(SUM($E$48:ET49)=0,ET56*ET47,0)</f>
        <v>0</v>
      </c>
      <c r="EU45" s="453">
        <f>IF(SUM($E$48:EU49)=0,EU56*EU47,0)</f>
        <v>0</v>
      </c>
      <c r="EV45" s="453">
        <f>IF(SUM($E$48:EV49)=0,EV56*EV47,0)</f>
        <v>0</v>
      </c>
      <c r="EW45" s="453">
        <f>IF(SUM($E$48:EW49)=0,EW56*EW47,0)</f>
        <v>0</v>
      </c>
      <c r="EX45" s="453">
        <f>IF(SUM($E$48:EX49)=0,EX56*EX47,0)</f>
        <v>0</v>
      </c>
      <c r="EY45" s="453">
        <f>IF(SUM($E$48:EY49)=0,EY56*EY47,0)</f>
        <v>0</v>
      </c>
      <c r="EZ45" s="453">
        <f>IF(SUM($E$48:EZ49)=0,EZ56*EZ47,0)</f>
        <v>0</v>
      </c>
      <c r="FA45" s="453">
        <f>IF(SUM($E$48:FA49)=0,FA56*FA47,0)</f>
        <v>0</v>
      </c>
      <c r="FB45" s="453">
        <f>IF(SUM($E$48:FB49)=0,FB56*FB47,0)</f>
        <v>0</v>
      </c>
      <c r="FC45" s="453">
        <f>IF(SUM($E$48:FC49)=0,FC56*FC47,0)</f>
        <v>0</v>
      </c>
      <c r="FD45" s="453">
        <f>IF(SUM($E$48:FD49)=0,FD56*FD47,0)</f>
        <v>0</v>
      </c>
      <c r="FE45" s="453">
        <f>IF(SUM($E$48:FE49)=0,FE56*FE47,0)</f>
        <v>0</v>
      </c>
      <c r="FF45" s="453">
        <f>IF(SUM($E$48:FF49)=0,FF56*FF47,0)</f>
        <v>0</v>
      </c>
      <c r="FG45" s="453">
        <f>IF(SUM($E$48:FG49)=0,FG56*FG47,0)</f>
        <v>0</v>
      </c>
      <c r="FH45" s="453">
        <f>IF(SUM($E$48:FH49)=0,FH56*FH47,0)</f>
        <v>0</v>
      </c>
      <c r="FI45" s="453">
        <f>IF(SUM($E$48:FI49)=0,FI56*FI47,0)</f>
        <v>0</v>
      </c>
      <c r="FJ45" s="453">
        <f>IF(SUM($E$48:FJ49)=0,FJ56*FJ47,0)</f>
        <v>0</v>
      </c>
      <c r="FK45" s="453">
        <f>IF(SUM($E$48:FK49)=0,FK56*FK47,0)</f>
        <v>0</v>
      </c>
      <c r="FL45" s="453">
        <f>IF(SUM($E$48:FL49)=0,FL56*FL47,0)</f>
        <v>0</v>
      </c>
      <c r="FM45" s="453">
        <f>IF(SUM($E$48:FM49)=0,FM56*FM47,0)</f>
        <v>0</v>
      </c>
      <c r="FN45" s="453">
        <f>IF(SUM($E$48:FN49)=0,FN56*FN47,0)</f>
        <v>0</v>
      </c>
      <c r="FO45" s="453">
        <f>IF(SUM($E$48:FO49)=0,FO56*FO47,0)</f>
        <v>0</v>
      </c>
      <c r="FP45" s="453">
        <f>IF(SUM($E$48:FP49)=0,FP56*FP47,0)</f>
        <v>0</v>
      </c>
      <c r="FQ45" s="453">
        <f>IF(SUM($E$48:FQ49)=0,FQ56*FQ47,0)</f>
        <v>0</v>
      </c>
      <c r="FR45" s="453">
        <f>IF(SUM($E$48:FR49)=0,FR56*FR47,0)</f>
        <v>0</v>
      </c>
      <c r="FS45" s="453">
        <f>IF(SUM($E$48:FS49)=0,FS56*FS47,0)</f>
        <v>0</v>
      </c>
      <c r="FT45" s="453">
        <f>IF(SUM($E$48:FT49)=0,FT56*FT47,0)</f>
        <v>0</v>
      </c>
      <c r="FU45" s="453">
        <f>IF(SUM($E$48:FU49)=0,FU56*FU47,0)</f>
        <v>0</v>
      </c>
      <c r="FV45" s="453">
        <f>IF(SUM($E$48:FV49)=0,FV56*FV47,0)</f>
        <v>0</v>
      </c>
      <c r="FW45" s="453">
        <f>IF(SUM($E$48:FW49)=0,FW56*FW47,0)</f>
        <v>0</v>
      </c>
      <c r="FX45" s="453">
        <f>IF(SUM($E$48:FX49)=0,FX56*FX47,0)</f>
        <v>0</v>
      </c>
      <c r="FY45" s="453">
        <f>IF(SUM($E$48:FY49)=0,FY56*FY47,0)</f>
        <v>0</v>
      </c>
      <c r="FZ45" s="453">
        <f>IF(SUM($E$48:FZ49)=0,FZ56*FZ47,0)</f>
        <v>0</v>
      </c>
      <c r="GA45" s="453">
        <f>IF(SUM($E$48:GA49)=0,GA56*GA47,0)</f>
        <v>0</v>
      </c>
      <c r="GB45" s="453">
        <f>IF(SUM($E$48:GB49)=0,GB56*GB47,0)</f>
        <v>0</v>
      </c>
      <c r="GC45" s="453">
        <f>IF(SUM($E$48:GC49)=0,GC56*GC47,0)</f>
        <v>0</v>
      </c>
      <c r="GD45" s="453">
        <f>IF(SUM($E$48:GD49)=0,GD56*GD47,0)</f>
        <v>0</v>
      </c>
      <c r="GE45" s="453">
        <f>IF(SUM($E$48:GE49)=0,GE56*GE47,0)</f>
        <v>0</v>
      </c>
      <c r="GF45" s="453">
        <f>IF(SUM($E$48:GF49)=0,GF56*GF47,0)</f>
        <v>0</v>
      </c>
      <c r="GG45" s="453">
        <f>IF(SUM($E$48:GG49)=0,GG56*GG47,0)</f>
        <v>0</v>
      </c>
      <c r="GH45" s="453">
        <f>IF(SUM($E$48:GH49)=0,GH56*GH47,0)</f>
        <v>0</v>
      </c>
      <c r="GI45" s="453">
        <f>IF(SUM($E$48:GI49)=0,GI56*GI47,0)</f>
        <v>0</v>
      </c>
      <c r="GJ45" s="453">
        <f>IF(SUM($E$48:GJ49)=0,GJ56*GJ47,0)</f>
        <v>0</v>
      </c>
      <c r="GK45" s="453">
        <f>IF(SUM($E$48:GK49)=0,GK56*GK47,0)</f>
        <v>0</v>
      </c>
      <c r="GL45" s="453">
        <f>IF(SUM($E$48:GL49)=0,GL56*GL47,0)</f>
        <v>0</v>
      </c>
      <c r="GM45" s="453">
        <f>IF(SUM($E$48:GM49)=0,GM56*GM47,0)</f>
        <v>0</v>
      </c>
      <c r="GN45" s="453">
        <f>IF(SUM($E$48:GN49)=0,GN56*GN47,0)</f>
        <v>0</v>
      </c>
      <c r="GO45" s="453">
        <f>IF(SUM($E$48:GO49)=0,GO56*GO47,0)</f>
        <v>0</v>
      </c>
      <c r="GP45" s="453">
        <f>IF(SUM($E$48:GP49)=0,GP56*GP47,0)</f>
        <v>0</v>
      </c>
      <c r="GQ45" s="453">
        <f>IF(SUM($E$48:GQ49)=0,GQ56*GQ47,0)</f>
        <v>0</v>
      </c>
      <c r="GR45" s="453">
        <f>IF(SUM($E$48:GR49)=0,GR56*GR47,0)</f>
        <v>0</v>
      </c>
      <c r="GS45" s="453">
        <f>IF(SUM($E$48:GS49)=0,GS56*GS47,0)</f>
        <v>0</v>
      </c>
      <c r="GT45" s="453">
        <f>IF(SUM($E$48:GT49)=0,GT56*GT47,0)</f>
        <v>0</v>
      </c>
      <c r="GU45" s="453">
        <f>IF(SUM($E$48:GU49)=0,GU56*GU47,0)</f>
        <v>0</v>
      </c>
      <c r="GV45" s="453">
        <f>IF(SUM($E$48:GV49)=0,GV56*GV47,0)</f>
        <v>0</v>
      </c>
      <c r="GW45" s="453">
        <f>IF(SUM($E$48:GW49)=0,GW56*GW47,0)</f>
        <v>0</v>
      </c>
      <c r="GX45" s="453">
        <f>IF(SUM($E$48:GX49)=0,GX56*GX47,0)</f>
        <v>0</v>
      </c>
      <c r="GY45" s="453">
        <f>IF(SUM($E$48:GY49)=0,GY56*GY47,0)</f>
        <v>0</v>
      </c>
      <c r="GZ45" s="453">
        <f>IF(SUM($E$48:GZ49)=0,GZ56*GZ47,0)</f>
        <v>0</v>
      </c>
      <c r="HA45" s="453">
        <f>IF(SUM($E$48:HA49)=0,HA56*HA47,0)</f>
        <v>0</v>
      </c>
      <c r="HB45" s="453">
        <f>IF(SUM($E$48:HB49)=0,HB56*HB47,0)</f>
        <v>0</v>
      </c>
      <c r="HC45" s="453">
        <f>IF(SUM($E$48:HC49)=0,HC56*HC47,0)</f>
        <v>0</v>
      </c>
      <c r="HD45" s="453">
        <f>IF(SUM($E$48:HD49)=0,HD56*HD47,0)</f>
        <v>0</v>
      </c>
      <c r="HE45" s="453">
        <f>IF(SUM($E$48:HE49)=0,HE56*HE47,0)</f>
        <v>0</v>
      </c>
      <c r="HF45" s="453">
        <f>IF(SUM($E$48:HF49)=0,HF56*HF47,0)</f>
        <v>0</v>
      </c>
      <c r="HG45" s="453">
        <f>IF(SUM($E$48:HG49)=0,HG56*HG47,0)</f>
        <v>0</v>
      </c>
      <c r="HH45" s="453">
        <f>IF(SUM($E$48:HH49)=0,HH56*HH47,0)</f>
        <v>0</v>
      </c>
      <c r="HI45" s="453">
        <f>IF(SUM($E$48:HI49)=0,HI56*HI47,0)</f>
        <v>0</v>
      </c>
      <c r="HJ45" s="453">
        <f>IF(SUM($E$48:HJ49)=0,HJ56*HJ47,0)</f>
        <v>0</v>
      </c>
      <c r="HK45" s="453">
        <f>IF(SUM($E$48:HK49)=0,HK56*HK47,0)</f>
        <v>0</v>
      </c>
      <c r="HL45" s="453">
        <f>IF(SUM($E$48:HL49)=0,HL56*HL47,0)</f>
        <v>0</v>
      </c>
      <c r="HM45" s="453">
        <f>IF(SUM($E$48:HM49)=0,HM56*HM47,0)</f>
        <v>0</v>
      </c>
      <c r="HN45" s="453">
        <f>IF(SUM($E$48:HN49)=0,HN56*HN47,0)</f>
        <v>0</v>
      </c>
      <c r="HO45" s="453">
        <f>IF(SUM($E$48:HO49)=0,HO56*HO47,0)</f>
        <v>0</v>
      </c>
      <c r="HP45" s="453">
        <f>IF(SUM($E$48:HP49)=0,HP56*HP47,0)</f>
        <v>0</v>
      </c>
      <c r="HQ45" s="453">
        <f>IF(SUM($E$48:HQ49)=0,HQ56*HQ47,0)</f>
        <v>0</v>
      </c>
      <c r="HR45" s="453">
        <f>IF(SUM($E$48:HR49)=0,HR56*HR47,0)</f>
        <v>0</v>
      </c>
      <c r="HS45" s="453">
        <f>IF(SUM($E$48:HS49)=0,HS56*HS47,0)</f>
        <v>0</v>
      </c>
      <c r="HT45" s="453">
        <f>IF(SUM($E$48:HT49)=0,HT56*HT47,0)</f>
        <v>0</v>
      </c>
      <c r="HU45" s="453">
        <f>IF(SUM($E$48:HU49)=0,HU56*HU47,0)</f>
        <v>0</v>
      </c>
      <c r="HV45" s="453">
        <f>IF(SUM($E$48:HV49)=0,HV56*HV47,0)</f>
        <v>0</v>
      </c>
      <c r="HW45" s="453">
        <f>IF(SUM($E$48:HW49)=0,HW56*HW47,0)</f>
        <v>0</v>
      </c>
      <c r="HX45" s="453">
        <f>IF(SUM($E$48:HX49)=0,HX56*HX47,0)</f>
        <v>0</v>
      </c>
      <c r="HY45" s="453">
        <f>IF(SUM($E$48:HY49)=0,HY56*HY47,0)</f>
        <v>0</v>
      </c>
      <c r="HZ45" s="453">
        <f>IF(SUM($E$48:HZ49)=0,HZ56*HZ47,0)</f>
        <v>0</v>
      </c>
      <c r="IA45" s="453">
        <f>IF(SUM($E$48:IA49)=0,IA56*IA47,0)</f>
        <v>0</v>
      </c>
      <c r="IB45" s="453">
        <f>IF(SUM($E$48:IB49)=0,IB56*IB47,0)</f>
        <v>0</v>
      </c>
      <c r="IC45" s="453">
        <f>IF(SUM($E$48:IC49)=0,IC56*IC47,0)</f>
        <v>0</v>
      </c>
      <c r="ID45" s="453">
        <f>IF(SUM($E$48:ID49)=0,ID56*ID47,0)</f>
        <v>0</v>
      </c>
      <c r="IE45" s="453">
        <f>IF(SUM($E$48:IE49)=0,IE56*IE47,0)</f>
        <v>0</v>
      </c>
      <c r="IF45" s="453">
        <f>IF(SUM($E$48:IF49)=0,IF56*IF47,0)</f>
        <v>0</v>
      </c>
      <c r="IG45" s="453">
        <f>IF(SUM($E$48:IG49)=0,IG56*IG47,0)</f>
        <v>0</v>
      </c>
      <c r="IH45" s="453">
        <f>IF(SUM($E$48:IH49)=0,IH56*IH47,0)</f>
        <v>0</v>
      </c>
      <c r="II45" s="453">
        <f>IF(SUM($E$48:II49)=0,II56*II47,0)</f>
        <v>0</v>
      </c>
      <c r="IJ45" s="453">
        <f>IF(SUM($E$48:IJ49)=0,IJ56*IJ47,0)</f>
        <v>0</v>
      </c>
      <c r="IK45" s="453">
        <f>IF(SUM($E$48:IK49)=0,IK56*IK47,0)</f>
        <v>0</v>
      </c>
      <c r="IL45" s="453">
        <f>IF(SUM($E$48:IL49)=0,IL56*IL47,0)</f>
        <v>0</v>
      </c>
      <c r="IM45" s="453">
        <f>IF(SUM($E$48:IM49)=0,IM56*IM47,0)</f>
        <v>0</v>
      </c>
      <c r="IN45" s="453">
        <f>IF(SUM($E$48:IN49)=0,IN56*IN47,0)</f>
        <v>0</v>
      </c>
      <c r="IO45" s="453">
        <f>IF(SUM($E$48:IO49)=0,IO56*IO47,0)</f>
        <v>0</v>
      </c>
      <c r="IP45" s="453">
        <f>IF(SUM($E$48:IP49)=0,IP56*IP47,0)</f>
        <v>0</v>
      </c>
      <c r="IQ45" s="453">
        <f>IF(SUM($E$48:IQ49)=0,IQ56*IQ47,0)</f>
        <v>0</v>
      </c>
      <c r="IR45" s="453">
        <f>IF(SUM($E$48:IR49)=0,IR56*IR47,0)</f>
        <v>0</v>
      </c>
      <c r="IS45" s="453">
        <f>IF(SUM($E$48:IS49)=0,IS56*IS47,0)</f>
        <v>0</v>
      </c>
      <c r="IT45" s="453">
        <f>IF(SUM($E$48:IT49)=0,IT56*IT47,0)</f>
        <v>0</v>
      </c>
      <c r="IU45" s="453">
        <f>IF(SUM($E$48:IU49)=0,IU56*IU47,0)</f>
        <v>0</v>
      </c>
      <c r="IV45" s="453">
        <f>IF(SUM($E$48:IV49)=0,IV56*IV47,0)</f>
        <v>0</v>
      </c>
      <c r="IX45" s="323">
        <f>SUM(E45:IK45)</f>
        <v>1040.2500000000005</v>
      </c>
    </row>
    <row r="46" spans="1:258">
      <c r="A46" s="319">
        <v>2</v>
      </c>
      <c r="B46" s="583" t="s">
        <v>448</v>
      </c>
      <c r="C46" s="583"/>
      <c r="D46" s="328" t="s">
        <v>113</v>
      </c>
      <c r="E46" s="454">
        <f>IF(E49=1,E56*E47,0)</f>
        <v>0</v>
      </c>
      <c r="F46" s="454">
        <f>IF(SUM($E$49:F49)&gt;0,F56*F47,0)</f>
        <v>0</v>
      </c>
      <c r="G46" s="454">
        <f>IF(SUM($E$49:G49)&gt;0,G56*G47,0)</f>
        <v>0</v>
      </c>
      <c r="H46" s="454">
        <f>IF(SUM($E$49:H49)&gt;0,H56*H47,0)</f>
        <v>0</v>
      </c>
      <c r="I46" s="454">
        <f>IF(SUM($E$49:I49)&gt;0,I56*I47,0)</f>
        <v>0</v>
      </c>
      <c r="J46" s="454">
        <f>IF(SUM($E$49:J49)&gt;0,J56*J47,0)</f>
        <v>0</v>
      </c>
      <c r="K46" s="454">
        <f>IF(SUM($E$49:K49)&gt;0,K56*K47,0)</f>
        <v>0</v>
      </c>
      <c r="L46" s="454">
        <f>IF(SUM($E$49:L49)&gt;0,L56*L47,0)</f>
        <v>0</v>
      </c>
      <c r="M46" s="454">
        <f>IF(SUM($E$49:M49)&gt;0,M56*M47,0)</f>
        <v>0</v>
      </c>
      <c r="N46" s="454">
        <f>IF(SUM($E$49:N49)&gt;0,N56*N47,0)</f>
        <v>0</v>
      </c>
      <c r="O46" s="454">
        <f>IF(SUM($E$49:O49)&gt;0,O56*O47,0)</f>
        <v>0</v>
      </c>
      <c r="P46" s="454">
        <f>IF(SUM($E$49:P49)&gt;0,P56*P47,0)</f>
        <v>0</v>
      </c>
      <c r="Q46" s="454">
        <f>IF(SUM($E$49:Q49)&gt;0,Q56*Q47,0)</f>
        <v>0</v>
      </c>
      <c r="R46" s="454">
        <f>IF(SUM($E$49:R49)&gt;0,R56*R47,0)</f>
        <v>0</v>
      </c>
      <c r="S46" s="454">
        <f>IF(SUM($E$49:S49)&gt;0,S56*S47,0)</f>
        <v>0</v>
      </c>
      <c r="T46" s="454">
        <f>IF(SUM($E$49:T49)&gt;0,T56*T47,0)</f>
        <v>0</v>
      </c>
      <c r="U46" s="454">
        <f>IF(SUM($E$49:U49)&gt;0,U56*U47,0)</f>
        <v>0</v>
      </c>
      <c r="V46" s="454">
        <f>IF(SUM($E$49:V49)&gt;0,V56*V47,0)</f>
        <v>0</v>
      </c>
      <c r="W46" s="454">
        <f>IF(SUM($E$49:W49)&gt;0,W56*W47,0)</f>
        <v>0</v>
      </c>
      <c r="X46" s="454">
        <f>IF(SUM($E$49:X49)&gt;0,X56*X47,0)</f>
        <v>0</v>
      </c>
      <c r="Y46" s="454">
        <f>IF(SUM($E$49:Y49)&gt;0,Y56*Y47,0)</f>
        <v>0</v>
      </c>
      <c r="Z46" s="454">
        <f>IF(SUM($E$49:Z49)&gt;0,Z56*Z47,0)</f>
        <v>0</v>
      </c>
      <c r="AA46" s="454">
        <f>IF(SUM($E$49:AA49)&gt;0,AA56*AA47,0)</f>
        <v>0</v>
      </c>
      <c r="AB46" s="454">
        <f>IF(SUM($E$49:AB49)&gt;0,AB56*AB47,0)</f>
        <v>0</v>
      </c>
      <c r="AC46" s="454">
        <f>IF(SUM($E$49:AC49)&gt;0,AC56*AC47,0)</f>
        <v>0</v>
      </c>
      <c r="AD46" s="454">
        <f>IF(SUM($E$49:AD49)&gt;0,AD56*AD47,0)</f>
        <v>0</v>
      </c>
      <c r="AE46" s="454">
        <f>IF(SUM($E$49:AE49)&gt;0,AE56*AE47,0)</f>
        <v>0</v>
      </c>
      <c r="AF46" s="454">
        <f>IF(SUM($E$49:AF49)&gt;0,AF56*AF47,0)</f>
        <v>0</v>
      </c>
      <c r="AG46" s="454">
        <f>IF(SUM($E$49:AG49)&gt;0,AG56*AG47,0)</f>
        <v>0</v>
      </c>
      <c r="AH46" s="454">
        <f>IF(SUM($E$49:AH49)&gt;0,AH56*AH47,0)</f>
        <v>0</v>
      </c>
      <c r="AI46" s="454">
        <f>IF(SUM($E$49:AI49)&gt;0,AI56*AI47,0)</f>
        <v>0</v>
      </c>
      <c r="AJ46" s="454">
        <f>IF(SUM($E$49:AJ49)&gt;0,AJ56*AJ47,0)</f>
        <v>0</v>
      </c>
      <c r="AK46" s="454">
        <f>IF(SUM($E$49:AK49)&gt;0,AK56*AK47,0)</f>
        <v>0</v>
      </c>
      <c r="AL46" s="454">
        <f>IF(SUM($E$49:AL49)&gt;0,AL56*AL47,0)</f>
        <v>0</v>
      </c>
      <c r="AM46" s="454">
        <f>IF(SUM($E$49:AM49)&gt;0,AM56*AM47,0)</f>
        <v>0</v>
      </c>
      <c r="AN46" s="454">
        <f>IF(SUM($E$49:AN49)&gt;0,AN56*AN47,0)</f>
        <v>0</v>
      </c>
      <c r="AO46" s="454">
        <f>IF(SUM($E$49:AO49)&gt;0,AO56*AO47,0)</f>
        <v>29.45</v>
      </c>
      <c r="AP46" s="454">
        <f>IF(SUM($E$49:AP49)&gt;0,AP56*AP47,0)</f>
        <v>27.549999999999997</v>
      </c>
      <c r="AQ46" s="454">
        <f>IF(SUM($E$49:AQ49)&gt;0,AQ56*AQ47,0)</f>
        <v>29.45</v>
      </c>
      <c r="AR46" s="454">
        <f>IF(SUM($E$49:AR49)&gt;0,AR56*AR47,0)</f>
        <v>28.5</v>
      </c>
      <c r="AS46" s="454">
        <f>IF(SUM($E$49:AS49)&gt;0,AS56*AS47,0)</f>
        <v>29.45</v>
      </c>
      <c r="AT46" s="454">
        <f>IF(SUM($E$49:AT49)&gt;0,AT56*AT47,0)</f>
        <v>28.5</v>
      </c>
      <c r="AU46" s="454">
        <f>IF(SUM($E$49:AU49)&gt;0,AU56*AU47,0)</f>
        <v>29.45</v>
      </c>
      <c r="AV46" s="454">
        <f>IF(SUM($E$49:AV49)&gt;0,AV56*AV47,0)</f>
        <v>29.45</v>
      </c>
      <c r="AW46" s="454">
        <f>IF(SUM($E$49:AW49)&gt;0,AW56*AW47,0)</f>
        <v>28.5</v>
      </c>
      <c r="AX46" s="454">
        <f>IF(SUM($E$49:AX49)&gt;0,AX56*AX47,0)</f>
        <v>29.45</v>
      </c>
      <c r="AY46" s="454">
        <f>IF(SUM($E$49:AY49)&gt;0,AY56*AY47,0)</f>
        <v>28.5</v>
      </c>
      <c r="AZ46" s="454">
        <f>IF(SUM($E$49:AZ49)&gt;0,AZ56*AZ47,0)</f>
        <v>29.45</v>
      </c>
      <c r="BA46" s="454">
        <f>IF(SUM($E$49:BA49)&gt;0,BA56*BA47,0)</f>
        <v>29.45</v>
      </c>
      <c r="BB46" s="454">
        <f>IF(SUM($E$49:BB49)&gt;0,BB56*BB47,0)</f>
        <v>26.599999999999998</v>
      </c>
      <c r="BC46" s="454">
        <f>IF(SUM($E$49:BC49)&gt;0,BC56*BC47,0)</f>
        <v>29.45</v>
      </c>
      <c r="BD46" s="454">
        <f>IF(SUM($E$49:BD49)&gt;0,BD56*BD47,0)</f>
        <v>28.5</v>
      </c>
      <c r="BE46" s="454">
        <f>IF(SUM($E$49:BE49)&gt;0,BE56*BE47,0)</f>
        <v>29.45</v>
      </c>
      <c r="BF46" s="454">
        <f>IF(SUM($E$49:BF49)&gt;0,BF56*BF47,0)</f>
        <v>28.5</v>
      </c>
      <c r="BG46" s="454">
        <f>IF(SUM($E$49:BG49)&gt;0,BG56*BG47,0)</f>
        <v>29.45</v>
      </c>
      <c r="BH46" s="454">
        <f>IF(SUM($E$49:BH49)&gt;0,BH56*BH47,0)</f>
        <v>29.45</v>
      </c>
      <c r="BI46" s="454">
        <f>IF(SUM($E$49:BI49)&gt;0,BI56*BI47,0)</f>
        <v>28.5</v>
      </c>
      <c r="BJ46" s="454">
        <f>IF(SUM($E$49:BJ49)&gt;0,BJ56*BJ47,0)</f>
        <v>29.45</v>
      </c>
      <c r="BK46" s="454">
        <f>IF(SUM($E$49:BK49)&gt;0,BK56*BK47,0)</f>
        <v>28.5</v>
      </c>
      <c r="BL46" s="454">
        <f>IF(SUM($E$49:BL49)&gt;0,BL56*BL47,0)</f>
        <v>29.45</v>
      </c>
      <c r="BM46" s="454">
        <f>IF(SUM($E$49:BM49)&gt;0,BM56*BM47,0)</f>
        <v>29.45</v>
      </c>
      <c r="BN46" s="454">
        <f>IF(SUM($E$49:BN49)&gt;0,BN56*BN47,0)</f>
        <v>26.599999999999998</v>
      </c>
      <c r="BO46" s="454">
        <f>IF(SUM($E$49:BO49)&gt;0,BO56*BO47,0)</f>
        <v>29.45</v>
      </c>
      <c r="BP46" s="454">
        <f>IF(SUM($E$49:BP49)&gt;0,BP56*BP47,0)</f>
        <v>28.5</v>
      </c>
      <c r="BQ46" s="454">
        <f>IF(SUM($E$49:BQ49)&gt;0,BQ56*BQ47,0)</f>
        <v>29.45</v>
      </c>
      <c r="BR46" s="454">
        <f>IF(SUM($E$49:BR49)&gt;0,BR56*BR47,0)</f>
        <v>28.5</v>
      </c>
      <c r="BS46" s="454">
        <f>IF(SUM($E$49:BS49)&gt;0,BS56*BS47,0)</f>
        <v>29.45</v>
      </c>
      <c r="BT46" s="454">
        <f>IF(SUM($E$49:BT49)&gt;0,BT56*BT47,0)</f>
        <v>29.45</v>
      </c>
      <c r="BU46" s="454">
        <f>IF(SUM($E$49:BU49)&gt;0,BU56*BU47,0)</f>
        <v>28.5</v>
      </c>
      <c r="BV46" s="454">
        <f>IF(SUM($E$49:BV49)&gt;0,BV56*BV47,0)</f>
        <v>29.45</v>
      </c>
      <c r="BW46" s="454">
        <f>IF(SUM($E$49:BW49)&gt;0,BW56*BW47,0)</f>
        <v>28.5</v>
      </c>
      <c r="BX46" s="454">
        <f>IF(SUM($E$49:BX49)&gt;0,BX56*BX47,0)</f>
        <v>29.45</v>
      </c>
      <c r="BY46" s="454">
        <f>IF(SUM($E$49:BY49)&gt;0,BY56*BY47,0)</f>
        <v>29.45</v>
      </c>
      <c r="BZ46" s="454">
        <f>IF(SUM($E$49:BZ49)&gt;0,BZ56*BZ47,0)</f>
        <v>26.599999999999998</v>
      </c>
      <c r="CA46" s="454">
        <f>IF(SUM($E$49:CA49)&gt;0,CA56*CA47,0)</f>
        <v>29.45</v>
      </c>
      <c r="CB46" s="454">
        <f>IF(SUM($E$49:CB49)&gt;0,CB56*CB47,0)</f>
        <v>28.5</v>
      </c>
      <c r="CC46" s="454">
        <f>IF(SUM($E$49:CC49)&gt;0,CC56*CC47,0)</f>
        <v>29.45</v>
      </c>
      <c r="CD46" s="454">
        <f>IF(SUM($E$49:CD49)&gt;0,CD56*CD47,0)</f>
        <v>28.5</v>
      </c>
      <c r="CE46" s="454">
        <f>IF(SUM($E$49:CE49)&gt;0,CE56*CE47,0)</f>
        <v>29.45</v>
      </c>
      <c r="CF46" s="454">
        <f>IF(SUM($E$49:CF49)&gt;0,CF56*CF47,0)</f>
        <v>29.45</v>
      </c>
      <c r="CG46" s="454">
        <f>IF(SUM($E$49:CG49)&gt;0,CG56*CG47,0)</f>
        <v>28.5</v>
      </c>
      <c r="CH46" s="454">
        <f>IF(SUM($E$49:CH49)&gt;0,CH56*CH47,0)</f>
        <v>29.45</v>
      </c>
      <c r="CI46" s="454">
        <f>IF(SUM($E$49:CI49)&gt;0,CI56*CI47,0)</f>
        <v>28.5</v>
      </c>
      <c r="CJ46" s="454">
        <f>IF(SUM($E$49:CJ49)&gt;0,CJ56*CJ47,0)</f>
        <v>29.45</v>
      </c>
      <c r="CK46" s="454">
        <f>IF(SUM($E$49:CK49)&gt;0,CK56*CK47,0)</f>
        <v>29.45</v>
      </c>
      <c r="CL46" s="454">
        <f>IF(SUM($E$49:CL49)&gt;0,CL56*CL47,0)</f>
        <v>27.549999999999997</v>
      </c>
      <c r="CM46" s="454">
        <f>IF(SUM($E$49:CM49)&gt;0,CM56*CM47,0)</f>
        <v>29.45</v>
      </c>
      <c r="CN46" s="454">
        <f>IF(SUM($E$49:CN49)&gt;0,CN56*CN47,0)</f>
        <v>28.5</v>
      </c>
      <c r="CO46" s="454">
        <f>IF(SUM($E$49:CO49)&gt;0,CO56*CO47,0)</f>
        <v>29.45</v>
      </c>
      <c r="CP46" s="454">
        <f>IF(SUM($E$49:CP49)&gt;0,CP56*CP47,0)</f>
        <v>28.5</v>
      </c>
      <c r="CQ46" s="454">
        <f>IF(SUM($E$49:CQ49)&gt;0,CQ56*CQ47,0)</f>
        <v>29.45</v>
      </c>
      <c r="CR46" s="454">
        <f>IF(SUM($E$49:CR49)&gt;0,CR56*CR47,0)</f>
        <v>29.45</v>
      </c>
      <c r="CS46" s="454">
        <f>IF(SUM($E$49:CS49)&gt;0,CS56*CS47,0)</f>
        <v>28.5</v>
      </c>
      <c r="CT46" s="454">
        <f>IF(SUM($E$49:CT49)&gt;0,CT56*CT47,0)</f>
        <v>29.45</v>
      </c>
      <c r="CU46" s="454">
        <f>IF(SUM($E$49:CU49)&gt;0,CU56*CU47,0)</f>
        <v>28.5</v>
      </c>
      <c r="CV46" s="454">
        <f>IF(SUM($E$49:CV49)&gt;0,CV56*CV47,0)</f>
        <v>29.45</v>
      </c>
      <c r="CW46" s="454">
        <f>IF(SUM($E$49:CW49)&gt;0,CW56*CW47,0)</f>
        <v>29.45</v>
      </c>
      <c r="CX46" s="454">
        <f>IF(SUM($E$49:CX49)&gt;0,CX56*CX47,0)</f>
        <v>26.599999999999998</v>
      </c>
      <c r="CY46" s="454">
        <f>IF(SUM($E$49:CY49)&gt;0,CY56*CY47,0)</f>
        <v>29.45</v>
      </c>
      <c r="CZ46" s="454">
        <f>IF(SUM($E$49:CZ49)&gt;0,CZ56*CZ47,0)</f>
        <v>28.5</v>
      </c>
      <c r="DA46" s="454">
        <f>IF(SUM($E$49:DA49)&gt;0,DA56*DA47,0)</f>
        <v>29.45</v>
      </c>
      <c r="DB46" s="454">
        <f>IF(SUM($E$49:DB49)&gt;0,DB56*DB47,0)</f>
        <v>28.5</v>
      </c>
      <c r="DC46" s="454">
        <f>IF(SUM($E$49:DC49)&gt;0,DC56*DC47,0)</f>
        <v>29.45</v>
      </c>
      <c r="DD46" s="454">
        <f>IF(SUM($E$49:DD49)&gt;0,DD56*DD47,0)</f>
        <v>29.45</v>
      </c>
      <c r="DE46" s="454">
        <f>IF(SUM($E$49:DE49)&gt;0,DE56*DE47,0)</f>
        <v>28.5</v>
      </c>
      <c r="DF46" s="454">
        <f>IF(SUM($E$49:DF49)&gt;0,DF56*DF47,0)</f>
        <v>29.45</v>
      </c>
      <c r="DG46" s="454">
        <f>IF(SUM($E$49:DG49)&gt;0,DG56*DG47,0)</f>
        <v>28.5</v>
      </c>
      <c r="DH46" s="454">
        <f>IF(SUM($E$49:DH49)&gt;0,DH56*DH47,0)</f>
        <v>29.45</v>
      </c>
      <c r="DI46" s="454">
        <f>IF(SUM($E$49:DI49)&gt;0,DI56*DI47,0)</f>
        <v>29.45</v>
      </c>
      <c r="DJ46" s="454">
        <f>IF(SUM($E$49:DJ49)&gt;0,DJ56*DJ47,0)</f>
        <v>26.599999999999998</v>
      </c>
      <c r="DK46" s="454">
        <f>IF(SUM($E$49:DK49)&gt;0,DK56*DK47,0)</f>
        <v>29.45</v>
      </c>
      <c r="DL46" s="454">
        <f>IF(SUM($E$49:DL49)&gt;0,DL56*DL47,0)</f>
        <v>28.5</v>
      </c>
      <c r="DM46" s="454">
        <f>IF(SUM($E$49:DM49)&gt;0,DM56*DM47,0)</f>
        <v>29.45</v>
      </c>
      <c r="DN46" s="454">
        <f>IF(SUM($E$49:DN49)&gt;0,DN56*DN47,0)</f>
        <v>28.5</v>
      </c>
      <c r="DO46" s="454">
        <f>IF(SUM($E$49:DO49)&gt;0,DO56*DO47,0)</f>
        <v>29.45</v>
      </c>
      <c r="DP46" s="454">
        <f>IF(SUM($E$49:DP49)&gt;0,DP56*DP47,0)</f>
        <v>29.45</v>
      </c>
      <c r="DQ46" s="454">
        <f>IF(SUM($E$49:DQ49)&gt;0,DQ56*DQ47,0)</f>
        <v>28.5</v>
      </c>
      <c r="DR46" s="454">
        <f>IF(SUM($E$49:DR49)&gt;0,DR56*DR47,0)</f>
        <v>29.45</v>
      </c>
      <c r="DS46" s="454">
        <f>IF(SUM($E$49:DS49)&gt;0,DS56*DS47,0)</f>
        <v>28.5</v>
      </c>
      <c r="DT46" s="454">
        <f>IF(SUM($E$49:DT49)&gt;0,DT56*DT47,0)</f>
        <v>29.45</v>
      </c>
      <c r="DU46" s="454">
        <f>IF(SUM($E$49:DU49)&gt;0,DU56*DU47,0)</f>
        <v>29.45</v>
      </c>
      <c r="DV46" s="454">
        <f>IF(SUM($E$49:DV49)&gt;0,DV56*DV47,0)</f>
        <v>26.599999999999998</v>
      </c>
      <c r="DW46" s="454">
        <f>IF(SUM($E$49:DW49)&gt;0,DW56*DW47,0)</f>
        <v>29.45</v>
      </c>
      <c r="DX46" s="454">
        <f>IF(SUM($E$49:DX49)&gt;0,DX56*DX47,0)</f>
        <v>28.5</v>
      </c>
      <c r="DY46" s="454">
        <f>IF(SUM($E$49:DY49)&gt;0,DY56*DY47,0)</f>
        <v>29.45</v>
      </c>
      <c r="DZ46" s="454">
        <f>IF(SUM($E$49:DZ49)&gt;0,DZ56*DZ47,0)</f>
        <v>28.5</v>
      </c>
      <c r="EA46" s="454">
        <f>IF(SUM($E$49:EA49)&gt;0,EA56*EA47,0)</f>
        <v>29.45</v>
      </c>
      <c r="EB46" s="454">
        <f>IF(SUM($E$49:EB49)&gt;0,EB56*EB47,0)</f>
        <v>29.45</v>
      </c>
      <c r="EC46" s="454">
        <f>IF(SUM($E$49:EC49)&gt;0,EC56*EC47,0)</f>
        <v>28.5</v>
      </c>
      <c r="ED46" s="454">
        <f>IF(SUM($E$49:ED49)&gt;0,ED56*ED47,0)</f>
        <v>29.45</v>
      </c>
      <c r="EE46" s="454">
        <f>IF(SUM($E$49:EE49)&gt;0,EE56*EE47,0)</f>
        <v>28.5</v>
      </c>
      <c r="EF46" s="454">
        <f>IF(SUM($E$49:EF49)&gt;0,EF56*EF47,0)</f>
        <v>29.45</v>
      </c>
      <c r="EG46" s="454">
        <f>IF(SUM($E$49:EG49)&gt;0,EG56*EG47,0)</f>
        <v>29.45</v>
      </c>
      <c r="EH46" s="454">
        <f>IF(SUM($E$49:EH49)&gt;0,EH56*EH47,0)</f>
        <v>27.549999999999997</v>
      </c>
      <c r="EI46" s="454">
        <f>IF(SUM($E$49:EI49)&gt;0,EI56*EI47,0)</f>
        <v>29.45</v>
      </c>
      <c r="EJ46" s="454">
        <f>IF(SUM($E$49:EJ49)&gt;0,EJ56*EJ47,0)</f>
        <v>28.5</v>
      </c>
      <c r="EK46" s="454">
        <f>IF(SUM($E$49:EK49)&gt;0,EK56*EK47,0)</f>
        <v>29.45</v>
      </c>
      <c r="EL46" s="454">
        <f>IF(SUM($E$49:EL49)&gt;0,EL56*EL47,0)</f>
        <v>28.5</v>
      </c>
      <c r="EM46" s="454">
        <f>IF(SUM($E$49:EM49)&gt;0,EM56*EM47,0)</f>
        <v>29.45</v>
      </c>
      <c r="EN46" s="454">
        <f>IF(SUM($E$49:EN49)&gt;0,EN56*EN47,0)</f>
        <v>29.45</v>
      </c>
      <c r="EO46" s="454">
        <f>IF(SUM($E$49:EO49)&gt;0,EO56*EO47,0)</f>
        <v>28.5</v>
      </c>
      <c r="EP46" s="454">
        <f>IF(SUM($E$49:EP49)&gt;0,EP56*EP47,0)</f>
        <v>29.45</v>
      </c>
      <c r="EQ46" s="454">
        <f>IF(SUM($E$49:EQ49)&gt;0,EQ56*EQ47,0)</f>
        <v>28.5</v>
      </c>
      <c r="ER46" s="454">
        <f>IF(SUM($E$49:ER49)&gt;0,ER56*ER47,0)</f>
        <v>29.45</v>
      </c>
      <c r="ES46" s="454">
        <f>IF(SUM($E$49:ES49)&gt;0,ES56*ES47,0)</f>
        <v>29.45</v>
      </c>
      <c r="ET46" s="454">
        <f>IF(SUM($E$49:ET49)&gt;0,ET56*ET47,0)</f>
        <v>26.599999999999998</v>
      </c>
      <c r="EU46" s="454">
        <f>IF(SUM($E$49:EU49)&gt;0,EU56*EU47,0)</f>
        <v>29.45</v>
      </c>
      <c r="EV46" s="454">
        <f>IF(SUM($E$49:EV49)&gt;0,EV56*EV47,0)</f>
        <v>28.5</v>
      </c>
      <c r="EW46" s="454">
        <f>IF(SUM($E$49:EW49)&gt;0,EW56*EW47,0)</f>
        <v>29.45</v>
      </c>
      <c r="EX46" s="454">
        <f>IF(SUM($E$49:EX49)&gt;0,EX56*EX47,0)</f>
        <v>28.5</v>
      </c>
      <c r="EY46" s="454">
        <f>IF(SUM($E$49:EY49)&gt;0,EY56*EY47,0)</f>
        <v>29.45</v>
      </c>
      <c r="EZ46" s="454">
        <f>IF(SUM($E$49:EZ49)&gt;0,EZ56*EZ47,0)</f>
        <v>29.45</v>
      </c>
      <c r="FA46" s="454">
        <f>IF(SUM($E$49:FA49)&gt;0,FA56*FA47,0)</f>
        <v>28.5</v>
      </c>
      <c r="FB46" s="454">
        <f>IF(SUM($E$49:FB49)&gt;0,FB56*FB47,0)</f>
        <v>29.45</v>
      </c>
      <c r="FC46" s="454">
        <f>IF(SUM($E$49:FC49)&gt;0,FC56*FC47,0)</f>
        <v>28.5</v>
      </c>
      <c r="FD46" s="454">
        <f>IF(SUM($E$49:FD49)&gt;0,FD56*FD47,0)</f>
        <v>29.45</v>
      </c>
      <c r="FE46" s="454">
        <f>IF(SUM($E$49:FE49)&gt;0,FE56*FE47,0)</f>
        <v>29.45</v>
      </c>
      <c r="FF46" s="454">
        <f>IF(SUM($E$49:FF49)&gt;0,FF56*FF47,0)</f>
        <v>26.599999999999998</v>
      </c>
      <c r="FG46" s="454">
        <f>IF(SUM($E$49:FG49)&gt;0,FG56*FG47,0)</f>
        <v>29.45</v>
      </c>
      <c r="FH46" s="454">
        <f>IF(SUM($E$49:FH49)&gt;0,FH56*FH47,0)</f>
        <v>28.5</v>
      </c>
      <c r="FI46" s="454">
        <f>IF(SUM($E$49:FI49)&gt;0,FI56*FI47,0)</f>
        <v>29.45</v>
      </c>
      <c r="FJ46" s="454">
        <f>IF(SUM($E$49:FJ49)&gt;0,FJ56*FJ47,0)</f>
        <v>28.5</v>
      </c>
      <c r="FK46" s="454">
        <f>IF(SUM($E$49:FK49)&gt;0,FK56*FK47,0)</f>
        <v>29.45</v>
      </c>
      <c r="FL46" s="454">
        <f>IF(SUM($E$49:FL49)&gt;0,FL56*FL47,0)</f>
        <v>29.45</v>
      </c>
      <c r="FM46" s="454">
        <f>IF(SUM($E$49:FM49)&gt;0,FM56*FM47,0)</f>
        <v>28.5</v>
      </c>
      <c r="FN46" s="454">
        <f>IF(SUM($E$49:FN49)&gt;0,FN56*FN47,0)</f>
        <v>29.45</v>
      </c>
      <c r="FO46" s="454">
        <f>IF(SUM($E$49:FO49)&gt;0,FO56*FO47,0)</f>
        <v>28.5</v>
      </c>
      <c r="FP46" s="454">
        <f>IF(SUM($E$49:FP49)&gt;0,FP56*FP47,0)</f>
        <v>29.45</v>
      </c>
      <c r="FQ46" s="454">
        <f>IF(SUM($E$49:FQ49)&gt;0,FQ56*FQ47,0)</f>
        <v>29.45</v>
      </c>
      <c r="FR46" s="454">
        <f>IF(SUM($E$49:FR49)&gt;0,FR56*FR47,0)</f>
        <v>26.599999999999998</v>
      </c>
      <c r="FS46" s="454">
        <f>IF(SUM($E$49:FS49)&gt;0,FS56*FS47,0)</f>
        <v>29.45</v>
      </c>
      <c r="FT46" s="454">
        <f>IF(SUM($E$49:FT49)&gt;0,FT56*FT47,0)</f>
        <v>28.5</v>
      </c>
      <c r="FU46" s="454">
        <f>IF(SUM($E$49:FU49)&gt;0,FU56*FU47,0)</f>
        <v>29.45</v>
      </c>
      <c r="FV46" s="454">
        <f>IF(SUM($E$49:FV49)&gt;0,FV56*FV47,0)</f>
        <v>28.5</v>
      </c>
      <c r="FW46" s="454">
        <f>IF(SUM($E$49:FW49)&gt;0,FW56*FW47,0)</f>
        <v>29.45</v>
      </c>
      <c r="FX46" s="454">
        <f>IF(SUM($E$49:FX49)&gt;0,FX56*FX47,0)</f>
        <v>29.45</v>
      </c>
      <c r="FY46" s="454">
        <f>IF(SUM($E$49:FY49)&gt;0,FY56*FY47,0)</f>
        <v>28.5</v>
      </c>
      <c r="FZ46" s="454">
        <f>IF(SUM($E$49:FZ49)&gt;0,FZ56*FZ47,0)</f>
        <v>29.45</v>
      </c>
      <c r="GA46" s="454">
        <f>IF(SUM($E$49:GA49)&gt;0,GA56*GA47,0)</f>
        <v>28.5</v>
      </c>
      <c r="GB46" s="454">
        <f>IF(SUM($E$49:GB49)&gt;0,GB56*GB47,0)</f>
        <v>29.45</v>
      </c>
      <c r="GC46" s="454">
        <f>IF(SUM($E$49:GC49)&gt;0,GC56*GC47,0)</f>
        <v>29.45</v>
      </c>
      <c r="GD46" s="454">
        <f>IF(SUM($E$49:GD49)&gt;0,GD56*GD47,0)</f>
        <v>27.549999999999997</v>
      </c>
      <c r="GE46" s="454">
        <f>IF(SUM($E$49:GE49)&gt;0,GE56*GE47,0)</f>
        <v>29.45</v>
      </c>
      <c r="GF46" s="454">
        <f>IF(SUM($E$49:GF49)&gt;0,GF56*GF47,0)</f>
        <v>28.5</v>
      </c>
      <c r="GG46" s="454">
        <f>IF(SUM($E$49:GG49)&gt;0,GG56*GG47,0)</f>
        <v>29.45</v>
      </c>
      <c r="GH46" s="454">
        <f>IF(SUM($E$49:GH49)&gt;0,GH56*GH47,0)</f>
        <v>28.5</v>
      </c>
      <c r="GI46" s="454">
        <f>IF(SUM($E$49:GI49)&gt;0,GI56*GI47,0)</f>
        <v>29.45</v>
      </c>
      <c r="GJ46" s="454">
        <f>IF(SUM($E$49:GJ49)&gt;0,GJ56*GJ47,0)</f>
        <v>29.45</v>
      </c>
      <c r="GK46" s="454">
        <f>IF(SUM($E$49:GK49)&gt;0,GK56*GK47,0)</f>
        <v>28.5</v>
      </c>
      <c r="GL46" s="454">
        <f>IF(SUM($E$49:GL49)&gt;0,GL56*GL47,0)</f>
        <v>29.45</v>
      </c>
      <c r="GM46" s="454">
        <f>IF(SUM($E$49:GM49)&gt;0,GM56*GM47,0)</f>
        <v>28.5</v>
      </c>
      <c r="GN46" s="454">
        <f>IF(SUM($E$49:GN49)&gt;0,GN56*GN47,0)</f>
        <v>29.45</v>
      </c>
      <c r="GO46" s="454">
        <f>IF(SUM($E$49:GO49)&gt;0,GO56*GO47,0)</f>
        <v>29.45</v>
      </c>
      <c r="GP46" s="454">
        <f>IF(SUM($E$49:GP49)&gt;0,GP56*GP47,0)</f>
        <v>26.599999999999998</v>
      </c>
      <c r="GQ46" s="454">
        <f>IF(SUM($E$49:GQ49)&gt;0,GQ56*GQ47,0)</f>
        <v>29.45</v>
      </c>
      <c r="GR46" s="454">
        <f>IF(SUM($E$49:GR49)&gt;0,GR56*GR47,0)</f>
        <v>28.5</v>
      </c>
      <c r="GS46" s="454">
        <f>IF(SUM($E$49:GS49)&gt;0,GS56*GS47,0)</f>
        <v>29.45</v>
      </c>
      <c r="GT46" s="454">
        <f>IF(SUM($E$49:GT49)&gt;0,GT56*GT47,0)</f>
        <v>28.5</v>
      </c>
      <c r="GU46" s="454">
        <f>IF(SUM($E$49:GU49)&gt;0,GU56*GU47,0)</f>
        <v>29.45</v>
      </c>
      <c r="GV46" s="454">
        <f>IF(SUM($E$49:GV49)&gt;0,GV56*GV47,0)</f>
        <v>29.45</v>
      </c>
      <c r="GW46" s="454">
        <f>IF(SUM($E$49:GW49)&gt;0,GW56*GW47,0)</f>
        <v>28.5</v>
      </c>
      <c r="GX46" s="454">
        <f>IF(SUM($E$49:GX49)&gt;0,GX56*GX47,0)</f>
        <v>29.45</v>
      </c>
      <c r="GY46" s="454">
        <f>IF(SUM($E$49:GY49)&gt;0,GY56*GY47,0)</f>
        <v>28.5</v>
      </c>
      <c r="GZ46" s="454">
        <f>IF(SUM($E$49:GZ49)&gt;0,GZ56*GZ47,0)</f>
        <v>29.45</v>
      </c>
      <c r="HA46" s="454">
        <f>IF(SUM($E$49:HA49)&gt;0,HA56*HA47,0)</f>
        <v>29.45</v>
      </c>
      <c r="HB46" s="454">
        <f>IF(SUM($E$49:HB49)&gt;0,HB56*HB47,0)</f>
        <v>26.599999999999998</v>
      </c>
      <c r="HC46" s="454">
        <f>IF(SUM($E$49:HC49)&gt;0,HC56*HC47,0)</f>
        <v>29.45</v>
      </c>
      <c r="HD46" s="454">
        <f>IF(SUM($E$49:HD49)&gt;0,HD56*HD47,0)</f>
        <v>28.5</v>
      </c>
      <c r="HE46" s="454">
        <f>IF(SUM($E$49:HE49)&gt;0,HE56*HE47,0)</f>
        <v>29.45</v>
      </c>
      <c r="HF46" s="454">
        <f>IF(SUM($E$49:HF49)&gt;0,HF56*HF47,0)</f>
        <v>28.5</v>
      </c>
      <c r="HG46" s="454">
        <f>IF(SUM($E$49:HG49)&gt;0,HG56*HG47,0)</f>
        <v>29.45</v>
      </c>
      <c r="HH46" s="454">
        <f>IF(SUM($E$49:HH49)&gt;0,HH56*HH47,0)</f>
        <v>29.45</v>
      </c>
      <c r="HI46" s="454">
        <f>IF(SUM($E$49:HI49)&gt;0,HI56*HI47,0)</f>
        <v>28.5</v>
      </c>
      <c r="HJ46" s="454">
        <f>IF(SUM($E$49:HJ49)&gt;0,HJ56*HJ47,0)</f>
        <v>29.45</v>
      </c>
      <c r="HK46" s="454">
        <f>IF(SUM($E$49:HK49)&gt;0,HK56*HK47,0)</f>
        <v>28.5</v>
      </c>
      <c r="HL46" s="454">
        <f>IF(SUM($E$49:HL49)&gt;0,HL56*HL47,0)</f>
        <v>29.45</v>
      </c>
      <c r="HM46" s="454">
        <f>IF(SUM($E$49:HM49)&gt;0,HM56*HM47,0)</f>
        <v>29.45</v>
      </c>
      <c r="HN46" s="454">
        <f>IF(SUM($E$49:HN49)&gt;0,HN56*HN47,0)</f>
        <v>26.599999999999998</v>
      </c>
      <c r="HO46" s="454">
        <f>IF(SUM($E$49:HO49)&gt;0,HO56*HO47,0)</f>
        <v>29.45</v>
      </c>
      <c r="HP46" s="454">
        <f>IF(SUM($E$49:HP49)&gt;0,HP56*HP47,0)</f>
        <v>28.5</v>
      </c>
      <c r="HQ46" s="454">
        <f>IF(SUM($E$49:HQ49)&gt;0,HQ56*HQ47,0)</f>
        <v>29.45</v>
      </c>
      <c r="HR46" s="454">
        <f>IF(SUM($E$49:HR49)&gt;0,HR56*HR47,0)</f>
        <v>28.5</v>
      </c>
      <c r="HS46" s="454">
        <f>IF(SUM($E$49:HS49)&gt;0,HS56*HS47,0)</f>
        <v>29.45</v>
      </c>
      <c r="HT46" s="454">
        <f>IF(SUM($E$49:HT49)&gt;0,HT56*HT47,0)</f>
        <v>29.45</v>
      </c>
      <c r="HU46" s="454">
        <f>IF(SUM($E$49:HU49)&gt;0,HU56*HU47,0)</f>
        <v>28.5</v>
      </c>
      <c r="HV46" s="454">
        <f>IF(SUM($E$49:HV49)&gt;0,HV56*HV47,0)</f>
        <v>29.45</v>
      </c>
      <c r="HW46" s="454">
        <f>IF(SUM($E$49:HW49)&gt;0,HW56*HW47,0)</f>
        <v>28.5</v>
      </c>
      <c r="HX46" s="454">
        <f>IF(SUM($E$49:HX49)&gt;0,HX56*HX47,0)</f>
        <v>29.45</v>
      </c>
      <c r="HY46" s="454">
        <f>IF(SUM($E$49:HY49)&gt;0,HY56*HY47,0)</f>
        <v>29.45</v>
      </c>
      <c r="HZ46" s="454">
        <f>IF(SUM($E$49:HZ49)&gt;0,HZ56*HZ47,0)</f>
        <v>27.549999999999997</v>
      </c>
      <c r="IA46" s="454">
        <f>IF(SUM($E$49:IA49)&gt;0,IA56*IA47,0)</f>
        <v>29.45</v>
      </c>
      <c r="IB46" s="454">
        <f>IF(SUM($E$49:IB49)&gt;0,IB56*IB47,0)</f>
        <v>28.5</v>
      </c>
      <c r="IC46" s="454">
        <f>IF(SUM($E$49:IC49)&gt;0,IC56*IC47,0)</f>
        <v>29.45</v>
      </c>
      <c r="ID46" s="454">
        <f>IF(SUM($E$49:ID49)&gt;0,ID56*ID47,0)</f>
        <v>28.5</v>
      </c>
      <c r="IE46" s="454">
        <f>IF(SUM($E$49:IE49)&gt;0,IE56*IE47,0)</f>
        <v>29.45</v>
      </c>
      <c r="IF46" s="454">
        <f>IF(SUM($E$49:IF49)&gt;0,IF56*IF47,0)</f>
        <v>29.45</v>
      </c>
      <c r="IG46" s="454">
        <f>IF(SUM($E$49:IG49)&gt;0,IG56*IG47,0)</f>
        <v>28.5</v>
      </c>
      <c r="IH46" s="454">
        <f>IF(SUM($E$49:IH49)&gt;0,IH56*IH47,0)</f>
        <v>29.45</v>
      </c>
      <c r="II46" s="454">
        <f>IF(SUM($E$49:II49)&gt;0,II56*II47,0)</f>
        <v>28.5</v>
      </c>
      <c r="IJ46" s="454">
        <f>IF(SUM($E$49:IJ49)&gt;0,IJ56*IJ47,0)</f>
        <v>29.45</v>
      </c>
      <c r="IK46" s="454">
        <f>IF(SUM($E$49:IK49)&gt;0,IK56*IK47,0)</f>
        <v>29.45</v>
      </c>
      <c r="IL46" s="454">
        <f>IF(SUM($E$49:IL49)&gt;0,IL56*IL47,0)</f>
        <v>26.599999999999998</v>
      </c>
      <c r="IM46" s="454">
        <f>IF(SUM($E$49:IM49)&gt;0,IM56*IM47,0)</f>
        <v>29.45</v>
      </c>
      <c r="IN46" s="454">
        <f>IF(SUM($E$49:IN49)&gt;0,IN56*IN47,0)</f>
        <v>28.5</v>
      </c>
      <c r="IO46" s="454">
        <f>IF(SUM($E$49:IO49)&gt;0,IO56*IO47,0)</f>
        <v>29.45</v>
      </c>
      <c r="IP46" s="454">
        <f>IF(SUM($E$49:IP49)&gt;0,IP56*IP47,0)</f>
        <v>28.5</v>
      </c>
      <c r="IQ46" s="454">
        <f>IF(SUM($E$49:IQ49)&gt;0,IQ56*IQ47,0)</f>
        <v>29.45</v>
      </c>
      <c r="IR46" s="454">
        <f>IF(SUM($E$49:IR49)&gt;0,IR56*IR47,0)</f>
        <v>29.45</v>
      </c>
      <c r="IS46" s="454">
        <f>IF(SUM($E$49:IS49)&gt;0,IS56*IS47,0)</f>
        <v>28.5</v>
      </c>
      <c r="IT46" s="454">
        <f>IF(SUM($E$49:IT49)&gt;0,IT56*IT47,0)</f>
        <v>29.45</v>
      </c>
      <c r="IU46" s="454">
        <f>IF(SUM($E$49:IU49)&gt;0,IU56*IU47,0)</f>
        <v>28.5</v>
      </c>
      <c r="IV46" s="454">
        <f>IF(SUM($E$49:IV49)&gt;0,IV56*IV47,0)</f>
        <v>29.45</v>
      </c>
      <c r="IX46" s="323">
        <f>SUM(E46:IK46)</f>
        <v>5928.949999999988</v>
      </c>
    </row>
    <row r="47" spans="1:258">
      <c r="A47" s="319">
        <v>3</v>
      </c>
      <c r="B47" s="575" t="s">
        <v>402</v>
      </c>
      <c r="C47" s="575"/>
      <c r="D47" s="324"/>
      <c r="E47" s="324">
        <v>0.95</v>
      </c>
      <c r="F47" s="324">
        <v>0.95</v>
      </c>
      <c r="G47" s="324">
        <v>0.95</v>
      </c>
      <c r="H47" s="324">
        <v>0.95</v>
      </c>
      <c r="I47" s="324">
        <v>0.95</v>
      </c>
      <c r="J47" s="324">
        <v>0.95</v>
      </c>
      <c r="K47" s="324">
        <v>0.95</v>
      </c>
      <c r="L47" s="324">
        <v>0.95</v>
      </c>
      <c r="M47" s="324">
        <v>0.95</v>
      </c>
      <c r="N47" s="324">
        <v>0.95</v>
      </c>
      <c r="O47" s="324">
        <v>0.95</v>
      </c>
      <c r="P47" s="324">
        <v>0.95</v>
      </c>
      <c r="Q47" s="324">
        <v>0.95</v>
      </c>
      <c r="R47" s="324">
        <v>0.95</v>
      </c>
      <c r="S47" s="324">
        <v>0.95</v>
      </c>
      <c r="T47" s="324">
        <v>0.95</v>
      </c>
      <c r="U47" s="324">
        <v>0.95</v>
      </c>
      <c r="V47" s="324">
        <v>0.95</v>
      </c>
      <c r="W47" s="324">
        <v>0.95</v>
      </c>
      <c r="X47" s="324">
        <v>0.95</v>
      </c>
      <c r="Y47" s="324">
        <v>0.95</v>
      </c>
      <c r="Z47" s="324">
        <v>0.95</v>
      </c>
      <c r="AA47" s="324">
        <v>0.95</v>
      </c>
      <c r="AB47" s="324">
        <v>0.95</v>
      </c>
      <c r="AC47" s="324">
        <v>0.95</v>
      </c>
      <c r="AD47" s="324">
        <v>0.95</v>
      </c>
      <c r="AE47" s="324">
        <v>0.95</v>
      </c>
      <c r="AF47" s="324">
        <v>0.95</v>
      </c>
      <c r="AG47" s="324">
        <v>0.95</v>
      </c>
      <c r="AH47" s="324">
        <v>0.95</v>
      </c>
      <c r="AI47" s="324">
        <v>0.95</v>
      </c>
      <c r="AJ47" s="324">
        <v>0.95</v>
      </c>
      <c r="AK47" s="324">
        <v>0.95</v>
      </c>
      <c r="AL47" s="324">
        <v>0.95</v>
      </c>
      <c r="AM47" s="324">
        <v>0.95</v>
      </c>
      <c r="AN47" s="324">
        <v>0.95</v>
      </c>
      <c r="AO47" s="324">
        <v>0.95</v>
      </c>
      <c r="AP47" s="324">
        <v>0.95</v>
      </c>
      <c r="AQ47" s="324">
        <v>0.95</v>
      </c>
      <c r="AR47" s="324">
        <v>0.95</v>
      </c>
      <c r="AS47" s="324">
        <v>0.95</v>
      </c>
      <c r="AT47" s="324">
        <v>0.95</v>
      </c>
      <c r="AU47" s="324">
        <v>0.95</v>
      </c>
      <c r="AV47" s="324">
        <v>0.95</v>
      </c>
      <c r="AW47" s="324">
        <v>0.95</v>
      </c>
      <c r="AX47" s="324">
        <v>0.95</v>
      </c>
      <c r="AY47" s="324">
        <v>0.95</v>
      </c>
      <c r="AZ47" s="324">
        <v>0.95</v>
      </c>
      <c r="BA47" s="324">
        <v>0.95</v>
      </c>
      <c r="BB47" s="324">
        <v>0.95</v>
      </c>
      <c r="BC47" s="324">
        <v>0.95</v>
      </c>
      <c r="BD47" s="324">
        <v>0.95</v>
      </c>
      <c r="BE47" s="324">
        <v>0.95</v>
      </c>
      <c r="BF47" s="324">
        <v>0.95</v>
      </c>
      <c r="BG47" s="324">
        <v>0.95</v>
      </c>
      <c r="BH47" s="324">
        <v>0.95</v>
      </c>
      <c r="BI47" s="324">
        <v>0.95</v>
      </c>
      <c r="BJ47" s="324">
        <v>0.95</v>
      </c>
      <c r="BK47" s="324">
        <v>0.95</v>
      </c>
      <c r="BL47" s="324">
        <v>0.95</v>
      </c>
      <c r="BM47" s="324">
        <v>0.95</v>
      </c>
      <c r="BN47" s="324">
        <v>0.95</v>
      </c>
      <c r="BO47" s="324">
        <v>0.95</v>
      </c>
      <c r="BP47" s="324">
        <v>0.95</v>
      </c>
      <c r="BQ47" s="324">
        <v>0.95</v>
      </c>
      <c r="BR47" s="324">
        <v>0.95</v>
      </c>
      <c r="BS47" s="324">
        <v>0.95</v>
      </c>
      <c r="BT47" s="324">
        <v>0.95</v>
      </c>
      <c r="BU47" s="324">
        <v>0.95</v>
      </c>
      <c r="BV47" s="324">
        <v>0.95</v>
      </c>
      <c r="BW47" s="324">
        <v>0.95</v>
      </c>
      <c r="BX47" s="324">
        <v>0.95</v>
      </c>
      <c r="BY47" s="324">
        <v>0.95</v>
      </c>
      <c r="BZ47" s="324">
        <v>0.95</v>
      </c>
      <c r="CA47" s="324">
        <v>0.95</v>
      </c>
      <c r="CB47" s="324">
        <v>0.95</v>
      </c>
      <c r="CC47" s="324">
        <v>0.95</v>
      </c>
      <c r="CD47" s="324">
        <v>0.95</v>
      </c>
      <c r="CE47" s="324">
        <v>0.95</v>
      </c>
      <c r="CF47" s="324">
        <v>0.95</v>
      </c>
      <c r="CG47" s="324">
        <v>0.95</v>
      </c>
      <c r="CH47" s="324">
        <v>0.95</v>
      </c>
      <c r="CI47" s="324">
        <v>0.95</v>
      </c>
      <c r="CJ47" s="324">
        <v>0.95</v>
      </c>
      <c r="CK47" s="324">
        <v>0.95</v>
      </c>
      <c r="CL47" s="324">
        <v>0.95</v>
      </c>
      <c r="CM47" s="324">
        <v>0.95</v>
      </c>
      <c r="CN47" s="324">
        <v>0.95</v>
      </c>
      <c r="CO47" s="324">
        <v>0.95</v>
      </c>
      <c r="CP47" s="324">
        <v>0.95</v>
      </c>
      <c r="CQ47" s="324">
        <v>0.95</v>
      </c>
      <c r="CR47" s="324">
        <v>0.95</v>
      </c>
      <c r="CS47" s="324">
        <v>0.95</v>
      </c>
      <c r="CT47" s="324">
        <v>0.95</v>
      </c>
      <c r="CU47" s="324">
        <v>0.95</v>
      </c>
      <c r="CV47" s="324">
        <v>0.95</v>
      </c>
      <c r="CW47" s="324">
        <v>0.95</v>
      </c>
      <c r="CX47" s="324">
        <v>0.95</v>
      </c>
      <c r="CY47" s="324">
        <v>0.95</v>
      </c>
      <c r="CZ47" s="324">
        <v>0.95</v>
      </c>
      <c r="DA47" s="324">
        <v>0.95</v>
      </c>
      <c r="DB47" s="324">
        <v>0.95</v>
      </c>
      <c r="DC47" s="324">
        <v>0.95</v>
      </c>
      <c r="DD47" s="324">
        <v>0.95</v>
      </c>
      <c r="DE47" s="324">
        <v>0.95</v>
      </c>
      <c r="DF47" s="324">
        <v>0.95</v>
      </c>
      <c r="DG47" s="324">
        <v>0.95</v>
      </c>
      <c r="DH47" s="324">
        <v>0.95</v>
      </c>
      <c r="DI47" s="324">
        <v>0.95</v>
      </c>
      <c r="DJ47" s="324">
        <v>0.95</v>
      </c>
      <c r="DK47" s="324">
        <v>0.95</v>
      </c>
      <c r="DL47" s="324">
        <v>0.95</v>
      </c>
      <c r="DM47" s="324">
        <v>0.95</v>
      </c>
      <c r="DN47" s="324">
        <v>0.95</v>
      </c>
      <c r="DO47" s="324">
        <v>0.95</v>
      </c>
      <c r="DP47" s="324">
        <v>0.95</v>
      </c>
      <c r="DQ47" s="324">
        <v>0.95</v>
      </c>
      <c r="DR47" s="324">
        <v>0.95</v>
      </c>
      <c r="DS47" s="324">
        <v>0.95</v>
      </c>
      <c r="DT47" s="324">
        <v>0.95</v>
      </c>
      <c r="DU47" s="324">
        <v>0.95</v>
      </c>
      <c r="DV47" s="324">
        <v>0.95</v>
      </c>
      <c r="DW47" s="324">
        <v>0.95</v>
      </c>
      <c r="DX47" s="324">
        <v>0.95</v>
      </c>
      <c r="DY47" s="324">
        <v>0.95</v>
      </c>
      <c r="DZ47" s="324">
        <v>0.95</v>
      </c>
      <c r="EA47" s="324">
        <v>0.95</v>
      </c>
      <c r="EB47" s="324">
        <v>0.95</v>
      </c>
      <c r="EC47" s="324">
        <v>0.95</v>
      </c>
      <c r="ED47" s="324">
        <v>0.95</v>
      </c>
      <c r="EE47" s="324">
        <v>0.95</v>
      </c>
      <c r="EF47" s="324">
        <v>0.95</v>
      </c>
      <c r="EG47" s="324">
        <v>0.95</v>
      </c>
      <c r="EH47" s="324">
        <v>0.95</v>
      </c>
      <c r="EI47" s="324">
        <v>0.95</v>
      </c>
      <c r="EJ47" s="324">
        <v>0.95</v>
      </c>
      <c r="EK47" s="324">
        <v>0.95</v>
      </c>
      <c r="EL47" s="324">
        <v>0.95</v>
      </c>
      <c r="EM47" s="324">
        <v>0.95</v>
      </c>
      <c r="EN47" s="324">
        <v>0.95</v>
      </c>
      <c r="EO47" s="324">
        <v>0.95</v>
      </c>
      <c r="EP47" s="324">
        <v>0.95</v>
      </c>
      <c r="EQ47" s="324">
        <v>0.95</v>
      </c>
      <c r="ER47" s="324">
        <v>0.95</v>
      </c>
      <c r="ES47" s="324">
        <v>0.95</v>
      </c>
      <c r="ET47" s="324">
        <v>0.95</v>
      </c>
      <c r="EU47" s="324">
        <v>0.95</v>
      </c>
      <c r="EV47" s="324">
        <v>0.95</v>
      </c>
      <c r="EW47" s="324">
        <v>0.95</v>
      </c>
      <c r="EX47" s="324">
        <v>0.95</v>
      </c>
      <c r="EY47" s="324">
        <v>0.95</v>
      </c>
      <c r="EZ47" s="324">
        <v>0.95</v>
      </c>
      <c r="FA47" s="324">
        <v>0.95</v>
      </c>
      <c r="FB47" s="324">
        <v>0.95</v>
      </c>
      <c r="FC47" s="324">
        <v>0.95</v>
      </c>
      <c r="FD47" s="324">
        <v>0.95</v>
      </c>
      <c r="FE47" s="324">
        <v>0.95</v>
      </c>
      <c r="FF47" s="324">
        <v>0.95</v>
      </c>
      <c r="FG47" s="324">
        <v>0.95</v>
      </c>
      <c r="FH47" s="324">
        <v>0.95</v>
      </c>
      <c r="FI47" s="324">
        <v>0.95</v>
      </c>
      <c r="FJ47" s="324">
        <v>0.95</v>
      </c>
      <c r="FK47" s="324">
        <v>0.95</v>
      </c>
      <c r="FL47" s="324">
        <v>0.95</v>
      </c>
      <c r="FM47" s="324">
        <v>0.95</v>
      </c>
      <c r="FN47" s="324">
        <v>0.95</v>
      </c>
      <c r="FO47" s="324">
        <v>0.95</v>
      </c>
      <c r="FP47" s="324">
        <v>0.95</v>
      </c>
      <c r="FQ47" s="324">
        <v>0.95</v>
      </c>
      <c r="FR47" s="324">
        <v>0.95</v>
      </c>
      <c r="FS47" s="324">
        <v>0.95</v>
      </c>
      <c r="FT47" s="324">
        <v>0.95</v>
      </c>
      <c r="FU47" s="324">
        <v>0.95</v>
      </c>
      <c r="FV47" s="324">
        <v>0.95</v>
      </c>
      <c r="FW47" s="324">
        <v>0.95</v>
      </c>
      <c r="FX47" s="324">
        <v>0.95</v>
      </c>
      <c r="FY47" s="324">
        <v>0.95</v>
      </c>
      <c r="FZ47" s="324">
        <v>0.95</v>
      </c>
      <c r="GA47" s="324">
        <v>0.95</v>
      </c>
      <c r="GB47" s="324">
        <v>0.95</v>
      </c>
      <c r="GC47" s="324">
        <v>0.95</v>
      </c>
      <c r="GD47" s="324">
        <v>0.95</v>
      </c>
      <c r="GE47" s="324">
        <v>0.95</v>
      </c>
      <c r="GF47" s="324">
        <v>0.95</v>
      </c>
      <c r="GG47" s="324">
        <v>0.95</v>
      </c>
      <c r="GH47" s="324">
        <v>0.95</v>
      </c>
      <c r="GI47" s="324">
        <v>0.95</v>
      </c>
      <c r="GJ47" s="324">
        <v>0.95</v>
      </c>
      <c r="GK47" s="324">
        <v>0.95</v>
      </c>
      <c r="GL47" s="324">
        <v>0.95</v>
      </c>
      <c r="GM47" s="324">
        <v>0.95</v>
      </c>
      <c r="GN47" s="324">
        <v>0.95</v>
      </c>
      <c r="GO47" s="324">
        <v>0.95</v>
      </c>
      <c r="GP47" s="324">
        <v>0.95</v>
      </c>
      <c r="GQ47" s="324">
        <v>0.95</v>
      </c>
      <c r="GR47" s="324">
        <v>0.95</v>
      </c>
      <c r="GS47" s="324">
        <v>0.95</v>
      </c>
      <c r="GT47" s="324">
        <v>0.95</v>
      </c>
      <c r="GU47" s="324">
        <v>0.95</v>
      </c>
      <c r="GV47" s="324">
        <v>0.95</v>
      </c>
      <c r="GW47" s="324">
        <v>0.95</v>
      </c>
      <c r="GX47" s="324">
        <v>0.95</v>
      </c>
      <c r="GY47" s="324">
        <v>0.95</v>
      </c>
      <c r="GZ47" s="324">
        <v>0.95</v>
      </c>
      <c r="HA47" s="324">
        <v>0.95</v>
      </c>
      <c r="HB47" s="324">
        <v>0.95</v>
      </c>
      <c r="HC47" s="324">
        <v>0.95</v>
      </c>
      <c r="HD47" s="324">
        <v>0.95</v>
      </c>
      <c r="HE47" s="324">
        <v>0.95</v>
      </c>
      <c r="HF47" s="324">
        <v>0.95</v>
      </c>
      <c r="HG47" s="324">
        <v>0.95</v>
      </c>
      <c r="HH47" s="324">
        <v>0.95</v>
      </c>
      <c r="HI47" s="324">
        <v>0.95</v>
      </c>
      <c r="HJ47" s="324">
        <v>0.95</v>
      </c>
      <c r="HK47" s="324">
        <v>0.95</v>
      </c>
      <c r="HL47" s="324">
        <v>0.95</v>
      </c>
      <c r="HM47" s="324">
        <v>0.95</v>
      </c>
      <c r="HN47" s="324">
        <v>0.95</v>
      </c>
      <c r="HO47" s="324">
        <v>0.95</v>
      </c>
      <c r="HP47" s="324">
        <v>0.95</v>
      </c>
      <c r="HQ47" s="324">
        <v>0.95</v>
      </c>
      <c r="HR47" s="324">
        <v>0.95</v>
      </c>
      <c r="HS47" s="324">
        <v>0.95</v>
      </c>
      <c r="HT47" s="324">
        <v>0.95</v>
      </c>
      <c r="HU47" s="324">
        <v>0.95</v>
      </c>
      <c r="HV47" s="324">
        <v>0.95</v>
      </c>
      <c r="HW47" s="324">
        <v>0.95</v>
      </c>
      <c r="HX47" s="324">
        <v>0.95</v>
      </c>
      <c r="HY47" s="324">
        <v>0.95</v>
      </c>
      <c r="HZ47" s="324">
        <v>0.95</v>
      </c>
      <c r="IA47" s="324">
        <v>0.95</v>
      </c>
      <c r="IB47" s="324">
        <v>0.95</v>
      </c>
      <c r="IC47" s="324">
        <v>0.95</v>
      </c>
      <c r="ID47" s="324">
        <v>0.95</v>
      </c>
      <c r="IE47" s="324">
        <v>0.95</v>
      </c>
      <c r="IF47" s="324">
        <v>0.95</v>
      </c>
      <c r="IG47" s="324">
        <v>0.95</v>
      </c>
      <c r="IH47" s="324">
        <v>0.95</v>
      </c>
      <c r="II47" s="324">
        <v>0.95</v>
      </c>
      <c r="IJ47" s="324">
        <v>0.95</v>
      </c>
      <c r="IK47" s="324">
        <v>0.95</v>
      </c>
      <c r="IL47" s="324">
        <v>0.95</v>
      </c>
      <c r="IM47" s="324">
        <v>0.95</v>
      </c>
      <c r="IN47" s="324">
        <v>0.95</v>
      </c>
      <c r="IO47" s="324">
        <v>0.95</v>
      </c>
      <c r="IP47" s="324">
        <v>0.95</v>
      </c>
      <c r="IQ47" s="324">
        <v>0.95</v>
      </c>
      <c r="IR47" s="324">
        <v>0.95</v>
      </c>
      <c r="IS47" s="324">
        <v>0.95</v>
      </c>
      <c r="IT47" s="324">
        <v>0.95</v>
      </c>
      <c r="IU47" s="324">
        <v>0.95</v>
      </c>
      <c r="IV47" s="324">
        <v>0.95</v>
      </c>
      <c r="IX47" s="324">
        <f>(IX45+IX46)/IX56</f>
        <v>0.9499999999999984</v>
      </c>
    </row>
    <row r="48" spans="1:258">
      <c r="A48" s="319">
        <v>3</v>
      </c>
      <c r="B48" s="583" t="s">
        <v>406</v>
      </c>
      <c r="C48" s="583"/>
      <c r="D48" s="328" t="s">
        <v>452</v>
      </c>
      <c r="E48" s="454">
        <f>IF(E39=$G$29,1,0)</f>
        <v>0</v>
      </c>
      <c r="F48" s="454">
        <f t="shared" ref="F48:BQ48" si="16">IF(F39=$G$29,1,0)</f>
        <v>0</v>
      </c>
      <c r="G48" s="454">
        <f t="shared" si="16"/>
        <v>0</v>
      </c>
      <c r="H48" s="454">
        <f t="shared" si="16"/>
        <v>0</v>
      </c>
      <c r="I48" s="454">
        <f t="shared" si="16"/>
        <v>0</v>
      </c>
      <c r="J48" s="454">
        <f t="shared" si="16"/>
        <v>0</v>
      </c>
      <c r="K48" s="454">
        <f t="shared" si="16"/>
        <v>0</v>
      </c>
      <c r="L48" s="454">
        <f t="shared" si="16"/>
        <v>0</v>
      </c>
      <c r="M48" s="454">
        <f t="shared" si="16"/>
        <v>0</v>
      </c>
      <c r="N48" s="454">
        <f t="shared" si="16"/>
        <v>0</v>
      </c>
      <c r="O48" s="454">
        <f t="shared" si="16"/>
        <v>0</v>
      </c>
      <c r="P48" s="454">
        <f t="shared" si="16"/>
        <v>0</v>
      </c>
      <c r="Q48" s="454">
        <f t="shared" si="16"/>
        <v>0</v>
      </c>
      <c r="R48" s="454">
        <f t="shared" si="16"/>
        <v>0</v>
      </c>
      <c r="S48" s="454">
        <f t="shared" si="16"/>
        <v>0</v>
      </c>
      <c r="T48" s="454">
        <f t="shared" si="16"/>
        <v>0</v>
      </c>
      <c r="U48" s="454">
        <f t="shared" si="16"/>
        <v>0</v>
      </c>
      <c r="V48" s="454">
        <f t="shared" si="16"/>
        <v>0</v>
      </c>
      <c r="W48" s="454">
        <f t="shared" si="16"/>
        <v>0</v>
      </c>
      <c r="X48" s="454">
        <f t="shared" si="16"/>
        <v>0</v>
      </c>
      <c r="Y48" s="454">
        <f t="shared" si="16"/>
        <v>0</v>
      </c>
      <c r="Z48" s="454">
        <f t="shared" si="16"/>
        <v>0</v>
      </c>
      <c r="AA48" s="454">
        <f t="shared" si="16"/>
        <v>0</v>
      </c>
      <c r="AB48" s="454">
        <f t="shared" si="16"/>
        <v>0</v>
      </c>
      <c r="AC48" s="454">
        <f t="shared" si="16"/>
        <v>0</v>
      </c>
      <c r="AD48" s="454">
        <f t="shared" si="16"/>
        <v>0</v>
      </c>
      <c r="AE48" s="454">
        <f t="shared" si="16"/>
        <v>0</v>
      </c>
      <c r="AF48" s="454">
        <f t="shared" si="16"/>
        <v>0</v>
      </c>
      <c r="AG48" s="454">
        <f t="shared" si="16"/>
        <v>0</v>
      </c>
      <c r="AH48" s="454">
        <f t="shared" si="16"/>
        <v>0</v>
      </c>
      <c r="AI48" s="454">
        <f t="shared" si="16"/>
        <v>0</v>
      </c>
      <c r="AJ48" s="454">
        <f t="shared" si="16"/>
        <v>0</v>
      </c>
      <c r="AK48" s="454">
        <f t="shared" si="16"/>
        <v>0</v>
      </c>
      <c r="AL48" s="454">
        <f t="shared" si="16"/>
        <v>0</v>
      </c>
      <c r="AM48" s="454">
        <f t="shared" si="16"/>
        <v>0</v>
      </c>
      <c r="AN48" s="454">
        <f t="shared" si="16"/>
        <v>0</v>
      </c>
      <c r="AO48" s="454">
        <f t="shared" si="16"/>
        <v>0</v>
      </c>
      <c r="AP48" s="454">
        <f t="shared" si="16"/>
        <v>0</v>
      </c>
      <c r="AQ48" s="454">
        <f t="shared" si="16"/>
        <v>0</v>
      </c>
      <c r="AR48" s="454">
        <f t="shared" si="16"/>
        <v>0</v>
      </c>
      <c r="AS48" s="454">
        <f t="shared" si="16"/>
        <v>0</v>
      </c>
      <c r="AT48" s="454">
        <f t="shared" si="16"/>
        <v>0</v>
      </c>
      <c r="AU48" s="454">
        <f t="shared" si="16"/>
        <v>0</v>
      </c>
      <c r="AV48" s="454">
        <f t="shared" si="16"/>
        <v>0</v>
      </c>
      <c r="AW48" s="454">
        <f t="shared" si="16"/>
        <v>0</v>
      </c>
      <c r="AX48" s="454">
        <f t="shared" si="16"/>
        <v>0</v>
      </c>
      <c r="AY48" s="454">
        <f t="shared" si="16"/>
        <v>0</v>
      </c>
      <c r="AZ48" s="454">
        <f t="shared" si="16"/>
        <v>0</v>
      </c>
      <c r="BA48" s="454">
        <f t="shared" si="16"/>
        <v>0</v>
      </c>
      <c r="BB48" s="454">
        <f t="shared" si="16"/>
        <v>0</v>
      </c>
      <c r="BC48" s="454">
        <f t="shared" si="16"/>
        <v>0</v>
      </c>
      <c r="BD48" s="454">
        <f t="shared" si="16"/>
        <v>0</v>
      </c>
      <c r="BE48" s="454">
        <f t="shared" si="16"/>
        <v>0</v>
      </c>
      <c r="BF48" s="454">
        <f t="shared" si="16"/>
        <v>0</v>
      </c>
      <c r="BG48" s="454">
        <f t="shared" si="16"/>
        <v>0</v>
      </c>
      <c r="BH48" s="454">
        <f t="shared" si="16"/>
        <v>0</v>
      </c>
      <c r="BI48" s="454">
        <f t="shared" si="16"/>
        <v>0</v>
      </c>
      <c r="BJ48" s="454">
        <f t="shared" si="16"/>
        <v>0</v>
      </c>
      <c r="BK48" s="454">
        <f t="shared" si="16"/>
        <v>0</v>
      </c>
      <c r="BL48" s="454">
        <f t="shared" si="16"/>
        <v>0</v>
      </c>
      <c r="BM48" s="454">
        <f t="shared" si="16"/>
        <v>0</v>
      </c>
      <c r="BN48" s="454">
        <f t="shared" si="16"/>
        <v>0</v>
      </c>
      <c r="BO48" s="454">
        <f t="shared" si="16"/>
        <v>0</v>
      </c>
      <c r="BP48" s="454">
        <f t="shared" si="16"/>
        <v>0</v>
      </c>
      <c r="BQ48" s="454">
        <f t="shared" si="16"/>
        <v>0</v>
      </c>
      <c r="BR48" s="454">
        <f t="shared" ref="BR48:EC48" si="17">IF(BR39=$G$29,1,0)</f>
        <v>0</v>
      </c>
      <c r="BS48" s="454">
        <f t="shared" si="17"/>
        <v>0</v>
      </c>
      <c r="BT48" s="454">
        <f t="shared" si="17"/>
        <v>0</v>
      </c>
      <c r="BU48" s="454">
        <f t="shared" si="17"/>
        <v>0</v>
      </c>
      <c r="BV48" s="454">
        <f t="shared" si="17"/>
        <v>0</v>
      </c>
      <c r="BW48" s="454">
        <f t="shared" si="17"/>
        <v>0</v>
      </c>
      <c r="BX48" s="454">
        <f t="shared" si="17"/>
        <v>0</v>
      </c>
      <c r="BY48" s="454">
        <f t="shared" si="17"/>
        <v>0</v>
      </c>
      <c r="BZ48" s="454">
        <f t="shared" si="17"/>
        <v>0</v>
      </c>
      <c r="CA48" s="454">
        <f t="shared" si="17"/>
        <v>0</v>
      </c>
      <c r="CB48" s="454">
        <f t="shared" si="17"/>
        <v>0</v>
      </c>
      <c r="CC48" s="454">
        <f t="shared" si="17"/>
        <v>0</v>
      </c>
      <c r="CD48" s="454">
        <f t="shared" si="17"/>
        <v>0</v>
      </c>
      <c r="CE48" s="454">
        <f t="shared" si="17"/>
        <v>0</v>
      </c>
      <c r="CF48" s="454">
        <f t="shared" si="17"/>
        <v>0</v>
      </c>
      <c r="CG48" s="454">
        <f t="shared" si="17"/>
        <v>0</v>
      </c>
      <c r="CH48" s="454">
        <f t="shared" si="17"/>
        <v>0</v>
      </c>
      <c r="CI48" s="454">
        <f t="shared" si="17"/>
        <v>0</v>
      </c>
      <c r="CJ48" s="454">
        <f t="shared" si="17"/>
        <v>0</v>
      </c>
      <c r="CK48" s="454">
        <f t="shared" si="17"/>
        <v>0</v>
      </c>
      <c r="CL48" s="454">
        <f t="shared" si="17"/>
        <v>0</v>
      </c>
      <c r="CM48" s="454">
        <f t="shared" si="17"/>
        <v>0</v>
      </c>
      <c r="CN48" s="454">
        <f t="shared" si="17"/>
        <v>0</v>
      </c>
      <c r="CO48" s="454">
        <f t="shared" si="17"/>
        <v>0</v>
      </c>
      <c r="CP48" s="454">
        <f t="shared" si="17"/>
        <v>0</v>
      </c>
      <c r="CQ48" s="454">
        <f t="shared" si="17"/>
        <v>0</v>
      </c>
      <c r="CR48" s="454">
        <f t="shared" si="17"/>
        <v>0</v>
      </c>
      <c r="CS48" s="454">
        <f t="shared" si="17"/>
        <v>0</v>
      </c>
      <c r="CT48" s="454">
        <f t="shared" si="17"/>
        <v>0</v>
      </c>
      <c r="CU48" s="454">
        <f t="shared" si="17"/>
        <v>0</v>
      </c>
      <c r="CV48" s="454">
        <f t="shared" si="17"/>
        <v>0</v>
      </c>
      <c r="CW48" s="454">
        <f t="shared" si="17"/>
        <v>0</v>
      </c>
      <c r="CX48" s="454">
        <f t="shared" si="17"/>
        <v>0</v>
      </c>
      <c r="CY48" s="454">
        <f t="shared" si="17"/>
        <v>0</v>
      </c>
      <c r="CZ48" s="454">
        <f t="shared" si="17"/>
        <v>0</v>
      </c>
      <c r="DA48" s="454">
        <f t="shared" si="17"/>
        <v>0</v>
      </c>
      <c r="DB48" s="454">
        <f t="shared" si="17"/>
        <v>0</v>
      </c>
      <c r="DC48" s="454">
        <f t="shared" si="17"/>
        <v>0</v>
      </c>
      <c r="DD48" s="454">
        <f t="shared" si="17"/>
        <v>0</v>
      </c>
      <c r="DE48" s="454">
        <f t="shared" si="17"/>
        <v>0</v>
      </c>
      <c r="DF48" s="454">
        <f t="shared" si="17"/>
        <v>0</v>
      </c>
      <c r="DG48" s="454">
        <f t="shared" si="17"/>
        <v>0</v>
      </c>
      <c r="DH48" s="454">
        <f t="shared" si="17"/>
        <v>0</v>
      </c>
      <c r="DI48" s="454">
        <f t="shared" si="17"/>
        <v>0</v>
      </c>
      <c r="DJ48" s="454">
        <f t="shared" si="17"/>
        <v>0</v>
      </c>
      <c r="DK48" s="454">
        <f t="shared" si="17"/>
        <v>0</v>
      </c>
      <c r="DL48" s="454">
        <f t="shared" si="17"/>
        <v>0</v>
      </c>
      <c r="DM48" s="454">
        <f t="shared" si="17"/>
        <v>0</v>
      </c>
      <c r="DN48" s="454">
        <f t="shared" si="17"/>
        <v>0</v>
      </c>
      <c r="DO48" s="454">
        <f t="shared" si="17"/>
        <v>0</v>
      </c>
      <c r="DP48" s="454">
        <f t="shared" si="17"/>
        <v>0</v>
      </c>
      <c r="DQ48" s="454">
        <f t="shared" si="17"/>
        <v>0</v>
      </c>
      <c r="DR48" s="454">
        <f t="shared" si="17"/>
        <v>0</v>
      </c>
      <c r="DS48" s="454">
        <f t="shared" si="17"/>
        <v>0</v>
      </c>
      <c r="DT48" s="454">
        <f t="shared" si="17"/>
        <v>0</v>
      </c>
      <c r="DU48" s="454">
        <f t="shared" si="17"/>
        <v>0</v>
      </c>
      <c r="DV48" s="454">
        <f t="shared" si="17"/>
        <v>0</v>
      </c>
      <c r="DW48" s="454">
        <f t="shared" si="17"/>
        <v>0</v>
      </c>
      <c r="DX48" s="454">
        <f t="shared" si="17"/>
        <v>0</v>
      </c>
      <c r="DY48" s="454">
        <f t="shared" si="17"/>
        <v>0</v>
      </c>
      <c r="DZ48" s="454">
        <f t="shared" si="17"/>
        <v>0</v>
      </c>
      <c r="EA48" s="454">
        <f t="shared" si="17"/>
        <v>0</v>
      </c>
      <c r="EB48" s="454">
        <f t="shared" si="17"/>
        <v>0</v>
      </c>
      <c r="EC48" s="454">
        <f t="shared" si="17"/>
        <v>0</v>
      </c>
      <c r="ED48" s="454">
        <f t="shared" ref="ED48:GO48" si="18">IF(ED39=$G$29,1,0)</f>
        <v>0</v>
      </c>
      <c r="EE48" s="454">
        <f t="shared" si="18"/>
        <v>0</v>
      </c>
      <c r="EF48" s="454">
        <f t="shared" si="18"/>
        <v>0</v>
      </c>
      <c r="EG48" s="454">
        <f t="shared" si="18"/>
        <v>0</v>
      </c>
      <c r="EH48" s="454">
        <f t="shared" si="18"/>
        <v>0</v>
      </c>
      <c r="EI48" s="454">
        <f t="shared" si="18"/>
        <v>0</v>
      </c>
      <c r="EJ48" s="454">
        <f t="shared" si="18"/>
        <v>0</v>
      </c>
      <c r="EK48" s="454">
        <f t="shared" si="18"/>
        <v>0</v>
      </c>
      <c r="EL48" s="454">
        <f t="shared" si="18"/>
        <v>0</v>
      </c>
      <c r="EM48" s="454">
        <f t="shared" si="18"/>
        <v>0</v>
      </c>
      <c r="EN48" s="454">
        <f t="shared" si="18"/>
        <v>0</v>
      </c>
      <c r="EO48" s="454">
        <f t="shared" si="18"/>
        <v>0</v>
      </c>
      <c r="EP48" s="454">
        <f t="shared" si="18"/>
        <v>0</v>
      </c>
      <c r="EQ48" s="454">
        <f t="shared" si="18"/>
        <v>0</v>
      </c>
      <c r="ER48" s="454">
        <f t="shared" si="18"/>
        <v>0</v>
      </c>
      <c r="ES48" s="454">
        <f t="shared" si="18"/>
        <v>0</v>
      </c>
      <c r="ET48" s="454">
        <f t="shared" si="18"/>
        <v>0</v>
      </c>
      <c r="EU48" s="454">
        <f t="shared" si="18"/>
        <v>0</v>
      </c>
      <c r="EV48" s="454">
        <f t="shared" si="18"/>
        <v>0</v>
      </c>
      <c r="EW48" s="454">
        <f t="shared" si="18"/>
        <v>0</v>
      </c>
      <c r="EX48" s="454">
        <f t="shared" si="18"/>
        <v>0</v>
      </c>
      <c r="EY48" s="454">
        <f t="shared" si="18"/>
        <v>0</v>
      </c>
      <c r="EZ48" s="454">
        <f t="shared" si="18"/>
        <v>0</v>
      </c>
      <c r="FA48" s="454">
        <f t="shared" si="18"/>
        <v>0</v>
      </c>
      <c r="FB48" s="454">
        <f t="shared" si="18"/>
        <v>0</v>
      </c>
      <c r="FC48" s="454">
        <f t="shared" si="18"/>
        <v>0</v>
      </c>
      <c r="FD48" s="454">
        <f t="shared" si="18"/>
        <v>0</v>
      </c>
      <c r="FE48" s="454">
        <f t="shared" si="18"/>
        <v>0</v>
      </c>
      <c r="FF48" s="454">
        <f t="shared" si="18"/>
        <v>0</v>
      </c>
      <c r="FG48" s="454">
        <f t="shared" si="18"/>
        <v>0</v>
      </c>
      <c r="FH48" s="454">
        <f t="shared" si="18"/>
        <v>0</v>
      </c>
      <c r="FI48" s="454">
        <f t="shared" si="18"/>
        <v>0</v>
      </c>
      <c r="FJ48" s="454">
        <f t="shared" si="18"/>
        <v>0</v>
      </c>
      <c r="FK48" s="454">
        <f t="shared" si="18"/>
        <v>0</v>
      </c>
      <c r="FL48" s="454">
        <f t="shared" si="18"/>
        <v>0</v>
      </c>
      <c r="FM48" s="454">
        <f t="shared" si="18"/>
        <v>0</v>
      </c>
      <c r="FN48" s="454">
        <f t="shared" si="18"/>
        <v>0</v>
      </c>
      <c r="FO48" s="454">
        <f t="shared" si="18"/>
        <v>0</v>
      </c>
      <c r="FP48" s="454">
        <f t="shared" si="18"/>
        <v>0</v>
      </c>
      <c r="FQ48" s="454">
        <f t="shared" si="18"/>
        <v>0</v>
      </c>
      <c r="FR48" s="454">
        <f t="shared" si="18"/>
        <v>0</v>
      </c>
      <c r="FS48" s="454">
        <f t="shared" si="18"/>
        <v>0</v>
      </c>
      <c r="FT48" s="454">
        <f t="shared" si="18"/>
        <v>0</v>
      </c>
      <c r="FU48" s="454">
        <f t="shared" si="18"/>
        <v>0</v>
      </c>
      <c r="FV48" s="454">
        <f t="shared" si="18"/>
        <v>0</v>
      </c>
      <c r="FW48" s="454">
        <f t="shared" si="18"/>
        <v>0</v>
      </c>
      <c r="FX48" s="454">
        <f t="shared" si="18"/>
        <v>0</v>
      </c>
      <c r="FY48" s="454">
        <f t="shared" si="18"/>
        <v>0</v>
      </c>
      <c r="FZ48" s="454">
        <f t="shared" si="18"/>
        <v>0</v>
      </c>
      <c r="GA48" s="454">
        <f t="shared" si="18"/>
        <v>0</v>
      </c>
      <c r="GB48" s="454">
        <f t="shared" si="18"/>
        <v>0</v>
      </c>
      <c r="GC48" s="454">
        <f t="shared" si="18"/>
        <v>0</v>
      </c>
      <c r="GD48" s="454">
        <f t="shared" si="18"/>
        <v>0</v>
      </c>
      <c r="GE48" s="454">
        <f t="shared" si="18"/>
        <v>0</v>
      </c>
      <c r="GF48" s="454">
        <f t="shared" si="18"/>
        <v>0</v>
      </c>
      <c r="GG48" s="454">
        <f t="shared" si="18"/>
        <v>0</v>
      </c>
      <c r="GH48" s="454">
        <f t="shared" si="18"/>
        <v>0</v>
      </c>
      <c r="GI48" s="454">
        <f t="shared" si="18"/>
        <v>0</v>
      </c>
      <c r="GJ48" s="454">
        <f t="shared" si="18"/>
        <v>0</v>
      </c>
      <c r="GK48" s="454">
        <f t="shared" si="18"/>
        <v>0</v>
      </c>
      <c r="GL48" s="454">
        <f t="shared" si="18"/>
        <v>0</v>
      </c>
      <c r="GM48" s="454">
        <f t="shared" si="18"/>
        <v>0</v>
      </c>
      <c r="GN48" s="454">
        <f t="shared" si="18"/>
        <v>0</v>
      </c>
      <c r="GO48" s="454">
        <f t="shared" si="18"/>
        <v>0</v>
      </c>
      <c r="GP48" s="454">
        <f t="shared" ref="GP48:IV48" si="19">IF(GP39=$G$29,1,0)</f>
        <v>0</v>
      </c>
      <c r="GQ48" s="454">
        <f t="shared" si="19"/>
        <v>0</v>
      </c>
      <c r="GR48" s="454">
        <f t="shared" si="19"/>
        <v>0</v>
      </c>
      <c r="GS48" s="454">
        <f t="shared" si="19"/>
        <v>0</v>
      </c>
      <c r="GT48" s="454">
        <f t="shared" si="19"/>
        <v>0</v>
      </c>
      <c r="GU48" s="454">
        <f t="shared" si="19"/>
        <v>0</v>
      </c>
      <c r="GV48" s="454">
        <f t="shared" si="19"/>
        <v>0</v>
      </c>
      <c r="GW48" s="454">
        <f t="shared" si="19"/>
        <v>0</v>
      </c>
      <c r="GX48" s="454">
        <f t="shared" si="19"/>
        <v>0</v>
      </c>
      <c r="GY48" s="454">
        <f t="shared" si="19"/>
        <v>0</v>
      </c>
      <c r="GZ48" s="454">
        <f t="shared" si="19"/>
        <v>0</v>
      </c>
      <c r="HA48" s="454">
        <f t="shared" si="19"/>
        <v>0</v>
      </c>
      <c r="HB48" s="454">
        <f t="shared" si="19"/>
        <v>0</v>
      </c>
      <c r="HC48" s="454">
        <f t="shared" si="19"/>
        <v>0</v>
      </c>
      <c r="HD48" s="454">
        <f t="shared" si="19"/>
        <v>0</v>
      </c>
      <c r="HE48" s="454">
        <f t="shared" si="19"/>
        <v>0</v>
      </c>
      <c r="HF48" s="454">
        <f t="shared" si="19"/>
        <v>0</v>
      </c>
      <c r="HG48" s="454">
        <f t="shared" si="19"/>
        <v>0</v>
      </c>
      <c r="HH48" s="454">
        <f t="shared" si="19"/>
        <v>0</v>
      </c>
      <c r="HI48" s="454">
        <f t="shared" si="19"/>
        <v>0</v>
      </c>
      <c r="HJ48" s="454">
        <f t="shared" si="19"/>
        <v>0</v>
      </c>
      <c r="HK48" s="454">
        <f t="shared" si="19"/>
        <v>0</v>
      </c>
      <c r="HL48" s="454">
        <f t="shared" si="19"/>
        <v>0</v>
      </c>
      <c r="HM48" s="454">
        <f t="shared" si="19"/>
        <v>0</v>
      </c>
      <c r="HN48" s="454">
        <f t="shared" si="19"/>
        <v>0</v>
      </c>
      <c r="HO48" s="454">
        <f t="shared" si="19"/>
        <v>0</v>
      </c>
      <c r="HP48" s="454">
        <f t="shared" si="19"/>
        <v>0</v>
      </c>
      <c r="HQ48" s="454">
        <f t="shared" si="19"/>
        <v>0</v>
      </c>
      <c r="HR48" s="454">
        <f t="shared" si="19"/>
        <v>0</v>
      </c>
      <c r="HS48" s="454">
        <f t="shared" si="19"/>
        <v>0</v>
      </c>
      <c r="HT48" s="454">
        <f t="shared" si="19"/>
        <v>0</v>
      </c>
      <c r="HU48" s="454">
        <f t="shared" si="19"/>
        <v>0</v>
      </c>
      <c r="HV48" s="454">
        <f t="shared" si="19"/>
        <v>0</v>
      </c>
      <c r="HW48" s="454">
        <f t="shared" si="19"/>
        <v>0</v>
      </c>
      <c r="HX48" s="454">
        <f t="shared" si="19"/>
        <v>0</v>
      </c>
      <c r="HY48" s="454">
        <f t="shared" si="19"/>
        <v>0</v>
      </c>
      <c r="HZ48" s="454">
        <f t="shared" si="19"/>
        <v>0</v>
      </c>
      <c r="IA48" s="454">
        <f t="shared" si="19"/>
        <v>0</v>
      </c>
      <c r="IB48" s="454">
        <f t="shared" si="19"/>
        <v>0</v>
      </c>
      <c r="IC48" s="454">
        <f t="shared" si="19"/>
        <v>0</v>
      </c>
      <c r="ID48" s="454">
        <f t="shared" si="19"/>
        <v>0</v>
      </c>
      <c r="IE48" s="454">
        <f t="shared" si="19"/>
        <v>0</v>
      </c>
      <c r="IF48" s="454">
        <f t="shared" si="19"/>
        <v>0</v>
      </c>
      <c r="IG48" s="454">
        <f t="shared" si="19"/>
        <v>0</v>
      </c>
      <c r="IH48" s="454">
        <f t="shared" si="19"/>
        <v>0</v>
      </c>
      <c r="II48" s="454">
        <f t="shared" si="19"/>
        <v>0</v>
      </c>
      <c r="IJ48" s="454">
        <f t="shared" si="19"/>
        <v>0</v>
      </c>
      <c r="IK48" s="454">
        <f t="shared" si="19"/>
        <v>0</v>
      </c>
      <c r="IL48" s="454">
        <f t="shared" si="19"/>
        <v>0</v>
      </c>
      <c r="IM48" s="454">
        <f t="shared" si="19"/>
        <v>0</v>
      </c>
      <c r="IN48" s="454">
        <f t="shared" si="19"/>
        <v>0</v>
      </c>
      <c r="IO48" s="454">
        <f t="shared" si="19"/>
        <v>0</v>
      </c>
      <c r="IP48" s="454">
        <f t="shared" si="19"/>
        <v>0</v>
      </c>
      <c r="IQ48" s="454">
        <f t="shared" si="19"/>
        <v>0</v>
      </c>
      <c r="IR48" s="454">
        <f t="shared" si="19"/>
        <v>0</v>
      </c>
      <c r="IS48" s="454">
        <f t="shared" si="19"/>
        <v>0</v>
      </c>
      <c r="IT48" s="454">
        <f t="shared" si="19"/>
        <v>0</v>
      </c>
      <c r="IU48" s="454">
        <f t="shared" si="19"/>
        <v>0</v>
      </c>
      <c r="IV48" s="454">
        <f t="shared" si="19"/>
        <v>0</v>
      </c>
      <c r="IX48" s="323">
        <f>SUM(E48:IK48)</f>
        <v>0</v>
      </c>
    </row>
    <row r="49" spans="1:258">
      <c r="A49" s="319">
        <v>1</v>
      </c>
      <c r="B49" s="575" t="s">
        <v>403</v>
      </c>
      <c r="C49" s="575"/>
      <c r="D49" s="323" t="s">
        <v>452</v>
      </c>
      <c r="E49" s="452">
        <f>IF(E$39=$G$28,1,0)</f>
        <v>0</v>
      </c>
      <c r="F49" s="452">
        <f t="shared" ref="F49:BQ49" si="20">IF(F$39=$G$28,1,0)</f>
        <v>0</v>
      </c>
      <c r="G49" s="452">
        <f t="shared" si="20"/>
        <v>0</v>
      </c>
      <c r="H49" s="452">
        <f t="shared" si="20"/>
        <v>0</v>
      </c>
      <c r="I49" s="452">
        <f t="shared" si="20"/>
        <v>0</v>
      </c>
      <c r="J49" s="452">
        <f t="shared" si="20"/>
        <v>0</v>
      </c>
      <c r="K49" s="452">
        <f t="shared" si="20"/>
        <v>0</v>
      </c>
      <c r="L49" s="452">
        <f t="shared" si="20"/>
        <v>0</v>
      </c>
      <c r="M49" s="452">
        <f t="shared" si="20"/>
        <v>0</v>
      </c>
      <c r="N49" s="452">
        <f t="shared" si="20"/>
        <v>0</v>
      </c>
      <c r="O49" s="452">
        <f t="shared" si="20"/>
        <v>0</v>
      </c>
      <c r="P49" s="452">
        <f t="shared" si="20"/>
        <v>0</v>
      </c>
      <c r="Q49" s="452">
        <f t="shared" si="20"/>
        <v>0</v>
      </c>
      <c r="R49" s="452">
        <f t="shared" si="20"/>
        <v>0</v>
      </c>
      <c r="S49" s="452">
        <f t="shared" si="20"/>
        <v>0</v>
      </c>
      <c r="T49" s="452">
        <f t="shared" si="20"/>
        <v>0</v>
      </c>
      <c r="U49" s="452">
        <f t="shared" si="20"/>
        <v>0</v>
      </c>
      <c r="V49" s="452">
        <f t="shared" si="20"/>
        <v>0</v>
      </c>
      <c r="W49" s="452">
        <f t="shared" si="20"/>
        <v>0</v>
      </c>
      <c r="X49" s="452">
        <f t="shared" si="20"/>
        <v>0</v>
      </c>
      <c r="Y49" s="452">
        <f t="shared" si="20"/>
        <v>0</v>
      </c>
      <c r="Z49" s="452">
        <f t="shared" si="20"/>
        <v>0</v>
      </c>
      <c r="AA49" s="452">
        <f t="shared" si="20"/>
        <v>0</v>
      </c>
      <c r="AB49" s="452">
        <f t="shared" si="20"/>
        <v>0</v>
      </c>
      <c r="AC49" s="452">
        <f t="shared" si="20"/>
        <v>0</v>
      </c>
      <c r="AD49" s="452">
        <f t="shared" si="20"/>
        <v>0</v>
      </c>
      <c r="AE49" s="452">
        <f t="shared" si="20"/>
        <v>0</v>
      </c>
      <c r="AF49" s="452">
        <f t="shared" si="20"/>
        <v>0</v>
      </c>
      <c r="AG49" s="452">
        <f t="shared" si="20"/>
        <v>0</v>
      </c>
      <c r="AH49" s="452">
        <f t="shared" si="20"/>
        <v>0</v>
      </c>
      <c r="AI49" s="452">
        <f t="shared" si="20"/>
        <v>0</v>
      </c>
      <c r="AJ49" s="452">
        <f t="shared" si="20"/>
        <v>0</v>
      </c>
      <c r="AK49" s="452">
        <f t="shared" si="20"/>
        <v>0</v>
      </c>
      <c r="AL49" s="452">
        <f t="shared" si="20"/>
        <v>0</v>
      </c>
      <c r="AM49" s="452">
        <f t="shared" si="20"/>
        <v>0</v>
      </c>
      <c r="AN49" s="452">
        <f t="shared" si="20"/>
        <v>0</v>
      </c>
      <c r="AO49" s="452">
        <f t="shared" si="20"/>
        <v>1</v>
      </c>
      <c r="AP49" s="452">
        <f t="shared" si="20"/>
        <v>0</v>
      </c>
      <c r="AQ49" s="452">
        <f t="shared" si="20"/>
        <v>0</v>
      </c>
      <c r="AR49" s="452">
        <f t="shared" si="20"/>
        <v>0</v>
      </c>
      <c r="AS49" s="452">
        <f t="shared" si="20"/>
        <v>0</v>
      </c>
      <c r="AT49" s="452">
        <f t="shared" si="20"/>
        <v>0</v>
      </c>
      <c r="AU49" s="452">
        <f t="shared" si="20"/>
        <v>0</v>
      </c>
      <c r="AV49" s="452">
        <f t="shared" si="20"/>
        <v>0</v>
      </c>
      <c r="AW49" s="452">
        <f t="shared" si="20"/>
        <v>0</v>
      </c>
      <c r="AX49" s="452">
        <f t="shared" si="20"/>
        <v>0</v>
      </c>
      <c r="AY49" s="452">
        <f t="shared" si="20"/>
        <v>0</v>
      </c>
      <c r="AZ49" s="452">
        <f t="shared" si="20"/>
        <v>0</v>
      </c>
      <c r="BA49" s="452">
        <f t="shared" si="20"/>
        <v>0</v>
      </c>
      <c r="BB49" s="452">
        <f t="shared" si="20"/>
        <v>0</v>
      </c>
      <c r="BC49" s="452">
        <f t="shared" si="20"/>
        <v>0</v>
      </c>
      <c r="BD49" s="452">
        <f t="shared" si="20"/>
        <v>0</v>
      </c>
      <c r="BE49" s="452">
        <f t="shared" si="20"/>
        <v>0</v>
      </c>
      <c r="BF49" s="452">
        <f t="shared" si="20"/>
        <v>0</v>
      </c>
      <c r="BG49" s="452">
        <f t="shared" si="20"/>
        <v>0</v>
      </c>
      <c r="BH49" s="452">
        <f t="shared" si="20"/>
        <v>0</v>
      </c>
      <c r="BI49" s="452">
        <f t="shared" si="20"/>
        <v>0</v>
      </c>
      <c r="BJ49" s="452">
        <f t="shared" si="20"/>
        <v>0</v>
      </c>
      <c r="BK49" s="452">
        <f t="shared" si="20"/>
        <v>0</v>
      </c>
      <c r="BL49" s="452">
        <f t="shared" si="20"/>
        <v>0</v>
      </c>
      <c r="BM49" s="452">
        <f t="shared" si="20"/>
        <v>0</v>
      </c>
      <c r="BN49" s="452">
        <f t="shared" si="20"/>
        <v>0</v>
      </c>
      <c r="BO49" s="452">
        <f t="shared" si="20"/>
        <v>0</v>
      </c>
      <c r="BP49" s="452">
        <f t="shared" si="20"/>
        <v>0</v>
      </c>
      <c r="BQ49" s="452">
        <f t="shared" si="20"/>
        <v>0</v>
      </c>
      <c r="BR49" s="452">
        <f t="shared" ref="BR49:EC49" si="21">IF(BR$39=$G$28,1,0)</f>
        <v>0</v>
      </c>
      <c r="BS49" s="452">
        <f t="shared" si="21"/>
        <v>0</v>
      </c>
      <c r="BT49" s="452">
        <f t="shared" si="21"/>
        <v>0</v>
      </c>
      <c r="BU49" s="452">
        <f t="shared" si="21"/>
        <v>0</v>
      </c>
      <c r="BV49" s="452">
        <f t="shared" si="21"/>
        <v>0</v>
      </c>
      <c r="BW49" s="452">
        <f t="shared" si="21"/>
        <v>0</v>
      </c>
      <c r="BX49" s="452">
        <f t="shared" si="21"/>
        <v>0</v>
      </c>
      <c r="BY49" s="452">
        <f t="shared" si="21"/>
        <v>0</v>
      </c>
      <c r="BZ49" s="452">
        <f t="shared" si="21"/>
        <v>0</v>
      </c>
      <c r="CA49" s="452">
        <f t="shared" si="21"/>
        <v>0</v>
      </c>
      <c r="CB49" s="452">
        <f t="shared" si="21"/>
        <v>0</v>
      </c>
      <c r="CC49" s="452">
        <f t="shared" si="21"/>
        <v>0</v>
      </c>
      <c r="CD49" s="452">
        <f t="shared" si="21"/>
        <v>0</v>
      </c>
      <c r="CE49" s="452">
        <f t="shared" si="21"/>
        <v>0</v>
      </c>
      <c r="CF49" s="452">
        <f t="shared" si="21"/>
        <v>0</v>
      </c>
      <c r="CG49" s="452">
        <f t="shared" si="21"/>
        <v>0</v>
      </c>
      <c r="CH49" s="452">
        <f t="shared" si="21"/>
        <v>0</v>
      </c>
      <c r="CI49" s="452">
        <f t="shared" si="21"/>
        <v>0</v>
      </c>
      <c r="CJ49" s="452">
        <f t="shared" si="21"/>
        <v>0</v>
      </c>
      <c r="CK49" s="452">
        <f t="shared" si="21"/>
        <v>0</v>
      </c>
      <c r="CL49" s="452">
        <f t="shared" si="21"/>
        <v>0</v>
      </c>
      <c r="CM49" s="452">
        <f t="shared" si="21"/>
        <v>0</v>
      </c>
      <c r="CN49" s="452">
        <f t="shared" si="21"/>
        <v>0</v>
      </c>
      <c r="CO49" s="452">
        <f t="shared" si="21"/>
        <v>0</v>
      </c>
      <c r="CP49" s="452">
        <f t="shared" si="21"/>
        <v>0</v>
      </c>
      <c r="CQ49" s="452">
        <f t="shared" si="21"/>
        <v>0</v>
      </c>
      <c r="CR49" s="452">
        <f t="shared" si="21"/>
        <v>0</v>
      </c>
      <c r="CS49" s="452">
        <f t="shared" si="21"/>
        <v>0</v>
      </c>
      <c r="CT49" s="452">
        <f t="shared" si="21"/>
        <v>0</v>
      </c>
      <c r="CU49" s="452">
        <f t="shared" si="21"/>
        <v>0</v>
      </c>
      <c r="CV49" s="452">
        <f t="shared" si="21"/>
        <v>0</v>
      </c>
      <c r="CW49" s="452">
        <f t="shared" si="21"/>
        <v>0</v>
      </c>
      <c r="CX49" s="452">
        <f t="shared" si="21"/>
        <v>0</v>
      </c>
      <c r="CY49" s="452">
        <f t="shared" si="21"/>
        <v>0</v>
      </c>
      <c r="CZ49" s="452">
        <f t="shared" si="21"/>
        <v>0</v>
      </c>
      <c r="DA49" s="452">
        <f t="shared" si="21"/>
        <v>0</v>
      </c>
      <c r="DB49" s="452">
        <f t="shared" si="21"/>
        <v>0</v>
      </c>
      <c r="DC49" s="452">
        <f t="shared" si="21"/>
        <v>0</v>
      </c>
      <c r="DD49" s="452">
        <f t="shared" si="21"/>
        <v>0</v>
      </c>
      <c r="DE49" s="452">
        <f t="shared" si="21"/>
        <v>0</v>
      </c>
      <c r="DF49" s="452">
        <f t="shared" si="21"/>
        <v>0</v>
      </c>
      <c r="DG49" s="452">
        <f t="shared" si="21"/>
        <v>0</v>
      </c>
      <c r="DH49" s="452">
        <f t="shared" si="21"/>
        <v>0</v>
      </c>
      <c r="DI49" s="452">
        <f t="shared" si="21"/>
        <v>0</v>
      </c>
      <c r="DJ49" s="452">
        <f t="shared" si="21"/>
        <v>0</v>
      </c>
      <c r="DK49" s="452">
        <f t="shared" si="21"/>
        <v>0</v>
      </c>
      <c r="DL49" s="452">
        <f t="shared" si="21"/>
        <v>0</v>
      </c>
      <c r="DM49" s="452">
        <f t="shared" si="21"/>
        <v>0</v>
      </c>
      <c r="DN49" s="452">
        <f t="shared" si="21"/>
        <v>0</v>
      </c>
      <c r="DO49" s="452">
        <f t="shared" si="21"/>
        <v>0</v>
      </c>
      <c r="DP49" s="452">
        <f t="shared" si="21"/>
        <v>0</v>
      </c>
      <c r="DQ49" s="452">
        <f t="shared" si="21"/>
        <v>0</v>
      </c>
      <c r="DR49" s="452">
        <f t="shared" si="21"/>
        <v>0</v>
      </c>
      <c r="DS49" s="452">
        <f t="shared" si="21"/>
        <v>0</v>
      </c>
      <c r="DT49" s="452">
        <f t="shared" si="21"/>
        <v>0</v>
      </c>
      <c r="DU49" s="452">
        <f t="shared" si="21"/>
        <v>0</v>
      </c>
      <c r="DV49" s="452">
        <f t="shared" si="21"/>
        <v>0</v>
      </c>
      <c r="DW49" s="452">
        <f t="shared" si="21"/>
        <v>0</v>
      </c>
      <c r="DX49" s="452">
        <f t="shared" si="21"/>
        <v>0</v>
      </c>
      <c r="DY49" s="452">
        <f t="shared" si="21"/>
        <v>0</v>
      </c>
      <c r="DZ49" s="452">
        <f t="shared" si="21"/>
        <v>0</v>
      </c>
      <c r="EA49" s="452">
        <f t="shared" si="21"/>
        <v>0</v>
      </c>
      <c r="EB49" s="452">
        <f t="shared" si="21"/>
        <v>0</v>
      </c>
      <c r="EC49" s="452">
        <f t="shared" si="21"/>
        <v>0</v>
      </c>
      <c r="ED49" s="452">
        <f t="shared" ref="ED49:GO49" si="22">IF(ED$39=$G$28,1,0)</f>
        <v>0</v>
      </c>
      <c r="EE49" s="452">
        <f t="shared" si="22"/>
        <v>0</v>
      </c>
      <c r="EF49" s="452">
        <f t="shared" si="22"/>
        <v>0</v>
      </c>
      <c r="EG49" s="452">
        <f t="shared" si="22"/>
        <v>0</v>
      </c>
      <c r="EH49" s="452">
        <f t="shared" si="22"/>
        <v>0</v>
      </c>
      <c r="EI49" s="452">
        <f t="shared" si="22"/>
        <v>0</v>
      </c>
      <c r="EJ49" s="452">
        <f t="shared" si="22"/>
        <v>0</v>
      </c>
      <c r="EK49" s="452">
        <f t="shared" si="22"/>
        <v>0</v>
      </c>
      <c r="EL49" s="452">
        <f t="shared" si="22"/>
        <v>0</v>
      </c>
      <c r="EM49" s="452">
        <f t="shared" si="22"/>
        <v>0</v>
      </c>
      <c r="EN49" s="452">
        <f t="shared" si="22"/>
        <v>0</v>
      </c>
      <c r="EO49" s="452">
        <f t="shared" si="22"/>
        <v>0</v>
      </c>
      <c r="EP49" s="452">
        <f t="shared" si="22"/>
        <v>0</v>
      </c>
      <c r="EQ49" s="452">
        <f t="shared" si="22"/>
        <v>0</v>
      </c>
      <c r="ER49" s="452">
        <f t="shared" si="22"/>
        <v>0</v>
      </c>
      <c r="ES49" s="452">
        <f t="shared" si="22"/>
        <v>0</v>
      </c>
      <c r="ET49" s="452">
        <f t="shared" si="22"/>
        <v>0</v>
      </c>
      <c r="EU49" s="452">
        <f t="shared" si="22"/>
        <v>0</v>
      </c>
      <c r="EV49" s="452">
        <f t="shared" si="22"/>
        <v>0</v>
      </c>
      <c r="EW49" s="452">
        <f t="shared" si="22"/>
        <v>0</v>
      </c>
      <c r="EX49" s="452">
        <f t="shared" si="22"/>
        <v>0</v>
      </c>
      <c r="EY49" s="452">
        <f t="shared" si="22"/>
        <v>0</v>
      </c>
      <c r="EZ49" s="452">
        <f t="shared" si="22"/>
        <v>0</v>
      </c>
      <c r="FA49" s="452">
        <f t="shared" si="22"/>
        <v>0</v>
      </c>
      <c r="FB49" s="452">
        <f t="shared" si="22"/>
        <v>0</v>
      </c>
      <c r="FC49" s="452">
        <f t="shared" si="22"/>
        <v>0</v>
      </c>
      <c r="FD49" s="452">
        <f t="shared" si="22"/>
        <v>0</v>
      </c>
      <c r="FE49" s="452">
        <f t="shared" si="22"/>
        <v>0</v>
      </c>
      <c r="FF49" s="452">
        <f t="shared" si="22"/>
        <v>0</v>
      </c>
      <c r="FG49" s="452">
        <f t="shared" si="22"/>
        <v>0</v>
      </c>
      <c r="FH49" s="452">
        <f t="shared" si="22"/>
        <v>0</v>
      </c>
      <c r="FI49" s="452">
        <f t="shared" si="22"/>
        <v>0</v>
      </c>
      <c r="FJ49" s="452">
        <f t="shared" si="22"/>
        <v>0</v>
      </c>
      <c r="FK49" s="452">
        <f t="shared" si="22"/>
        <v>0</v>
      </c>
      <c r="FL49" s="452">
        <f t="shared" si="22"/>
        <v>0</v>
      </c>
      <c r="FM49" s="452">
        <f t="shared" si="22"/>
        <v>0</v>
      </c>
      <c r="FN49" s="452">
        <f t="shared" si="22"/>
        <v>0</v>
      </c>
      <c r="FO49" s="452">
        <f t="shared" si="22"/>
        <v>0</v>
      </c>
      <c r="FP49" s="452">
        <f t="shared" si="22"/>
        <v>0</v>
      </c>
      <c r="FQ49" s="452">
        <f t="shared" si="22"/>
        <v>0</v>
      </c>
      <c r="FR49" s="452">
        <f t="shared" si="22"/>
        <v>0</v>
      </c>
      <c r="FS49" s="452">
        <f t="shared" si="22"/>
        <v>0</v>
      </c>
      <c r="FT49" s="452">
        <f t="shared" si="22"/>
        <v>0</v>
      </c>
      <c r="FU49" s="452">
        <f t="shared" si="22"/>
        <v>0</v>
      </c>
      <c r="FV49" s="452">
        <f t="shared" si="22"/>
        <v>0</v>
      </c>
      <c r="FW49" s="452">
        <f t="shared" si="22"/>
        <v>0</v>
      </c>
      <c r="FX49" s="452">
        <f t="shared" si="22"/>
        <v>0</v>
      </c>
      <c r="FY49" s="452">
        <f t="shared" si="22"/>
        <v>0</v>
      </c>
      <c r="FZ49" s="452">
        <f t="shared" si="22"/>
        <v>0</v>
      </c>
      <c r="GA49" s="452">
        <f t="shared" si="22"/>
        <v>0</v>
      </c>
      <c r="GB49" s="452">
        <f t="shared" si="22"/>
        <v>0</v>
      </c>
      <c r="GC49" s="452">
        <f t="shared" si="22"/>
        <v>0</v>
      </c>
      <c r="GD49" s="452">
        <f t="shared" si="22"/>
        <v>0</v>
      </c>
      <c r="GE49" s="452">
        <f t="shared" si="22"/>
        <v>0</v>
      </c>
      <c r="GF49" s="452">
        <f t="shared" si="22"/>
        <v>0</v>
      </c>
      <c r="GG49" s="452">
        <f t="shared" si="22"/>
        <v>0</v>
      </c>
      <c r="GH49" s="452">
        <f t="shared" si="22"/>
        <v>0</v>
      </c>
      <c r="GI49" s="452">
        <f t="shared" si="22"/>
        <v>0</v>
      </c>
      <c r="GJ49" s="452">
        <f t="shared" si="22"/>
        <v>0</v>
      </c>
      <c r="GK49" s="452">
        <f t="shared" si="22"/>
        <v>0</v>
      </c>
      <c r="GL49" s="452">
        <f t="shared" si="22"/>
        <v>0</v>
      </c>
      <c r="GM49" s="452">
        <f t="shared" si="22"/>
        <v>0</v>
      </c>
      <c r="GN49" s="452">
        <f t="shared" si="22"/>
        <v>0</v>
      </c>
      <c r="GO49" s="452">
        <f t="shared" si="22"/>
        <v>0</v>
      </c>
      <c r="GP49" s="452">
        <f t="shared" ref="GP49:IV49" si="23">IF(GP$39=$G$28,1,0)</f>
        <v>0</v>
      </c>
      <c r="GQ49" s="452">
        <f t="shared" si="23"/>
        <v>0</v>
      </c>
      <c r="GR49" s="452">
        <f t="shared" si="23"/>
        <v>0</v>
      </c>
      <c r="GS49" s="452">
        <f t="shared" si="23"/>
        <v>0</v>
      </c>
      <c r="GT49" s="452">
        <f t="shared" si="23"/>
        <v>0</v>
      </c>
      <c r="GU49" s="452">
        <f t="shared" si="23"/>
        <v>0</v>
      </c>
      <c r="GV49" s="452">
        <f t="shared" si="23"/>
        <v>0</v>
      </c>
      <c r="GW49" s="452">
        <f t="shared" si="23"/>
        <v>0</v>
      </c>
      <c r="GX49" s="452">
        <f t="shared" si="23"/>
        <v>0</v>
      </c>
      <c r="GY49" s="452">
        <f t="shared" si="23"/>
        <v>0</v>
      </c>
      <c r="GZ49" s="452">
        <f t="shared" si="23"/>
        <v>0</v>
      </c>
      <c r="HA49" s="452">
        <f t="shared" si="23"/>
        <v>0</v>
      </c>
      <c r="HB49" s="452">
        <f t="shared" si="23"/>
        <v>0</v>
      </c>
      <c r="HC49" s="452">
        <f t="shared" si="23"/>
        <v>0</v>
      </c>
      <c r="HD49" s="452">
        <f t="shared" si="23"/>
        <v>0</v>
      </c>
      <c r="HE49" s="452">
        <f t="shared" si="23"/>
        <v>0</v>
      </c>
      <c r="HF49" s="452">
        <f t="shared" si="23"/>
        <v>0</v>
      </c>
      <c r="HG49" s="452">
        <f t="shared" si="23"/>
        <v>0</v>
      </c>
      <c r="HH49" s="452">
        <f t="shared" si="23"/>
        <v>0</v>
      </c>
      <c r="HI49" s="452">
        <f t="shared" si="23"/>
        <v>0</v>
      </c>
      <c r="HJ49" s="452">
        <f t="shared" si="23"/>
        <v>0</v>
      </c>
      <c r="HK49" s="452">
        <f t="shared" si="23"/>
        <v>0</v>
      </c>
      <c r="HL49" s="452">
        <f t="shared" si="23"/>
        <v>0</v>
      </c>
      <c r="HM49" s="452">
        <f t="shared" si="23"/>
        <v>0</v>
      </c>
      <c r="HN49" s="452">
        <f t="shared" si="23"/>
        <v>0</v>
      </c>
      <c r="HO49" s="452">
        <f t="shared" si="23"/>
        <v>0</v>
      </c>
      <c r="HP49" s="452">
        <f t="shared" si="23"/>
        <v>0</v>
      </c>
      <c r="HQ49" s="452">
        <f t="shared" si="23"/>
        <v>0</v>
      </c>
      <c r="HR49" s="452">
        <f t="shared" si="23"/>
        <v>0</v>
      </c>
      <c r="HS49" s="452">
        <f t="shared" si="23"/>
        <v>0</v>
      </c>
      <c r="HT49" s="452">
        <f t="shared" si="23"/>
        <v>0</v>
      </c>
      <c r="HU49" s="452">
        <f t="shared" si="23"/>
        <v>0</v>
      </c>
      <c r="HV49" s="452">
        <f t="shared" si="23"/>
        <v>0</v>
      </c>
      <c r="HW49" s="452">
        <f t="shared" si="23"/>
        <v>0</v>
      </c>
      <c r="HX49" s="452">
        <f t="shared" si="23"/>
        <v>0</v>
      </c>
      <c r="HY49" s="452">
        <f t="shared" si="23"/>
        <v>0</v>
      </c>
      <c r="HZ49" s="452">
        <f t="shared" si="23"/>
        <v>0</v>
      </c>
      <c r="IA49" s="452">
        <f t="shared" si="23"/>
        <v>0</v>
      </c>
      <c r="IB49" s="452">
        <f t="shared" si="23"/>
        <v>0</v>
      </c>
      <c r="IC49" s="452">
        <f t="shared" si="23"/>
        <v>0</v>
      </c>
      <c r="ID49" s="452">
        <f t="shared" si="23"/>
        <v>0</v>
      </c>
      <c r="IE49" s="452">
        <f t="shared" si="23"/>
        <v>0</v>
      </c>
      <c r="IF49" s="452">
        <f t="shared" si="23"/>
        <v>0</v>
      </c>
      <c r="IG49" s="452">
        <f t="shared" si="23"/>
        <v>0</v>
      </c>
      <c r="IH49" s="452">
        <f t="shared" si="23"/>
        <v>0</v>
      </c>
      <c r="II49" s="452">
        <f t="shared" si="23"/>
        <v>0</v>
      </c>
      <c r="IJ49" s="452">
        <f t="shared" si="23"/>
        <v>0</v>
      </c>
      <c r="IK49" s="452">
        <f t="shared" si="23"/>
        <v>0</v>
      </c>
      <c r="IL49" s="452">
        <f t="shared" si="23"/>
        <v>0</v>
      </c>
      <c r="IM49" s="452">
        <f t="shared" si="23"/>
        <v>0</v>
      </c>
      <c r="IN49" s="452">
        <f t="shared" si="23"/>
        <v>0</v>
      </c>
      <c r="IO49" s="452">
        <f t="shared" si="23"/>
        <v>0</v>
      </c>
      <c r="IP49" s="452">
        <f t="shared" si="23"/>
        <v>0</v>
      </c>
      <c r="IQ49" s="452">
        <f t="shared" si="23"/>
        <v>0</v>
      </c>
      <c r="IR49" s="452">
        <f t="shared" si="23"/>
        <v>0</v>
      </c>
      <c r="IS49" s="452">
        <f t="shared" si="23"/>
        <v>0</v>
      </c>
      <c r="IT49" s="452">
        <f t="shared" si="23"/>
        <v>0</v>
      </c>
      <c r="IU49" s="452">
        <f t="shared" si="23"/>
        <v>0</v>
      </c>
      <c r="IV49" s="452">
        <f t="shared" si="23"/>
        <v>0</v>
      </c>
      <c r="IX49" s="323">
        <f>SUM(E49:IK49)</f>
        <v>1</v>
      </c>
    </row>
    <row r="50" spans="1:258">
      <c r="A50" s="319">
        <v>1</v>
      </c>
      <c r="B50" s="583" t="s">
        <v>404</v>
      </c>
      <c r="C50" s="583"/>
      <c r="D50" s="328" t="s">
        <v>409</v>
      </c>
      <c r="E50" s="454">
        <f>IF(SUM(E48:E49)&gt;0,E57*E47*E56,0)/1000</f>
        <v>0</v>
      </c>
      <c r="F50" s="454">
        <f>IF(SUM($E$48:F49)&gt;0,F57*F47*F56,0)/1000</f>
        <v>0</v>
      </c>
      <c r="G50" s="454">
        <f>IF(SUM($E$48:G49)&gt;0,G57*G47*G56,0)/1000</f>
        <v>0</v>
      </c>
      <c r="H50" s="454">
        <f>IF(SUM($E$48:H49)&gt;0,H57*H47*H56,0)/1000</f>
        <v>0</v>
      </c>
      <c r="I50" s="454">
        <f>IF(SUM($E$48:I49)&gt;0,I57*I47*I56,0)/1000</f>
        <v>0</v>
      </c>
      <c r="J50" s="454">
        <f>IF(SUM($E$48:J49)&gt;0,J57*J47*J56,0)/1000</f>
        <v>0</v>
      </c>
      <c r="K50" s="454">
        <f>IF(SUM($E$48:K49)&gt;0,K57*K47*K56,0)/1000</f>
        <v>0</v>
      </c>
      <c r="L50" s="454">
        <f>IF(SUM($E$48:L49)&gt;0,L57*L47*L56,0)/1000</f>
        <v>0</v>
      </c>
      <c r="M50" s="454">
        <f>IF(SUM($E$48:M49)&gt;0,M57*M47*M56,0)/1000</f>
        <v>0</v>
      </c>
      <c r="N50" s="454">
        <f>IF(SUM($E$48:N49)&gt;0,N57*N47*N56,0)/1000</f>
        <v>0</v>
      </c>
      <c r="O50" s="454">
        <f>IF(SUM($E$48:O49)&gt;0,O57*O47*O56,0)/1000</f>
        <v>0</v>
      </c>
      <c r="P50" s="454">
        <f>IF(SUM($E$48:P49)&gt;0,P57*P47*P56,0)/1000</f>
        <v>0</v>
      </c>
      <c r="Q50" s="454">
        <f>IF(SUM($E$48:Q49)&gt;0,Q57*Q47*Q56,0)/1000</f>
        <v>0</v>
      </c>
      <c r="R50" s="454">
        <f>IF(SUM($E$48:R49)&gt;0,R57*R47*R56,0)/1000</f>
        <v>0</v>
      </c>
      <c r="S50" s="454">
        <f>IF(SUM($E$48:S49)&gt;0,S57*S47*S56,0)/1000</f>
        <v>0</v>
      </c>
      <c r="T50" s="454">
        <f>IF(SUM($E$48:T49)&gt;0,T57*T47*T56,0)/1000</f>
        <v>0</v>
      </c>
      <c r="U50" s="454">
        <f>IF(SUM($E$48:U49)&gt;0,U57*U47*U56,0)/1000</f>
        <v>0</v>
      </c>
      <c r="V50" s="454">
        <f>IF(SUM($E$48:V49)&gt;0,V57*V47*V56,0)/1000</f>
        <v>0</v>
      </c>
      <c r="W50" s="454">
        <f>IF(SUM($E$48:W49)&gt;0,W57*W47*W56,0)/1000</f>
        <v>0</v>
      </c>
      <c r="X50" s="454">
        <f>IF(SUM($E$48:X49)&gt;0,X57*X47*X56,0)/1000</f>
        <v>0</v>
      </c>
      <c r="Y50" s="454">
        <f>IF(SUM($E$48:Y49)&gt;0,Y57*Y47*Y56,0)/1000</f>
        <v>0</v>
      </c>
      <c r="Z50" s="454">
        <f>IF(SUM($E$48:Z49)&gt;0,Z57*Z47*Z56,0)/1000</f>
        <v>0</v>
      </c>
      <c r="AA50" s="454">
        <f>IF(SUM($E$48:AA49)&gt;0,AA57*AA47*AA56,0)/1000</f>
        <v>0</v>
      </c>
      <c r="AB50" s="454">
        <f>IF(SUM($E$48:AB49)&gt;0,AB57*AB47*AB56,0)/1000</f>
        <v>0</v>
      </c>
      <c r="AC50" s="454">
        <f>IF(SUM($E$48:AC49)&gt;0,AC57*AC47*AC56,0)/1000</f>
        <v>0</v>
      </c>
      <c r="AD50" s="454">
        <f>IF(SUM($E$48:AD49)&gt;0,AD57*AD47*AD56,0)/1000</f>
        <v>0</v>
      </c>
      <c r="AE50" s="454">
        <f>IF(SUM($E$48:AE49)&gt;0,AE57*AE47*AE56,0)/1000</f>
        <v>0</v>
      </c>
      <c r="AF50" s="454">
        <f>IF(SUM($E$48:AF49)&gt;0,AF57*AF47*AF56,0)/1000</f>
        <v>0</v>
      </c>
      <c r="AG50" s="454">
        <f>IF(SUM($E$48:AG49)&gt;0,AG57*AG47*AG56,0)/1000</f>
        <v>0</v>
      </c>
      <c r="AH50" s="454">
        <f>IF(SUM($E$48:AH49)&gt;0,AH57*AH47*AH56,0)/1000</f>
        <v>0</v>
      </c>
      <c r="AI50" s="454">
        <f>IF(SUM($E$48:AI49)&gt;0,AI57*AI47*AI56,0)/1000</f>
        <v>0</v>
      </c>
      <c r="AJ50" s="454">
        <f>IF(SUM($E$48:AJ49)&gt;0,AJ57*AJ47*AJ56,0)/1000</f>
        <v>0</v>
      </c>
      <c r="AK50" s="454">
        <f>IF(SUM($E$48:AK49)&gt;0,AK57*AK47*AK56,0)/1000</f>
        <v>0</v>
      </c>
      <c r="AL50" s="454">
        <f>IF(SUM($E$48:AL49)&gt;0,AL57*AL47*AL56,0)/1000</f>
        <v>0</v>
      </c>
      <c r="AM50" s="454">
        <f>IF(SUM($E$48:AM49)&gt;0,AM57*AM47*AM56,0)/1000</f>
        <v>0</v>
      </c>
      <c r="AN50" s="454">
        <f>IF(SUM($E$48:AN49)&gt;0,AN57*AN47*AN56,0)/1000</f>
        <v>0</v>
      </c>
      <c r="AO50" s="454">
        <f>IF(SUM($E$48:AO49)&gt;0,AO57*AO47*AO56,0)/1000</f>
        <v>0.29346933950610193</v>
      </c>
      <c r="AP50" s="454">
        <f>IF(SUM($E$48:AP49)&gt;0,AP57*AP47*AP56,0)/1000</f>
        <v>0.26080904204493904</v>
      </c>
      <c r="AQ50" s="454">
        <f>IF(SUM($E$48:AQ49)&gt;0,AQ57*AQ47*AQ56,0)/1000</f>
        <v>0.264856078904257</v>
      </c>
      <c r="AR50" s="454">
        <f>IF(SUM($E$48:AR49)&gt;0,AR57*AR47*AR56,0)/1000</f>
        <v>0.24349671770230077</v>
      </c>
      <c r="AS50" s="454">
        <f>IF(SUM($E$48:AS49)&gt;0,AS57*AS47*AS56,0)/1000</f>
        <v>0.23903261121109193</v>
      </c>
      <c r="AT50" s="454">
        <f>IF(SUM($E$48:AT49)&gt;0,AT57*AT47*AT56,0)/1000</f>
        <v>0.21975578772632642</v>
      </c>
      <c r="AU50" s="454">
        <f>IF(SUM($E$48:AU49)&gt;0,AU57*AU47*AU56,0)/1000</f>
        <v>0.21572693161801043</v>
      </c>
      <c r="AV50" s="454">
        <f>IF(SUM($E$48:AV49)&gt;0,AV57*AV47*AV56,0)/1000</f>
        <v>0.20494058503710991</v>
      </c>
      <c r="AW50" s="454">
        <f>IF(SUM($E$48:AW49)&gt;0,AW57*AW47*AW56,0)/1000</f>
        <v>0.1884131185018591</v>
      </c>
      <c r="AX50" s="454">
        <f>IF(SUM($E$48:AX49)&gt;0,AX57*AX47*AX56,0)/1000</f>
        <v>0.18495887799599164</v>
      </c>
      <c r="AY50" s="454">
        <f>IF(SUM($E$48:AY49)&gt;0,AY57*AY47*AY56,0)/1000</f>
        <v>0.17004283944792781</v>
      </c>
      <c r="AZ50" s="454">
        <f>IF(SUM($E$48:AZ49)&gt;0,AZ57*AZ47*AZ56,0)/1000</f>
        <v>0.16692538739138243</v>
      </c>
      <c r="BA50" s="454">
        <f>IF(SUM($E$48:BA49)&gt;0,BA57*BA47*BA56,0)/1000</f>
        <v>0.15857911802181332</v>
      </c>
      <c r="BB50" s="454">
        <f>IF(SUM($E$48:BB49)&gt;0,BB57*BB47*BB56,0)/1000</f>
        <v>0.13607111417355591</v>
      </c>
      <c r="BC50" s="454">
        <f>IF(SUM($E$48:BC49)&gt;0,BC57*BC47*BC56,0)/1000</f>
        <v>0.14311765401468651</v>
      </c>
      <c r="BD50" s="454">
        <f>IF(SUM($E$48:BD49)&gt;0,BD57*BD47*BD56,0)/1000</f>
        <v>0.13157590772317951</v>
      </c>
      <c r="BE50" s="454">
        <f>IF(SUM($E$48:BE49)&gt;0,BE57*BE47*BE56,0)/1000</f>
        <v>0.1291636827482546</v>
      </c>
      <c r="BF50" s="454">
        <f>IF(SUM($E$48:BF49)&gt;0,BF57*BF47*BF56,0)/1000</f>
        <v>0.11874725672016952</v>
      </c>
      <c r="BG50" s="454">
        <f>IF(SUM($E$48:BG49)&gt;0,BG57*BG47*BG56,0)/1000</f>
        <v>0.11657022368029973</v>
      </c>
      <c r="BH50" s="454">
        <f>IF(SUM($E$48:BH49)&gt;0,BH57*BH47*BH56,0)/1000</f>
        <v>0.11074171249628474</v>
      </c>
      <c r="BI50" s="454">
        <f>IF(SUM($E$48:BI49)&gt;0,BI57*BI47*BI56,0)/1000</f>
        <v>0.10181092923045532</v>
      </c>
      <c r="BJ50" s="454">
        <f>IF(SUM($E$48:BJ49)&gt;0,BJ57*BJ47*BJ56,0)/1000</f>
        <v>9.9944395527896968E-2</v>
      </c>
      <c r="BK50" s="454">
        <f>IF(SUM($E$48:BK49)&gt;0,BK57*BK47*BK56,0)/1000</f>
        <v>9.1884363630485924E-2</v>
      </c>
      <c r="BL50" s="454">
        <f>IF(SUM($E$48:BL49)&gt;0,BL57*BL47*BL56,0)/1000</f>
        <v>9.0199816963927024E-2</v>
      </c>
      <c r="BM50" s="454">
        <f>IF(SUM($E$48:BM49)&gt;0,BM57*BM47*BM56,0)/1000</f>
        <v>8.5689826115730658E-2</v>
      </c>
      <c r="BN50" s="454">
        <f>IF(SUM($E$48:BN49)&gt;0,BN57*BN47*BN56,0)/1000</f>
        <v>7.3527399183175329E-2</v>
      </c>
      <c r="BO50" s="454">
        <f>IF(SUM($E$48:BO49)&gt;0,BO57*BO47*BO56,0)/1000</f>
        <v>7.7335068069446899E-2</v>
      </c>
      <c r="BP50" s="454">
        <f>IF(SUM($E$48:BP49)&gt;0,BP57*BP47*BP56,0)/1000</f>
        <v>7.1098369031588296E-2</v>
      </c>
      <c r="BQ50" s="454">
        <f>IF(SUM($E$48:BQ49)&gt;0,BQ57*BQ47*BQ56,0)/1000</f>
        <v>6.9794898932675833E-2</v>
      </c>
      <c r="BR50" s="454">
        <f>IF(SUM($E$48:BR49)&gt;0,BR57*BR47*BR56,0)/1000</f>
        <v>6.4166278051008427E-2</v>
      </c>
      <c r="BS50" s="454">
        <f>IF(SUM($E$48:BS49)&gt;0,BS57*BS47*BS56,0)/1000</f>
        <v>6.2989896286739955E-2</v>
      </c>
      <c r="BT50" s="454">
        <f>IF(SUM($E$48:BT49)&gt;0,BT57*BT47*BT56,0)/1000</f>
        <v>5.9840401472402945E-2</v>
      </c>
      <c r="BU50" s="454">
        <f>IF(SUM($E$48:BU49)&gt;0,BU57*BU47*BU56,0)/1000</f>
        <v>5.5014562643983356E-2</v>
      </c>
      <c r="BV50" s="454">
        <f>IF(SUM($E$48:BV49)&gt;0,BV57*BV47*BV56,0)/1000</f>
        <v>5.4005962328843651E-2</v>
      </c>
      <c r="BW50" s="454">
        <f>IF(SUM($E$48:BW49)&gt;0,BW57*BW47*BW56,0)/1000</f>
        <v>4.9650642786194972E-2</v>
      </c>
      <c r="BX50" s="454">
        <f>IF(SUM($E$48:BX49)&gt;0,BX57*BX47*BX56,0)/1000</f>
        <v>4.8740381001781394E-2</v>
      </c>
      <c r="BY50" s="454">
        <f>IF(SUM($E$48:BY49)&gt;0,BY57*BY47*BY56,0)/1000</f>
        <v>4.6303361951692323E-2</v>
      </c>
      <c r="BZ50" s="454">
        <f>IF(SUM($E$48:BZ49)&gt;0,BZ57*BZ47*BZ56,0)/1000</f>
        <v>3.9731271868226316E-2</v>
      </c>
      <c r="CA50" s="454">
        <f>IF(SUM($E$48:CA49)&gt;0,CA57*CA47*CA56,0)/1000</f>
        <v>4.1788784161402318E-2</v>
      </c>
      <c r="CB50" s="454">
        <f>IF(SUM($E$48:CB49)&gt;0,CB57*CB47*CB56,0)/1000</f>
        <v>3.8418720922579544E-2</v>
      </c>
      <c r="CC50" s="454">
        <f>IF(SUM($E$48:CC49)&gt;0,CC57*CC47*CC56,0)/1000</f>
        <v>3.7714377705665589E-2</v>
      </c>
      <c r="CD50" s="454">
        <f>IF(SUM($E$48:CD49)&gt;0,CD57*CD47*CD56,0)/1000</f>
        <v>3.4672895632628042E-2</v>
      </c>
      <c r="CE50" s="454">
        <f>IF(SUM($E$48:CE49)&gt;0,CE57*CE47*CE56,0)/1000</f>
        <v>3.4037225879363191E-2</v>
      </c>
      <c r="CF50" s="454">
        <f>IF(SUM($E$48:CF49)&gt;0,CF57*CF47*CF56,0)/1000</f>
        <v>3.2335364585395036E-2</v>
      </c>
      <c r="CG50" s="454">
        <f>IF(SUM($E$48:CG49)&gt;0,CG57*CG47*CG56,0)/1000</f>
        <v>2.9727673893024466E-2</v>
      </c>
      <c r="CH50" s="454">
        <f>IF(SUM($E$48:CH49)&gt;0,CH57*CH47*CH56,0)/1000</f>
        <v>2.9182666538319014E-2</v>
      </c>
      <c r="CI50" s="454">
        <f>IF(SUM($E$48:CI49)&gt;0,CI57*CI47*CI56,0)/1000</f>
        <v>2.6829225688454576E-2</v>
      </c>
      <c r="CJ50" s="454">
        <f>IF(SUM($E$48:CJ49)&gt;0,CJ57*CJ47*CJ56,0)/1000</f>
        <v>2.6337356550832906E-2</v>
      </c>
      <c r="CK50" s="454">
        <f>IF(SUM($E$48:CK49)&gt;0,CK57*CK47*CK56,0)/1000</f>
        <v>2.5020488723291261E-2</v>
      </c>
      <c r="CL50" s="454">
        <f>IF(SUM($E$48:CL49)&gt;0,CL57*CL47*CL56,0)/1000</f>
        <v>2.2235950462150784E-2</v>
      </c>
      <c r="CM50" s="454">
        <f>IF(SUM($E$48:CM49)&gt;0,CM57*CM47*CM56,0)/1000</f>
        <v>2.2580991072770364E-2</v>
      </c>
      <c r="CN50" s="454">
        <f>IF(SUM($E$48:CN49)&gt;0,CN57*CN47*CN56,0)/1000</f>
        <v>2.0759943405611461E-2</v>
      </c>
      <c r="CO50" s="454">
        <f>IF(SUM($E$48:CO49)&gt;0,CO57*CO47*CO56,0)/1000</f>
        <v>2.0379344443175251E-2</v>
      </c>
      <c r="CP50" s="454">
        <f>IF(SUM($E$48:CP49)&gt;0,CP57*CP47*CP56,0)/1000</f>
        <v>1.8735848923564339E-2</v>
      </c>
      <c r="CQ50" s="454">
        <f>IF(SUM($E$48:CQ49)&gt;0,CQ57*CQ47*CQ56,0)/1000</f>
        <v>1.8392358359965659E-2</v>
      </c>
      <c r="CR50" s="454">
        <f>IF(SUM($E$48:CR49)&gt;0,CR57*CR47*CR56,0)/1000</f>
        <v>1.747274044196738E-2</v>
      </c>
      <c r="CS50" s="454">
        <f>IF(SUM($E$48:CS49)&gt;0,CS57*CS47*CS56,0)/1000</f>
        <v>1.6063648470840974E-2</v>
      </c>
      <c r="CT50" s="454">
        <f>IF(SUM($E$48:CT49)&gt;0,CT57*CT47*CT56,0)/1000</f>
        <v>1.5769148248875556E-2</v>
      </c>
      <c r="CU50" s="454">
        <f>IF(SUM($E$48:CU49)&gt;0,CU57*CU47*CU56,0)/1000</f>
        <v>1.4497442744933977E-2</v>
      </c>
      <c r="CV50" s="454">
        <f>IF(SUM($E$48:CV49)&gt;0,CV57*CV47*CV56,0)/1000</f>
        <v>1.4231656294610186E-2</v>
      </c>
      <c r="CW50" s="454">
        <f>IF(SUM($E$48:CW49)&gt;0,CW57*CW47*CW56,0)/1000</f>
        <v>1.3520073479879675E-2</v>
      </c>
      <c r="CX50" s="454">
        <f>IF(SUM($E$48:CX49)&gt;0,CX57*CX47*CX56,0)/1000</f>
        <v>1.1601095308541916E-2</v>
      </c>
      <c r="CY50" s="454">
        <f>IF(SUM($E$48:CY49)&gt;0,CY57*CY47*CY56,0)/1000</f>
        <v>1.2201866315591408E-2</v>
      </c>
      <c r="CZ50" s="454">
        <f>IF(SUM($E$48:CZ49)&gt;0,CZ57*CZ47*CZ56,0)/1000</f>
        <v>1.1217844838527585E-2</v>
      </c>
      <c r="DA50" s="454">
        <f>IF(SUM($E$48:DA49)&gt;0,DA57*DA47*DA56,0)/1000</f>
        <v>1.1012184349821246E-2</v>
      </c>
      <c r="DB50" s="454">
        <f>IF(SUM($E$48:DB49)&gt;0,DB57*DB47*DB56,0)/1000</f>
        <v>1.0124104966771146E-2</v>
      </c>
      <c r="DC50" s="454">
        <f>IF(SUM($E$48:DC49)&gt;0,DC57*DC47*DC56,0)/1000</f>
        <v>9.9384963757136735E-3</v>
      </c>
      <c r="DD50" s="454">
        <f>IF(SUM($E$48:DD49)&gt;0,DD57*DD47*DD56,0)/1000</f>
        <v>9.4415715569279891E-3</v>
      </c>
      <c r="DE50" s="454">
        <f>IF(SUM($E$48:DE49)&gt;0,DE57*DE47*DE56,0)/1000</f>
        <v>8.6801544958854098E-3</v>
      </c>
      <c r="DF50" s="454">
        <f>IF(SUM($E$48:DF49)&gt;0,DF57*DF47*DF56,0)/1000</f>
        <v>8.5210183301275087E-3</v>
      </c>
      <c r="DG50" s="454">
        <f>IF(SUM($E$48:DG49)&gt;0,DG57*DG47*DG56,0)/1000</f>
        <v>7.8338394325365816E-3</v>
      </c>
      <c r="DH50" s="454">
        <f>IF(SUM($E$48:DH49)&gt;0,DH57*DH47*DH56,0)/1000</f>
        <v>7.6902190429400776E-3</v>
      </c>
      <c r="DI50" s="454">
        <f>IF(SUM($E$48:DI49)&gt;0,DI57*DI47*DI56,0)/1000</f>
        <v>7.3057080907930729E-3</v>
      </c>
      <c r="DJ50" s="454">
        <f>IF(SUM($E$48:DJ49)&gt;0,DJ57*DJ47*DJ56,0)/1000</f>
        <v>6.2687688779063137E-3</v>
      </c>
      <c r="DK50" s="454">
        <f>IF(SUM($E$48:DK49)&gt;0,DK57*DK47*DK56,0)/1000</f>
        <v>6.593401551940747E-3</v>
      </c>
      <c r="DL50" s="454">
        <f>IF(SUM($E$48:DL49)&gt;0,DL57*DL47*DL56,0)/1000</f>
        <v>6.0616756203326228E-3</v>
      </c>
      <c r="DM50" s="454">
        <f>IF(SUM($E$48:DM49)&gt;0,DM57*DM47*DM56,0)/1000</f>
        <v>5.9505449006265233E-3</v>
      </c>
      <c r="DN50" s="454">
        <f>IF(SUM($E$48:DN49)&gt;0,DN57*DN47*DN56,0)/1000</f>
        <v>5.4706622473501909E-3</v>
      </c>
      <c r="DO50" s="454">
        <f>IF(SUM($E$48:DO49)&gt;0,DO57*DO47*DO56,0)/1000</f>
        <v>5.3703667728154381E-3</v>
      </c>
      <c r="DP50" s="454">
        <f>IF(SUM($E$48:DP49)&gt;0,DP57*DP47*DP56,0)/1000</f>
        <v>5.1018484341746667E-3</v>
      </c>
      <c r="DQ50" s="454">
        <f>IF(SUM($E$48:DQ49)&gt;0,DQ57*DQ47*DQ56,0)/1000</f>
        <v>4.6904090443218704E-3</v>
      </c>
      <c r="DR50" s="454">
        <f>IF(SUM($E$48:DR49)&gt;0,DR57*DR47*DR56,0)/1000</f>
        <v>4.6044182118426362E-3</v>
      </c>
      <c r="DS50" s="454">
        <f>IF(SUM($E$48:DS49)&gt;0,DS57*DS47*DS56,0)/1000</f>
        <v>4.2330941625004885E-3</v>
      </c>
      <c r="DT50" s="454">
        <f>IF(SUM($E$48:DT49)&gt;0,DT57*DT47*DT56,0)/1000</f>
        <v>4.1554874361879792E-3</v>
      </c>
      <c r="DU50" s="454">
        <f>IF(SUM($E$48:DU49)&gt;0,DU57*DU47*DU56,0)/1000</f>
        <v>3.94771306437858E-3</v>
      </c>
      <c r="DV50" s="454">
        <f>IF(SUM($E$48:DV49)&gt;0,DV57*DV47*DV56,0)/1000</f>
        <v>3.3873925004022651E-3</v>
      </c>
      <c r="DW50" s="454">
        <f>IF(SUM($E$48:DW49)&gt;0,DW57*DW47*DW56,0)/1000</f>
        <v>3.5628110406016682E-3</v>
      </c>
      <c r="DX50" s="454">
        <f>IF(SUM($E$48:DX49)&gt;0,DX57*DX47*DX56,0)/1000</f>
        <v>3.2754875695854041E-3</v>
      </c>
      <c r="DY50" s="454">
        <f>IF(SUM($E$48:DY49)&gt;0,DY57*DY47*DY56,0)/1000</f>
        <v>3.2154369641430054E-3</v>
      </c>
      <c r="DZ50" s="454">
        <f>IF(SUM($E$48:DZ49)&gt;0,DZ57*DZ47*DZ56,0)/1000</f>
        <v>2.9561275315508275E-3</v>
      </c>
      <c r="EA50" s="454">
        <f>IF(SUM($E$48:EA49)&gt;0,EA57*EA47*EA56,0)/1000</f>
        <v>2.9019318601390615E-3</v>
      </c>
      <c r="EB50" s="454">
        <f>IF(SUM($E$48:EB49)&gt;0,EB57*EB47*EB56,0)/1000</f>
        <v>2.7568352671321085E-3</v>
      </c>
      <c r="EC50" s="454">
        <f>IF(SUM($E$48:EC49)&gt;0,EC57*EC47*EC56,0)/1000</f>
        <v>2.5345098423633903E-3</v>
      </c>
      <c r="ED50" s="454">
        <f>IF(SUM($E$48:ED49)&gt;0,ED57*ED47*ED56,0)/1000</f>
        <v>2.4880438285867284E-3</v>
      </c>
      <c r="EE50" s="454">
        <f>IF(SUM($E$48:EE49)&gt;0,EE57*EE47*EE56,0)/1000</f>
        <v>2.2873951327329594E-3</v>
      </c>
      <c r="EF50" s="454">
        <f>IF(SUM($E$48:EF49)&gt;0,EF57*EF47*EF56,0)/1000</f>
        <v>2.2454595552995216E-3</v>
      </c>
      <c r="EG50" s="454">
        <f>IF(SUM($E$48:EG49)&gt;0,EG57*EG47*EG56,0)/1000</f>
        <v>2.1331865775345458E-3</v>
      </c>
      <c r="EH50" s="454">
        <f>IF(SUM($E$48:EH49)&gt;0,EH57*EH47*EH56,0)/1000</f>
        <v>1.8957835551960235E-3</v>
      </c>
      <c r="EI50" s="454">
        <f>IF(SUM($E$48:EI49)&gt;0,EI57*EI47*EI56,0)/1000</f>
        <v>1.9252008862249274E-3</v>
      </c>
      <c r="EJ50" s="454">
        <f>IF(SUM($E$48:EJ49)&gt;0,EJ57*EJ47*EJ56,0)/1000</f>
        <v>1.7699427502390461E-3</v>
      </c>
      <c r="EK50" s="454">
        <f>IF(SUM($E$48:EK49)&gt;0,EK57*EK47*EK56,0)/1000</f>
        <v>1.7374937998179969E-3</v>
      </c>
      <c r="EL50" s="454">
        <f>IF(SUM($E$48:EL49)&gt;0,EL57*EL47*EL56,0)/1000</f>
        <v>1.597373332090739E-3</v>
      </c>
      <c r="EM50" s="454">
        <f>IF(SUM($E$48:EM49)&gt;0,EM57*EM47*EM56,0)/1000</f>
        <v>1.5680881543357421E-3</v>
      </c>
      <c r="EN50" s="454">
        <f>IF(SUM($E$48:EN49)&gt;0,EN57*EN47*EN56,0)/1000</f>
        <v>1.4896837466189547E-3</v>
      </c>
      <c r="EO50" s="454">
        <f>IF(SUM($E$48:EO49)&gt;0,EO57*EO47*EO56,0)/1000</f>
        <v>1.3695479606012973E-3</v>
      </c>
      <c r="EP50" s="454">
        <f>IF(SUM($E$48:EP49)&gt;0,EP57*EP47*EP56,0)/1000</f>
        <v>1.3444395813236067E-3</v>
      </c>
      <c r="EQ50" s="454">
        <f>IF(SUM($E$48:EQ49)&gt;0,EQ57*EQ47*EQ56,0)/1000</f>
        <v>1.2360170344426706E-3</v>
      </c>
      <c r="ER50" s="454">
        <f>IF(SUM($E$48:ER49)&gt;0,ER57*ER47*ER56,0)/1000</f>
        <v>1.2133567221445549E-3</v>
      </c>
      <c r="ES50" s="454">
        <f>IF(SUM($E$48:ES49)&gt;0,ES57*ES47*ES56,0)/1000</f>
        <v>1.1526888860373271E-3</v>
      </c>
      <c r="ET50" s="454">
        <f>IF(SUM($E$48:ET49)&gt;0,ET57*ET47*ET56,0)/1000</f>
        <v>9.8908143124493207E-4</v>
      </c>
      <c r="EU50" s="454">
        <f>IF(SUM($E$48:EU49)&gt;0,EU57*EU47*EU56,0)/1000</f>
        <v>1.0403017196486874E-3</v>
      </c>
      <c r="EV50" s="454">
        <f>IF(SUM($E$48:EV49)&gt;0,EV57*EV47*EV56,0)/1000</f>
        <v>9.5640641967701908E-4</v>
      </c>
      <c r="EW50" s="454">
        <f>IF(SUM($E$48:EW49)&gt;0,EW57*EW47*EW56,0)/1000</f>
        <v>9.3887230198294038E-4</v>
      </c>
      <c r="EX50" s="454">
        <f>IF(SUM($E$48:EX49)&gt;0,EX57*EX47*EX56,0)/1000</f>
        <v>8.6315679375850967E-4</v>
      </c>
      <c r="EY50" s="454">
        <f>IF(SUM($E$48:EY49)&gt;0,EY57*EY47*EY56,0)/1000</f>
        <v>8.4733225253960361E-4</v>
      </c>
      <c r="EZ50" s="454">
        <f>IF(SUM($E$48:EZ49)&gt;0,EZ57*EZ47*EZ56,0)/1000</f>
        <v>8.0496563991262337E-4</v>
      </c>
      <c r="FA50" s="454">
        <f>IF(SUM($E$48:FA49)&gt;0,FA57*FA47*FA56,0)/1000</f>
        <v>7.4004905604870203E-4</v>
      </c>
      <c r="FB50" s="454">
        <f>IF(SUM($E$48:FB49)&gt;0,FB57*FB47*FB56,0)/1000</f>
        <v>7.2648149002114244E-4</v>
      </c>
      <c r="FC50" s="454">
        <f>IF(SUM($E$48:FC49)&gt;0,FC57*FC47*FC56,0)/1000</f>
        <v>6.678942730839536E-4</v>
      </c>
      <c r="FD50" s="454">
        <f>IF(SUM($E$48:FD49)&gt;0,FD57*FD47*FD56,0)/1000</f>
        <v>6.5564954474408113E-4</v>
      </c>
      <c r="FE50" s="454">
        <f>IF(SUM($E$48:FE49)&gt;0,FE57*FE47*FE56,0)/1000</f>
        <v>6.2286706750687708E-4</v>
      </c>
      <c r="FF50" s="454">
        <f>IF(SUM($E$48:FF49)&gt;0,FF57*FF47*FF56,0)/1000</f>
        <v>5.3446012889299768E-4</v>
      </c>
      <c r="FG50" s="454">
        <f>IF(SUM($E$48:FG49)&gt;0,FG57*FG47*FG56,0)/1000</f>
        <v>5.6213752842495645E-4</v>
      </c>
      <c r="FH50" s="454">
        <f>IF(SUM($E$48:FH49)&gt;0,FH57*FH47*FH56,0)/1000</f>
        <v>5.1680385677778254E-4</v>
      </c>
      <c r="FI50" s="454">
        <f>IF(SUM($E$48:FI49)&gt;0,FI57*FI47*FI56,0)/1000</f>
        <v>5.0732911940352314E-4</v>
      </c>
      <c r="FJ50" s="454">
        <f>IF(SUM($E$48:FJ49)&gt;0,FJ57*FJ47*FJ56,0)/1000</f>
        <v>4.6641548074194861E-4</v>
      </c>
      <c r="FK50" s="454">
        <f>IF(SUM($E$48:FK49)&gt;0,FK57*FK47*FK56,0)/1000</f>
        <v>4.5786453026167956E-4</v>
      </c>
      <c r="FL50" s="454">
        <f>IF(SUM($E$48:FL49)&gt;0,FL57*FL47*FL56,0)/1000</f>
        <v>4.3497130374859554E-4</v>
      </c>
      <c r="FM50" s="454">
        <f>IF(SUM($E$48:FM49)&gt;0,FM57*FM47*FM56,0)/1000</f>
        <v>3.9989297280112812E-4</v>
      </c>
      <c r="FN50" s="454">
        <f>IF(SUM($E$48:FN49)&gt;0,FN57*FN47*FN56,0)/1000</f>
        <v>3.9256160163310741E-4</v>
      </c>
      <c r="FO50" s="454">
        <f>IF(SUM($E$48:FO49)&gt;0,FO57*FO47*FO56,0)/1000</f>
        <v>3.6090340795301814E-4</v>
      </c>
      <c r="FP50" s="454">
        <f>IF(SUM($E$48:FP49)&gt;0,FP57*FP47*FP56,0)/1000</f>
        <v>3.5428684547387937E-4</v>
      </c>
      <c r="FQ50" s="454">
        <f>IF(SUM($E$48:FQ49)&gt;0,FQ57*FQ47*FQ56,0)/1000</f>
        <v>3.3657250320018539E-4</v>
      </c>
      <c r="FR50" s="454">
        <f>IF(SUM($E$48:FR49)&gt;0,FR57*FR47*FR56,0)/1000</f>
        <v>2.8880092210080421E-4</v>
      </c>
      <c r="FS50" s="454">
        <f>IF(SUM($E$48:FS49)&gt;0,FS57*FS47*FS56,0)/1000</f>
        <v>3.0375668413816731E-4</v>
      </c>
      <c r="FT50" s="454">
        <f>IF(SUM($E$48:FT49)&gt;0,FT57*FT47*FT56,0)/1000</f>
        <v>2.7926017735283118E-4</v>
      </c>
      <c r="FU50" s="454">
        <f>IF(SUM($E$48:FU49)&gt;0,FU57*FU47*FU56,0)/1000</f>
        <v>2.7414040743469598E-4</v>
      </c>
      <c r="FV50" s="454">
        <f>IF(SUM($E$48:FV49)&gt;0,FV57*FV47*FV56,0)/1000</f>
        <v>2.5203231006093018E-4</v>
      </c>
      <c r="FW50" s="454">
        <f>IF(SUM($E$48:FW49)&gt;0,FW57*FW47*FW56,0)/1000</f>
        <v>2.4741171770981314E-4</v>
      </c>
      <c r="FX50" s="454">
        <f>IF(SUM($E$48:FX49)&gt;0,FX57*FX47*FX56,0)/1000</f>
        <v>2.3504113182432247E-4</v>
      </c>
      <c r="FY50" s="454">
        <f>IF(SUM($E$48:FY49)&gt;0,FY57*FY47*FY56,0)/1000</f>
        <v>2.1608620183848998E-4</v>
      </c>
      <c r="FZ50" s="454">
        <f>IF(SUM($E$48:FZ49)&gt;0,FZ57*FZ47*FZ56,0)/1000</f>
        <v>2.1212462147145099E-4</v>
      </c>
      <c r="GA50" s="454">
        <f>IF(SUM($E$48:GA49)&gt;0,GA57*GA47*GA56,0)/1000</f>
        <v>1.9501779715923716E-4</v>
      </c>
      <c r="GB50" s="454">
        <f>IF(SUM($E$48:GB49)&gt;0,GB57*GB47*GB56,0)/1000</f>
        <v>1.914424708779845E-4</v>
      </c>
      <c r="GC50" s="454">
        <f>IF(SUM($E$48:GC49)&gt;0,GC57*GC47*GC56,0)/1000</f>
        <v>1.8187034733408526E-4</v>
      </c>
      <c r="GD50" s="454">
        <f>IF(SUM($E$48:GD49)&gt;0,GD57*GD47*GD56,0)/1000</f>
        <v>1.616299377114209E-4</v>
      </c>
      <c r="GE50" s="454">
        <f>IF(SUM($E$48:GE49)&gt;0,GE57*GE47*GE56,0)/1000</f>
        <v>1.6413798846901193E-4</v>
      </c>
      <c r="GF50" s="454">
        <f>IF(SUM($E$48:GF49)&gt;0,GF57*GF47*GF56,0)/1000</f>
        <v>1.5090105391505934E-4</v>
      </c>
      <c r="GG50" s="454">
        <f>IF(SUM($E$48:GG49)&gt;0,GG57*GG47*GG56,0)/1000</f>
        <v>1.4813453459328323E-4</v>
      </c>
      <c r="GH50" s="454">
        <f>IF(SUM($E$48:GH49)&gt;0,GH57*GH47*GH56,0)/1000</f>
        <v>1.3618820115834105E-4</v>
      </c>
      <c r="GI50" s="454">
        <f>IF(SUM($E$48:GI49)&gt;0,GI57*GI47*GI56,0)/1000</f>
        <v>1.3369141747043812E-4</v>
      </c>
      <c r="GJ50" s="454">
        <f>IF(SUM($E$48:GJ49)&gt;0,GJ57*GJ47*GJ56,0)/1000</f>
        <v>1.2700684659691622E-4</v>
      </c>
      <c r="GK50" s="454">
        <f>IF(SUM($E$48:GK49)&gt;0,GK57*GK47*GK56,0)/1000</f>
        <v>1.1676435896813264E-4</v>
      </c>
      <c r="GL50" s="454">
        <f>IF(SUM($E$48:GL49)&gt;0,GL57*GL47*GL56,0)/1000</f>
        <v>1.1462367905371687E-4</v>
      </c>
      <c r="GM50" s="454">
        <f>IF(SUM($E$48:GM49)&gt;0,GM57*GM47*GM56,0)/1000</f>
        <v>1.053798339687397E-4</v>
      </c>
      <c r="GN50" s="454">
        <f>IF(SUM($E$48:GN49)&gt;0,GN57*GN47*GN56,0)/1000</f>
        <v>1.0344787034597945E-4</v>
      </c>
      <c r="GO50" s="454">
        <f>IF(SUM($E$48:GO49)&gt;0,GO57*GO47*GO56,0)/1000</f>
        <v>9.827547682868048E-5</v>
      </c>
      <c r="GP50" s="454">
        <f>IF(SUM($E$48:GP49)&gt;0,GP57*GP47*GP56,0)/1000</f>
        <v>8.4326699472351641E-5</v>
      </c>
      <c r="GQ50" s="454">
        <f>IF(SUM($E$48:GQ49)&gt;0,GQ57*GQ47*GQ56,0)/1000</f>
        <v>8.8693617837884125E-5</v>
      </c>
      <c r="GR50" s="454">
        <f>IF(SUM($E$48:GR49)&gt;0,GR57*GR47*GR56,0)/1000</f>
        <v>8.1540906721925727E-5</v>
      </c>
      <c r="GS50" s="454">
        <f>IF(SUM($E$48:GS49)&gt;0,GS57*GS47*GS56,0)/1000</f>
        <v>8.0045990098690409E-5</v>
      </c>
      <c r="GT50" s="454">
        <f>IF(SUM($E$48:GT49)&gt;0,GT57*GT47*GT56,0)/1000</f>
        <v>7.3590668316537967E-5</v>
      </c>
      <c r="GU50" s="454">
        <f>IF(SUM($E$48:GU49)&gt;0,GU57*GU47*GU56,0)/1000</f>
        <v>7.2241506064068094E-5</v>
      </c>
      <c r="GV50" s="454">
        <f>IF(SUM($E$48:GV49)&gt;0,GV57*GV47*GV56,0)/1000</f>
        <v>6.8629430760864691E-5</v>
      </c>
      <c r="GW50" s="454">
        <f>IF(SUM($E$48:GW49)&gt;0,GW57*GW47*GW56,0)/1000</f>
        <v>6.3094799247891722E-5</v>
      </c>
      <c r="GX50" s="454">
        <f>IF(SUM($E$48:GX49)&gt;0,GX57*GX47*GX56,0)/1000</f>
        <v>6.1938061261680383E-5</v>
      </c>
      <c r="GY50" s="454">
        <f>IF(SUM($E$48:GY49)&gt;0,GY57*GY47*GY56,0)/1000</f>
        <v>5.6943056321222283E-5</v>
      </c>
      <c r="GZ50" s="454">
        <f>IF(SUM($E$48:GZ49)&gt;0,GZ57*GZ47*GZ56,0)/1000</f>
        <v>5.5899100288666533E-5</v>
      </c>
      <c r="HA50" s="454">
        <f>IF(SUM($E$48:HA49)&gt;0,HA57*HA47*HA56,0)/1000</f>
        <v>5.3104145274233214E-5</v>
      </c>
      <c r="HB50" s="454">
        <f>IF(SUM($E$48:HB49)&gt;0,HB57*HB47*HB56,0)/1000</f>
        <v>4.5566782719180747E-5</v>
      </c>
      <c r="HC50" s="454">
        <f>IF(SUM($E$48:HC49)&gt;0,HC57*HC47*HC56,0)/1000</f>
        <v>4.7926491109995466E-5</v>
      </c>
      <c r="HD50" s="454">
        <f>IF(SUM($E$48:HD49)&gt;0,HD57*HD47*HD56,0)/1000</f>
        <v>4.4061451504350668E-5</v>
      </c>
      <c r="HE50" s="454">
        <f>IF(SUM($E$48:HE49)&gt;0,HE57*HE47*HE56,0)/1000</f>
        <v>4.3253658226770907E-5</v>
      </c>
      <c r="HF50" s="454">
        <f>IF(SUM($E$48:HF49)&gt;0,HF57*HF47*HF56,0)/1000</f>
        <v>3.9765459982676477E-5</v>
      </c>
      <c r="HG50" s="454">
        <f>IF(SUM($E$48:HG49)&gt;0,HG57*HG47*HG56,0)/1000</f>
        <v>3.9036426549660742E-5</v>
      </c>
      <c r="HH50" s="454">
        <f>IF(SUM($E$48:HH49)&gt;0,HH57*HH47*HH56,0)/1000</f>
        <v>3.7084605222177699E-5</v>
      </c>
      <c r="HI50" s="454">
        <f>IF(SUM($E$48:HI49)&gt;0,HI57*HI47*HI56,0)/1000</f>
        <v>3.4093911252647234E-5</v>
      </c>
      <c r="HJ50" s="454">
        <f>IF(SUM($E$48:HJ49)&gt;0,HJ57*HJ47*HJ56,0)/1000</f>
        <v>3.346885621301537E-5</v>
      </c>
      <c r="HK50" s="454">
        <f>IF(SUM($E$48:HK49)&gt;0,HK57*HK47*HK56,0)/1000</f>
        <v>3.0769754905514127E-5</v>
      </c>
      <c r="HL50" s="454">
        <f>IF(SUM($E$48:HL49)&gt;0,HL57*HL47*HL56,0)/1000</f>
        <v>3.0205642732246369E-5</v>
      </c>
      <c r="HM50" s="454">
        <f>IF(SUM($E$48:HM49)&gt;0,HM57*HM47*HM56,0)/1000</f>
        <v>2.8695360595634053E-5</v>
      </c>
      <c r="HN50" s="454">
        <f>IF(SUM($E$48:HN49)&gt;0,HN57*HN47*HN56,0)/1000</f>
        <v>2.4622470704640828E-5</v>
      </c>
      <c r="HO50" s="454">
        <f>IF(SUM($E$48:HO49)&gt;0,HO57*HO47*HO56,0)/1000</f>
        <v>2.5897562937559729E-5</v>
      </c>
      <c r="HP50" s="454">
        <f>IF(SUM($E$48:HP49)&gt;0,HP57*HP47*HP56,0)/1000</f>
        <v>2.3809049797433943E-5</v>
      </c>
      <c r="HQ50" s="454">
        <f>IF(SUM($E$48:HQ49)&gt;0,HQ57*HQ47*HQ56,0)/1000</f>
        <v>2.3372550551147653E-5</v>
      </c>
      <c r="HR50" s="454">
        <f>IF(SUM($E$48:HR49)&gt;0,HR57*HR47*HR56,0)/1000</f>
        <v>2.1487667442184132E-5</v>
      </c>
      <c r="HS50" s="454">
        <f>IF(SUM($E$48:HS49)&gt;0,HS57*HS47*HS56,0)/1000</f>
        <v>2.1093726872410754E-5</v>
      </c>
      <c r="HT50" s="454">
        <f>IF(SUM($E$48:HT49)&gt;0,HT57*HT47*HT56,0)/1000</f>
        <v>2.0039040528790216E-5</v>
      </c>
      <c r="HU50" s="454">
        <f>IF(SUM($E$48:HU49)&gt;0,HU57*HU47*HU56,0)/1000</f>
        <v>1.8422988873242617E-5</v>
      </c>
      <c r="HV50" s="454">
        <f>IF(SUM($E$48:HV49)&gt;0,HV57*HV47*HV56,0)/1000</f>
        <v>1.8085234077233169E-5</v>
      </c>
      <c r="HW50" s="454">
        <f>IF(SUM($E$48:HW49)&gt;0,HW57*HW47*HW56,0)/1000</f>
        <v>1.6626747458101462E-5</v>
      </c>
      <c r="HX50" s="454">
        <f>IF(SUM($E$48:HX49)&gt;0,HX57*HX47*HX56,0)/1000</f>
        <v>1.6321923754702934E-5</v>
      </c>
      <c r="HY50" s="454">
        <f>IF(SUM($E$48:HY49)&gt;0,HY57*HY47*HY56,0)/1000</f>
        <v>1.5505827566967785E-5</v>
      </c>
      <c r="HZ50" s="454">
        <f>IF(SUM($E$48:HZ49)&gt;0,HZ57*HZ47*HZ56,0)/1000</f>
        <v>1.378017901516008E-5</v>
      </c>
      <c r="IA50" s="454">
        <f>IF(SUM($E$48:IA49)&gt;0,IA57*IA47*IA56,0)/1000</f>
        <v>1.3994009379188427E-5</v>
      </c>
      <c r="IB50" s="454">
        <f>IF(SUM($E$48:IB49)&gt;0,IB57*IB47*IB56,0)/1000</f>
        <v>1.2865460235705489E-5</v>
      </c>
      <c r="IC50" s="454">
        <f>IF(SUM($E$48:IC49)&gt;0,IC57*IC47*IC56,0)/1000</f>
        <v>1.2629593464717553E-5</v>
      </c>
      <c r="ID50" s="454">
        <f>IF(SUM($E$48:ID49)&gt;0,ID57*ID47*ID56,0)/1000</f>
        <v>1.1611077862724201E-5</v>
      </c>
      <c r="IE50" s="454">
        <f>IF(SUM($E$48:IE49)&gt;0,IE57*IE47*IE56,0)/1000</f>
        <v>1.139820810190759E-5</v>
      </c>
      <c r="IF50" s="454">
        <f>IF(SUM($E$48:IF49)&gt;0,IF57*IF47*IF56,0)/1000</f>
        <v>1.0828297696812209E-5</v>
      </c>
      <c r="IG50" s="454">
        <f>IF(SUM($E$48:IG49)&gt;0,IG57*IG47*IG56,0)/1000</f>
        <v>9.955047882553161E-6</v>
      </c>
      <c r="IH50" s="454">
        <f>IF(SUM($E$48:IH49)&gt;0,IH57*IH47*IH56,0)/1000</f>
        <v>9.7725386713730191E-6</v>
      </c>
      <c r="II50" s="454">
        <f>IF(SUM($E$48:II49)&gt;0,II57*II47*II56,0)/1000</f>
        <v>8.9844307140042277E-6</v>
      </c>
      <c r="IJ50" s="454">
        <f>IF(SUM($E$48:IJ49)&gt;0,IJ57*IJ47*IJ56,0)/1000</f>
        <v>8.8197161509141492E-6</v>
      </c>
      <c r="IK50" s="454">
        <f>IF(SUM($E$48:IK49)&gt;0,IK57*IK47*IK56,0)/1000</f>
        <v>8.3787303433684411E-6</v>
      </c>
      <c r="IL50" s="454">
        <f>IF(SUM($E$48:IL49)&gt;0,IL57*IL47*IL56,0)/1000</f>
        <v>7.1894911978580813E-6</v>
      </c>
      <c r="IM50" s="454">
        <f>IF(SUM($E$48:IM49)&gt;0,IM57*IM47*IM56,0)/1000</f>
        <v>7.5618041348900166E-6</v>
      </c>
      <c r="IN50" s="454">
        <f>IF(SUM($E$48:IN49)&gt;0,IN57*IN47*IN56,0)/1000</f>
        <v>6.9519812207859836E-6</v>
      </c>
      <c r="IO50" s="454">
        <f>IF(SUM($E$48:IO49)&gt;0,IO57*IO47*IO56,0)/1000</f>
        <v>6.8245282317382401E-6</v>
      </c>
      <c r="IP50" s="454">
        <f>IF(SUM($E$48:IP49)&gt;0,IP57*IP47*IP56,0)/1000</f>
        <v>6.2741630517593497E-6</v>
      </c>
      <c r="IQ50" s="454">
        <f>IF(SUM($E$48:IQ49)&gt;0,IQ57*IQ47*IQ56,0)/1000</f>
        <v>6.1591367291437616E-6</v>
      </c>
      <c r="IR50" s="454">
        <f>IF(SUM($E$48:IR49)&gt;0,IR57*IR47*IR56,0)/1000</f>
        <v>5.851179892686573E-6</v>
      </c>
      <c r="IS50" s="454">
        <f>IF(SUM($E$48:IS49)&gt;0,IS57*IS47*IS56,0)/1000</f>
        <v>5.3793105465021722E-6</v>
      </c>
      <c r="IT50" s="454">
        <f>IF(SUM($E$48:IT49)&gt;0,IT57*IT47*IT56,0)/1000</f>
        <v>5.2806898531496314E-6</v>
      </c>
      <c r="IU50" s="454">
        <f>IF(SUM($E$48:IU49)&gt;0,IU57*IU47*IU56,0)/1000</f>
        <v>4.8548277682182105E-6</v>
      </c>
      <c r="IV50" s="454">
        <f>IF(SUM($E$48:IV49)&gt;0,IV57*IV47*IV56,0)/1000</f>
        <v>4.7658225924675427E-6</v>
      </c>
      <c r="IX50" s="323">
        <f>SUM(E50:IK50)</f>
        <v>5.760773167599428</v>
      </c>
    </row>
    <row r="51" spans="1:258">
      <c r="A51" s="319">
        <v>1</v>
      </c>
      <c r="B51" s="575" t="s">
        <v>405</v>
      </c>
      <c r="C51" s="575"/>
      <c r="D51" s="324" t="s">
        <v>409</v>
      </c>
      <c r="E51" s="455">
        <f>IF(SUM(E48:E49)&gt;0,E57,0)</f>
        <v>0</v>
      </c>
      <c r="F51" s="455">
        <f t="shared" ref="F51:BQ51" si="24">IF(SUM(F48:F49)&gt;0,F57,0)</f>
        <v>0</v>
      </c>
      <c r="G51" s="455">
        <f t="shared" si="24"/>
        <v>0</v>
      </c>
      <c r="H51" s="455">
        <f t="shared" si="24"/>
        <v>0</v>
      </c>
      <c r="I51" s="455">
        <f t="shared" si="24"/>
        <v>0</v>
      </c>
      <c r="J51" s="455">
        <f t="shared" si="24"/>
        <v>0</v>
      </c>
      <c r="K51" s="455">
        <f t="shared" si="24"/>
        <v>0</v>
      </c>
      <c r="L51" s="455">
        <f t="shared" si="24"/>
        <v>0</v>
      </c>
      <c r="M51" s="455">
        <f t="shared" si="24"/>
        <v>0</v>
      </c>
      <c r="N51" s="455">
        <f t="shared" si="24"/>
        <v>0</v>
      </c>
      <c r="O51" s="455">
        <f t="shared" si="24"/>
        <v>0</v>
      </c>
      <c r="P51" s="455">
        <f t="shared" si="24"/>
        <v>0</v>
      </c>
      <c r="Q51" s="455">
        <f t="shared" si="24"/>
        <v>0</v>
      </c>
      <c r="R51" s="455">
        <f t="shared" si="24"/>
        <v>0</v>
      </c>
      <c r="S51" s="455">
        <f t="shared" si="24"/>
        <v>0</v>
      </c>
      <c r="T51" s="455">
        <f t="shared" si="24"/>
        <v>0</v>
      </c>
      <c r="U51" s="455">
        <f t="shared" si="24"/>
        <v>0</v>
      </c>
      <c r="V51" s="455">
        <f t="shared" si="24"/>
        <v>0</v>
      </c>
      <c r="W51" s="455">
        <f t="shared" si="24"/>
        <v>0</v>
      </c>
      <c r="X51" s="455">
        <f t="shared" si="24"/>
        <v>0</v>
      </c>
      <c r="Y51" s="455">
        <f t="shared" si="24"/>
        <v>0</v>
      </c>
      <c r="Z51" s="455">
        <f t="shared" si="24"/>
        <v>0</v>
      </c>
      <c r="AA51" s="455">
        <f t="shared" si="24"/>
        <v>0</v>
      </c>
      <c r="AB51" s="455">
        <f t="shared" si="24"/>
        <v>0</v>
      </c>
      <c r="AC51" s="455">
        <f t="shared" si="24"/>
        <v>0</v>
      </c>
      <c r="AD51" s="455">
        <f t="shared" si="24"/>
        <v>0</v>
      </c>
      <c r="AE51" s="455">
        <f t="shared" si="24"/>
        <v>0</v>
      </c>
      <c r="AF51" s="455">
        <f t="shared" si="24"/>
        <v>0</v>
      </c>
      <c r="AG51" s="455">
        <f t="shared" si="24"/>
        <v>0</v>
      </c>
      <c r="AH51" s="455">
        <f t="shared" si="24"/>
        <v>0</v>
      </c>
      <c r="AI51" s="455">
        <f t="shared" si="24"/>
        <v>0</v>
      </c>
      <c r="AJ51" s="455">
        <f t="shared" si="24"/>
        <v>0</v>
      </c>
      <c r="AK51" s="455">
        <f t="shared" si="24"/>
        <v>0</v>
      </c>
      <c r="AL51" s="455">
        <f t="shared" si="24"/>
        <v>0</v>
      </c>
      <c r="AM51" s="455">
        <f t="shared" si="24"/>
        <v>0</v>
      </c>
      <c r="AN51" s="455">
        <f t="shared" si="24"/>
        <v>0</v>
      </c>
      <c r="AO51" s="455">
        <f t="shared" si="24"/>
        <v>9.9650030392564339</v>
      </c>
      <c r="AP51" s="455">
        <f t="shared" si="24"/>
        <v>0</v>
      </c>
      <c r="AQ51" s="455">
        <f t="shared" si="24"/>
        <v>0</v>
      </c>
      <c r="AR51" s="455">
        <f t="shared" si="24"/>
        <v>0</v>
      </c>
      <c r="AS51" s="455">
        <f t="shared" si="24"/>
        <v>0</v>
      </c>
      <c r="AT51" s="455">
        <f t="shared" si="24"/>
        <v>0</v>
      </c>
      <c r="AU51" s="455">
        <f t="shared" si="24"/>
        <v>0</v>
      </c>
      <c r="AV51" s="455">
        <f t="shared" si="24"/>
        <v>0</v>
      </c>
      <c r="AW51" s="455">
        <f t="shared" si="24"/>
        <v>0</v>
      </c>
      <c r="AX51" s="455">
        <f t="shared" si="24"/>
        <v>0</v>
      </c>
      <c r="AY51" s="455">
        <f t="shared" si="24"/>
        <v>0</v>
      </c>
      <c r="AZ51" s="455">
        <f t="shared" si="24"/>
        <v>0</v>
      </c>
      <c r="BA51" s="455">
        <f t="shared" si="24"/>
        <v>0</v>
      </c>
      <c r="BB51" s="455">
        <f t="shared" si="24"/>
        <v>0</v>
      </c>
      <c r="BC51" s="455">
        <f t="shared" si="24"/>
        <v>0</v>
      </c>
      <c r="BD51" s="455">
        <f t="shared" si="24"/>
        <v>0</v>
      </c>
      <c r="BE51" s="455">
        <f t="shared" si="24"/>
        <v>0</v>
      </c>
      <c r="BF51" s="455">
        <f t="shared" si="24"/>
        <v>0</v>
      </c>
      <c r="BG51" s="455">
        <f t="shared" si="24"/>
        <v>0</v>
      </c>
      <c r="BH51" s="455">
        <f t="shared" si="24"/>
        <v>0</v>
      </c>
      <c r="BI51" s="455">
        <f t="shared" si="24"/>
        <v>0</v>
      </c>
      <c r="BJ51" s="455">
        <f t="shared" si="24"/>
        <v>0</v>
      </c>
      <c r="BK51" s="455">
        <f t="shared" si="24"/>
        <v>0</v>
      </c>
      <c r="BL51" s="455">
        <f t="shared" si="24"/>
        <v>0</v>
      </c>
      <c r="BM51" s="455">
        <f t="shared" si="24"/>
        <v>0</v>
      </c>
      <c r="BN51" s="455">
        <f t="shared" si="24"/>
        <v>0</v>
      </c>
      <c r="BO51" s="455">
        <f t="shared" si="24"/>
        <v>0</v>
      </c>
      <c r="BP51" s="455">
        <f t="shared" si="24"/>
        <v>0</v>
      </c>
      <c r="BQ51" s="455">
        <f t="shared" si="24"/>
        <v>0</v>
      </c>
      <c r="BR51" s="455">
        <f t="shared" ref="BR51:EC51" si="25">IF(SUM(BR48:BR49)&gt;0,BR57,0)</f>
        <v>0</v>
      </c>
      <c r="BS51" s="455">
        <f t="shared" si="25"/>
        <v>0</v>
      </c>
      <c r="BT51" s="455">
        <f t="shared" si="25"/>
        <v>0</v>
      </c>
      <c r="BU51" s="455">
        <f t="shared" si="25"/>
        <v>0</v>
      </c>
      <c r="BV51" s="455">
        <f t="shared" si="25"/>
        <v>0</v>
      </c>
      <c r="BW51" s="455">
        <f t="shared" si="25"/>
        <v>0</v>
      </c>
      <c r="BX51" s="455">
        <f t="shared" si="25"/>
        <v>0</v>
      </c>
      <c r="BY51" s="455">
        <f t="shared" si="25"/>
        <v>0</v>
      </c>
      <c r="BZ51" s="455">
        <f t="shared" si="25"/>
        <v>0</v>
      </c>
      <c r="CA51" s="455">
        <f t="shared" si="25"/>
        <v>0</v>
      </c>
      <c r="CB51" s="455">
        <f t="shared" si="25"/>
        <v>0</v>
      </c>
      <c r="CC51" s="455">
        <f t="shared" si="25"/>
        <v>0</v>
      </c>
      <c r="CD51" s="455">
        <f t="shared" si="25"/>
        <v>0</v>
      </c>
      <c r="CE51" s="455">
        <f t="shared" si="25"/>
        <v>0</v>
      </c>
      <c r="CF51" s="455">
        <f t="shared" si="25"/>
        <v>0</v>
      </c>
      <c r="CG51" s="455">
        <f t="shared" si="25"/>
        <v>0</v>
      </c>
      <c r="CH51" s="455">
        <f t="shared" si="25"/>
        <v>0</v>
      </c>
      <c r="CI51" s="455">
        <f t="shared" si="25"/>
        <v>0</v>
      </c>
      <c r="CJ51" s="455">
        <f t="shared" si="25"/>
        <v>0</v>
      </c>
      <c r="CK51" s="455">
        <f t="shared" si="25"/>
        <v>0</v>
      </c>
      <c r="CL51" s="455">
        <f t="shared" si="25"/>
        <v>0</v>
      </c>
      <c r="CM51" s="455">
        <f t="shared" si="25"/>
        <v>0</v>
      </c>
      <c r="CN51" s="455">
        <f t="shared" si="25"/>
        <v>0</v>
      </c>
      <c r="CO51" s="455">
        <f t="shared" si="25"/>
        <v>0</v>
      </c>
      <c r="CP51" s="455">
        <f t="shared" si="25"/>
        <v>0</v>
      </c>
      <c r="CQ51" s="455">
        <f t="shared" si="25"/>
        <v>0</v>
      </c>
      <c r="CR51" s="455">
        <f t="shared" si="25"/>
        <v>0</v>
      </c>
      <c r="CS51" s="455">
        <f t="shared" si="25"/>
        <v>0</v>
      </c>
      <c r="CT51" s="455">
        <f t="shared" si="25"/>
        <v>0</v>
      </c>
      <c r="CU51" s="455">
        <f t="shared" si="25"/>
        <v>0</v>
      </c>
      <c r="CV51" s="455">
        <f t="shared" si="25"/>
        <v>0</v>
      </c>
      <c r="CW51" s="455">
        <f t="shared" si="25"/>
        <v>0</v>
      </c>
      <c r="CX51" s="455">
        <f t="shared" si="25"/>
        <v>0</v>
      </c>
      <c r="CY51" s="455">
        <f t="shared" si="25"/>
        <v>0</v>
      </c>
      <c r="CZ51" s="455">
        <f t="shared" si="25"/>
        <v>0</v>
      </c>
      <c r="DA51" s="455">
        <f t="shared" si="25"/>
        <v>0</v>
      </c>
      <c r="DB51" s="455">
        <f t="shared" si="25"/>
        <v>0</v>
      </c>
      <c r="DC51" s="455">
        <f t="shared" si="25"/>
        <v>0</v>
      </c>
      <c r="DD51" s="455">
        <f t="shared" si="25"/>
        <v>0</v>
      </c>
      <c r="DE51" s="455">
        <f t="shared" si="25"/>
        <v>0</v>
      </c>
      <c r="DF51" s="455">
        <f t="shared" si="25"/>
        <v>0</v>
      </c>
      <c r="DG51" s="455">
        <f t="shared" si="25"/>
        <v>0</v>
      </c>
      <c r="DH51" s="455">
        <f t="shared" si="25"/>
        <v>0</v>
      </c>
      <c r="DI51" s="455">
        <f t="shared" si="25"/>
        <v>0</v>
      </c>
      <c r="DJ51" s="455">
        <f t="shared" si="25"/>
        <v>0</v>
      </c>
      <c r="DK51" s="455">
        <f t="shared" si="25"/>
        <v>0</v>
      </c>
      <c r="DL51" s="455">
        <f t="shared" si="25"/>
        <v>0</v>
      </c>
      <c r="DM51" s="455">
        <f t="shared" si="25"/>
        <v>0</v>
      </c>
      <c r="DN51" s="455">
        <f t="shared" si="25"/>
        <v>0</v>
      </c>
      <c r="DO51" s="455">
        <f t="shared" si="25"/>
        <v>0</v>
      </c>
      <c r="DP51" s="455">
        <f t="shared" si="25"/>
        <v>0</v>
      </c>
      <c r="DQ51" s="455">
        <f t="shared" si="25"/>
        <v>0</v>
      </c>
      <c r="DR51" s="455">
        <f t="shared" si="25"/>
        <v>0</v>
      </c>
      <c r="DS51" s="455">
        <f t="shared" si="25"/>
        <v>0</v>
      </c>
      <c r="DT51" s="455">
        <f t="shared" si="25"/>
        <v>0</v>
      </c>
      <c r="DU51" s="455">
        <f t="shared" si="25"/>
        <v>0</v>
      </c>
      <c r="DV51" s="455">
        <f t="shared" si="25"/>
        <v>0</v>
      </c>
      <c r="DW51" s="455">
        <f t="shared" si="25"/>
        <v>0</v>
      </c>
      <c r="DX51" s="455">
        <f t="shared" si="25"/>
        <v>0</v>
      </c>
      <c r="DY51" s="455">
        <f t="shared" si="25"/>
        <v>0</v>
      </c>
      <c r="DZ51" s="455">
        <f t="shared" si="25"/>
        <v>0</v>
      </c>
      <c r="EA51" s="455">
        <f t="shared" si="25"/>
        <v>0</v>
      </c>
      <c r="EB51" s="455">
        <f t="shared" si="25"/>
        <v>0</v>
      </c>
      <c r="EC51" s="455">
        <f t="shared" si="25"/>
        <v>0</v>
      </c>
      <c r="ED51" s="455">
        <f t="shared" ref="ED51:GO51" si="26">IF(SUM(ED48:ED49)&gt;0,ED57,0)</f>
        <v>0</v>
      </c>
      <c r="EE51" s="455">
        <f t="shared" si="26"/>
        <v>0</v>
      </c>
      <c r="EF51" s="455">
        <f t="shared" si="26"/>
        <v>0</v>
      </c>
      <c r="EG51" s="455">
        <f t="shared" si="26"/>
        <v>0</v>
      </c>
      <c r="EH51" s="455">
        <f t="shared" si="26"/>
        <v>0</v>
      </c>
      <c r="EI51" s="455">
        <f t="shared" si="26"/>
        <v>0</v>
      </c>
      <c r="EJ51" s="455">
        <f t="shared" si="26"/>
        <v>0</v>
      </c>
      <c r="EK51" s="455">
        <f t="shared" si="26"/>
        <v>0</v>
      </c>
      <c r="EL51" s="455">
        <f t="shared" si="26"/>
        <v>0</v>
      </c>
      <c r="EM51" s="455">
        <f t="shared" si="26"/>
        <v>0</v>
      </c>
      <c r="EN51" s="455">
        <f t="shared" si="26"/>
        <v>0</v>
      </c>
      <c r="EO51" s="455">
        <f t="shared" si="26"/>
        <v>0</v>
      </c>
      <c r="EP51" s="455">
        <f t="shared" si="26"/>
        <v>0</v>
      </c>
      <c r="EQ51" s="455">
        <f t="shared" si="26"/>
        <v>0</v>
      </c>
      <c r="ER51" s="455">
        <f t="shared" si="26"/>
        <v>0</v>
      </c>
      <c r="ES51" s="455">
        <f t="shared" si="26"/>
        <v>0</v>
      </c>
      <c r="ET51" s="455">
        <f t="shared" si="26"/>
        <v>0</v>
      </c>
      <c r="EU51" s="455">
        <f t="shared" si="26"/>
        <v>0</v>
      </c>
      <c r="EV51" s="455">
        <f t="shared" si="26"/>
        <v>0</v>
      </c>
      <c r="EW51" s="455">
        <f t="shared" si="26"/>
        <v>0</v>
      </c>
      <c r="EX51" s="455">
        <f t="shared" si="26"/>
        <v>0</v>
      </c>
      <c r="EY51" s="455">
        <f t="shared" si="26"/>
        <v>0</v>
      </c>
      <c r="EZ51" s="455">
        <f t="shared" si="26"/>
        <v>0</v>
      </c>
      <c r="FA51" s="455">
        <f t="shared" si="26"/>
        <v>0</v>
      </c>
      <c r="FB51" s="455">
        <f t="shared" si="26"/>
        <v>0</v>
      </c>
      <c r="FC51" s="455">
        <f t="shared" si="26"/>
        <v>0</v>
      </c>
      <c r="FD51" s="455">
        <f t="shared" si="26"/>
        <v>0</v>
      </c>
      <c r="FE51" s="455">
        <f t="shared" si="26"/>
        <v>0</v>
      </c>
      <c r="FF51" s="455">
        <f t="shared" si="26"/>
        <v>0</v>
      </c>
      <c r="FG51" s="455">
        <f t="shared" si="26"/>
        <v>0</v>
      </c>
      <c r="FH51" s="455">
        <f t="shared" si="26"/>
        <v>0</v>
      </c>
      <c r="FI51" s="455">
        <f t="shared" si="26"/>
        <v>0</v>
      </c>
      <c r="FJ51" s="455">
        <f t="shared" si="26"/>
        <v>0</v>
      </c>
      <c r="FK51" s="455">
        <f t="shared" si="26"/>
        <v>0</v>
      </c>
      <c r="FL51" s="455">
        <f t="shared" si="26"/>
        <v>0</v>
      </c>
      <c r="FM51" s="455">
        <f t="shared" si="26"/>
        <v>0</v>
      </c>
      <c r="FN51" s="455">
        <f t="shared" si="26"/>
        <v>0</v>
      </c>
      <c r="FO51" s="455">
        <f t="shared" si="26"/>
        <v>0</v>
      </c>
      <c r="FP51" s="455">
        <f t="shared" si="26"/>
        <v>0</v>
      </c>
      <c r="FQ51" s="455">
        <f t="shared" si="26"/>
        <v>0</v>
      </c>
      <c r="FR51" s="455">
        <f t="shared" si="26"/>
        <v>0</v>
      </c>
      <c r="FS51" s="455">
        <f t="shared" si="26"/>
        <v>0</v>
      </c>
      <c r="FT51" s="455">
        <f t="shared" si="26"/>
        <v>0</v>
      </c>
      <c r="FU51" s="455">
        <f t="shared" si="26"/>
        <v>0</v>
      </c>
      <c r="FV51" s="455">
        <f t="shared" si="26"/>
        <v>0</v>
      </c>
      <c r="FW51" s="455">
        <f t="shared" si="26"/>
        <v>0</v>
      </c>
      <c r="FX51" s="455">
        <f t="shared" si="26"/>
        <v>0</v>
      </c>
      <c r="FY51" s="455">
        <f t="shared" si="26"/>
        <v>0</v>
      </c>
      <c r="FZ51" s="455">
        <f t="shared" si="26"/>
        <v>0</v>
      </c>
      <c r="GA51" s="455">
        <f t="shared" si="26"/>
        <v>0</v>
      </c>
      <c r="GB51" s="455">
        <f t="shared" si="26"/>
        <v>0</v>
      </c>
      <c r="GC51" s="455">
        <f t="shared" si="26"/>
        <v>0</v>
      </c>
      <c r="GD51" s="455">
        <f t="shared" si="26"/>
        <v>0</v>
      </c>
      <c r="GE51" s="455">
        <f t="shared" si="26"/>
        <v>0</v>
      </c>
      <c r="GF51" s="455">
        <f t="shared" si="26"/>
        <v>0</v>
      </c>
      <c r="GG51" s="455">
        <f t="shared" si="26"/>
        <v>0</v>
      </c>
      <c r="GH51" s="455">
        <f t="shared" si="26"/>
        <v>0</v>
      </c>
      <c r="GI51" s="455">
        <f t="shared" si="26"/>
        <v>0</v>
      </c>
      <c r="GJ51" s="455">
        <f t="shared" si="26"/>
        <v>0</v>
      </c>
      <c r="GK51" s="455">
        <f t="shared" si="26"/>
        <v>0</v>
      </c>
      <c r="GL51" s="455">
        <f t="shared" si="26"/>
        <v>0</v>
      </c>
      <c r="GM51" s="455">
        <f t="shared" si="26"/>
        <v>0</v>
      </c>
      <c r="GN51" s="455">
        <f t="shared" si="26"/>
        <v>0</v>
      </c>
      <c r="GO51" s="455">
        <f t="shared" si="26"/>
        <v>0</v>
      </c>
      <c r="GP51" s="455">
        <f t="shared" ref="GP51:IV51" si="27">IF(SUM(GP48:GP49)&gt;0,GP57,0)</f>
        <v>0</v>
      </c>
      <c r="GQ51" s="455">
        <f t="shared" si="27"/>
        <v>0</v>
      </c>
      <c r="GR51" s="455">
        <f t="shared" si="27"/>
        <v>0</v>
      </c>
      <c r="GS51" s="455">
        <f t="shared" si="27"/>
        <v>0</v>
      </c>
      <c r="GT51" s="455">
        <f t="shared" si="27"/>
        <v>0</v>
      </c>
      <c r="GU51" s="455">
        <f t="shared" si="27"/>
        <v>0</v>
      </c>
      <c r="GV51" s="455">
        <f t="shared" si="27"/>
        <v>0</v>
      </c>
      <c r="GW51" s="455">
        <f t="shared" si="27"/>
        <v>0</v>
      </c>
      <c r="GX51" s="455">
        <f t="shared" si="27"/>
        <v>0</v>
      </c>
      <c r="GY51" s="455">
        <f t="shared" si="27"/>
        <v>0</v>
      </c>
      <c r="GZ51" s="455">
        <f t="shared" si="27"/>
        <v>0</v>
      </c>
      <c r="HA51" s="455">
        <f t="shared" si="27"/>
        <v>0</v>
      </c>
      <c r="HB51" s="455">
        <f t="shared" si="27"/>
        <v>0</v>
      </c>
      <c r="HC51" s="455">
        <f t="shared" si="27"/>
        <v>0</v>
      </c>
      <c r="HD51" s="455">
        <f t="shared" si="27"/>
        <v>0</v>
      </c>
      <c r="HE51" s="455">
        <f t="shared" si="27"/>
        <v>0</v>
      </c>
      <c r="HF51" s="455">
        <f t="shared" si="27"/>
        <v>0</v>
      </c>
      <c r="HG51" s="455">
        <f t="shared" si="27"/>
        <v>0</v>
      </c>
      <c r="HH51" s="455">
        <f t="shared" si="27"/>
        <v>0</v>
      </c>
      <c r="HI51" s="455">
        <f t="shared" si="27"/>
        <v>0</v>
      </c>
      <c r="HJ51" s="455">
        <f t="shared" si="27"/>
        <v>0</v>
      </c>
      <c r="HK51" s="455">
        <f t="shared" si="27"/>
        <v>0</v>
      </c>
      <c r="HL51" s="455">
        <f t="shared" si="27"/>
        <v>0</v>
      </c>
      <c r="HM51" s="455">
        <f t="shared" si="27"/>
        <v>0</v>
      </c>
      <c r="HN51" s="455">
        <f t="shared" si="27"/>
        <v>0</v>
      </c>
      <c r="HO51" s="455">
        <f t="shared" si="27"/>
        <v>0</v>
      </c>
      <c r="HP51" s="455">
        <f t="shared" si="27"/>
        <v>0</v>
      </c>
      <c r="HQ51" s="455">
        <f t="shared" si="27"/>
        <v>0</v>
      </c>
      <c r="HR51" s="455">
        <f t="shared" si="27"/>
        <v>0</v>
      </c>
      <c r="HS51" s="455">
        <f t="shared" si="27"/>
        <v>0</v>
      </c>
      <c r="HT51" s="455">
        <f t="shared" si="27"/>
        <v>0</v>
      </c>
      <c r="HU51" s="455">
        <f t="shared" si="27"/>
        <v>0</v>
      </c>
      <c r="HV51" s="455">
        <f t="shared" si="27"/>
        <v>0</v>
      </c>
      <c r="HW51" s="455">
        <f t="shared" si="27"/>
        <v>0</v>
      </c>
      <c r="HX51" s="455">
        <f t="shared" si="27"/>
        <v>0</v>
      </c>
      <c r="HY51" s="455">
        <f t="shared" si="27"/>
        <v>0</v>
      </c>
      <c r="HZ51" s="455">
        <f t="shared" si="27"/>
        <v>0</v>
      </c>
      <c r="IA51" s="455">
        <f t="shared" si="27"/>
        <v>0</v>
      </c>
      <c r="IB51" s="455">
        <f t="shared" si="27"/>
        <v>0</v>
      </c>
      <c r="IC51" s="455">
        <f t="shared" si="27"/>
        <v>0</v>
      </c>
      <c r="ID51" s="455">
        <f t="shared" si="27"/>
        <v>0</v>
      </c>
      <c r="IE51" s="455">
        <f t="shared" si="27"/>
        <v>0</v>
      </c>
      <c r="IF51" s="455">
        <f t="shared" si="27"/>
        <v>0</v>
      </c>
      <c r="IG51" s="455">
        <f t="shared" si="27"/>
        <v>0</v>
      </c>
      <c r="IH51" s="455">
        <f t="shared" si="27"/>
        <v>0</v>
      </c>
      <c r="II51" s="455">
        <f t="shared" si="27"/>
        <v>0</v>
      </c>
      <c r="IJ51" s="455">
        <f t="shared" si="27"/>
        <v>0</v>
      </c>
      <c r="IK51" s="455">
        <f t="shared" si="27"/>
        <v>0</v>
      </c>
      <c r="IL51" s="455">
        <f t="shared" si="27"/>
        <v>0</v>
      </c>
      <c r="IM51" s="455">
        <f t="shared" si="27"/>
        <v>0</v>
      </c>
      <c r="IN51" s="455">
        <f t="shared" si="27"/>
        <v>0</v>
      </c>
      <c r="IO51" s="455">
        <f t="shared" si="27"/>
        <v>0</v>
      </c>
      <c r="IP51" s="455">
        <f t="shared" si="27"/>
        <v>0</v>
      </c>
      <c r="IQ51" s="455">
        <f t="shared" si="27"/>
        <v>0</v>
      </c>
      <c r="IR51" s="455">
        <f t="shared" si="27"/>
        <v>0</v>
      </c>
      <c r="IS51" s="455">
        <f t="shared" si="27"/>
        <v>0</v>
      </c>
      <c r="IT51" s="455">
        <f t="shared" si="27"/>
        <v>0</v>
      </c>
      <c r="IU51" s="455">
        <f t="shared" si="27"/>
        <v>0</v>
      </c>
      <c r="IV51" s="455">
        <f t="shared" si="27"/>
        <v>0</v>
      </c>
      <c r="IX51" s="326">
        <f>SUM(E51:IK51)</f>
        <v>9.9650030392564339</v>
      </c>
    </row>
    <row r="52" spans="1:258">
      <c r="A52" s="319">
        <v>1</v>
      </c>
      <c r="B52" s="583" t="s">
        <v>297</v>
      </c>
      <c r="C52" s="583"/>
      <c r="D52" s="328" t="s">
        <v>453</v>
      </c>
      <c r="E52" s="456">
        <f>IF(SUM(E48:E49)=0,E57*E45/1000,0)</f>
        <v>0</v>
      </c>
      <c r="F52" s="456">
        <f>IF(SUM($E$48:F49)=0,F57*F45/1000,0)</f>
        <v>1.5959999999999999</v>
      </c>
      <c r="G52" s="456">
        <f>IF(SUM($E$48:G49)=0,G57*G45/1000,0)</f>
        <v>1.6786499999999998</v>
      </c>
      <c r="H52" s="456">
        <f>IF(SUM($E$48:H49)=0,H57*H45/1000,0)</f>
        <v>1.543275</v>
      </c>
      <c r="I52" s="456">
        <f>IF(SUM($E$48:I49)=0,I57*I45/1000,0)</f>
        <v>1.5149816249999999</v>
      </c>
      <c r="J52" s="456">
        <f>IF(SUM($E$48:J49)=0,J57*J45/1000,0)</f>
        <v>1.3928056874999999</v>
      </c>
      <c r="K52" s="456">
        <f>IF(SUM($E$48:K49)=0,K57*K45/1000,0)</f>
        <v>1.3672709165624997</v>
      </c>
      <c r="L52" s="456">
        <f>IF(SUM($E$48:L49)=0,L57*L45/1000,0)</f>
        <v>1.2989073707343748</v>
      </c>
      <c r="M52" s="456">
        <f>IF(SUM($E$48:M49)=0,M57*M45/1000,0)</f>
        <v>1.1941567763203123</v>
      </c>
      <c r="N52" s="456">
        <f>IF(SUM($E$48:N49)=0,N57*N45/1000,0)</f>
        <v>1.1722639020877732</v>
      </c>
      <c r="O52" s="456">
        <f>IF(SUM($E$48:O49)=0,O57*O45/1000,0)</f>
        <v>1.0777264906290818</v>
      </c>
      <c r="P52" s="456">
        <f>IF(SUM($E$48:P49)=0,P57*P45/1000,0)</f>
        <v>1.0579681716342153</v>
      </c>
      <c r="Q52" s="456">
        <f>IF(SUM($E$48:Q49)=0,Q57*Q45/1000,0)</f>
        <v>1.0050697630525045</v>
      </c>
      <c r="R52" s="456">
        <f>IF(SUM($E$48:R49)=0,R57*R45/1000,0)</f>
        <v>0.86241469990956832</v>
      </c>
      <c r="S52" s="456">
        <f>IF(SUM($E$48:S49)=0,S57*S45/1000,0)</f>
        <v>0.90707546115488513</v>
      </c>
      <c r="T52" s="456">
        <f>IF(SUM($E$48:T49)=0,T57*T45/1000,0)</f>
        <v>0.8339242142875557</v>
      </c>
      <c r="U52" s="456">
        <f>IF(SUM($E$48:U49)=0,U57*U45/1000,0)</f>
        <v>0.81863560369228394</v>
      </c>
      <c r="V52" s="456">
        <f>IF(SUM($E$48:V49)=0,V57*V45/1000,0)</f>
        <v>0.75261660339451908</v>
      </c>
      <c r="W52" s="456">
        <f>IF(SUM($E$48:W49)=0,W57*W45/1000,0)</f>
        <v>0.73881863233228628</v>
      </c>
      <c r="X52" s="456">
        <f>IF(SUM($E$48:X49)=0,X57*X45/1000,0)</f>
        <v>0.70187770071567179</v>
      </c>
      <c r="Y52" s="456">
        <f>IF(SUM($E$48:Y49)=0,Y57*Y45/1000,0)</f>
        <v>0.64527466033537573</v>
      </c>
      <c r="Z52" s="456">
        <f>IF(SUM($E$48:Z49)=0,Z57*Z45/1000,0)</f>
        <v>0.6334446248958937</v>
      </c>
      <c r="AA52" s="456">
        <f>IF(SUM($E$48:AA49)=0,AA57*AA45/1000,0)</f>
        <v>0.58236038095267662</v>
      </c>
      <c r="AB52" s="456">
        <f>IF(SUM($E$48:AB49)=0,AB57*AB45/1000,0)</f>
        <v>0.57168377396854408</v>
      </c>
      <c r="AC52" s="456">
        <f>IF(SUM($E$48:AC49)=0,AC57*AC45/1000,0)</f>
        <v>0.54309958527011681</v>
      </c>
      <c r="AD52" s="456">
        <f>IF(SUM($E$48:AD49)=0,AD57*AD45/1000,0)</f>
        <v>0.46601448284468083</v>
      </c>
      <c r="AE52" s="456">
        <f>IF(SUM($E$48:AE49)=0,AE57*AE45/1000,0)</f>
        <v>0.49014737570628036</v>
      </c>
      <c r="AF52" s="456">
        <f>IF(SUM($E$48:AF49)=0,AF57*AF45/1000,0)</f>
        <v>0.45061936153641902</v>
      </c>
      <c r="AG52" s="456">
        <f>IF(SUM($E$48:AG49)=0,AG57*AG45/1000,0)</f>
        <v>0.44235800657491803</v>
      </c>
      <c r="AH52" s="456">
        <f>IF(SUM($E$48:AH49)=0,AH57*AH45/1000,0)</f>
        <v>0.40668397378661814</v>
      </c>
      <c r="AI52" s="456">
        <f>IF(SUM($E$48:AI49)=0,AI57*AI45/1000,0)</f>
        <v>0.39922810093386346</v>
      </c>
      <c r="AJ52" s="456">
        <f>IF(SUM($E$48:AJ49)=0,AJ57*AJ45/1000,0)</f>
        <v>0.37926669588717027</v>
      </c>
      <c r="AK52" s="456">
        <f>IF(SUM($E$48:AK49)=0,AK57*AK45/1000,0)</f>
        <v>0.34868067202530162</v>
      </c>
      <c r="AL52" s="456">
        <f>IF(SUM($E$48:AL49)=0,AL57*AL45/1000,0)</f>
        <v>0.34228819303817115</v>
      </c>
      <c r="AM52" s="456">
        <f>IF(SUM($E$48:AM49)=0,AM57*AM45/1000,0)</f>
        <v>0.3146843065028348</v>
      </c>
      <c r="AN52" s="456">
        <f>IF(SUM($E$48:AN49)=0,AN57*AN45/1000,0)</f>
        <v>0.30891509421694946</v>
      </c>
      <c r="AO52" s="456">
        <f>IF(SUM($E$48:AO49)=0,AO57*AO45/1000,0)</f>
        <v>0</v>
      </c>
      <c r="AP52" s="456">
        <f>IF(SUM($E$48:AP49)=0,AP57*AP45/1000,0)</f>
        <v>0</v>
      </c>
      <c r="AQ52" s="456">
        <f>IF(SUM($E$48:AQ49)=0,AQ57*AQ45/1000,0)</f>
        <v>0</v>
      </c>
      <c r="AR52" s="456">
        <f>IF(SUM($E$48:AR49)=0,AR57*AR45/1000,0)</f>
        <v>0</v>
      </c>
      <c r="AS52" s="456">
        <f>IF(SUM($E$48:AS49)=0,AS57*AS45/1000,0)</f>
        <v>0</v>
      </c>
      <c r="AT52" s="456">
        <f>IF(SUM($E$48:AT49)=0,AT57*AT45/1000,0)</f>
        <v>0</v>
      </c>
      <c r="AU52" s="456">
        <f>IF(SUM($E$48:AU49)=0,AU57*AU45/1000,0)</f>
        <v>0</v>
      </c>
      <c r="AV52" s="456">
        <f>IF(SUM($E$48:AV49)=0,AV57*AV45/1000,0)</f>
        <v>0</v>
      </c>
      <c r="AW52" s="456">
        <f>IF(SUM($E$48:AW49)=0,AW57*AW45/1000,0)</f>
        <v>0</v>
      </c>
      <c r="AX52" s="456">
        <f>IF(SUM($E$48:AX49)=0,AX57*AX45/1000,0)</f>
        <v>0</v>
      </c>
      <c r="AY52" s="456">
        <f>IF(SUM($E$48:AY49)=0,AY57*AY45/1000,0)</f>
        <v>0</v>
      </c>
      <c r="AZ52" s="456">
        <f>IF(SUM($E$48:AZ49)=0,AZ57*AZ45/1000,0)</f>
        <v>0</v>
      </c>
      <c r="BA52" s="456">
        <f>IF(SUM($E$48:BA49)=0,BA57*BA45/1000,0)</f>
        <v>0</v>
      </c>
      <c r="BB52" s="456">
        <f>IF(SUM($E$48:BB49)=0,BB57*BB45/1000,0)</f>
        <v>0</v>
      </c>
      <c r="BC52" s="456">
        <f>IF(SUM($E$48:BC49)=0,BC57*BC45/1000,0)</f>
        <v>0</v>
      </c>
      <c r="BD52" s="456">
        <f>IF(SUM($E$48:BD49)=0,BD57*BD45/1000,0)</f>
        <v>0</v>
      </c>
      <c r="BE52" s="456">
        <f>IF(SUM($E$48:BE49)=0,BE57*BE45/1000,0)</f>
        <v>0</v>
      </c>
      <c r="BF52" s="456">
        <f>IF(SUM($E$48:BF49)=0,BF57*BF45/1000,0)</f>
        <v>0</v>
      </c>
      <c r="BG52" s="456">
        <f>IF(SUM($E$48:BG49)=0,BG57*BG45/1000,0)</f>
        <v>0</v>
      </c>
      <c r="BH52" s="456">
        <f>IF(SUM($E$48:BH49)=0,BH57*BH45/1000,0)</f>
        <v>0</v>
      </c>
      <c r="BI52" s="456">
        <f>IF(SUM($E$48:BI49)=0,BI57*BI45/1000,0)</f>
        <v>0</v>
      </c>
      <c r="BJ52" s="456">
        <f>IF(SUM($E$48:BJ49)=0,BJ57*BJ45/1000,0)</f>
        <v>0</v>
      </c>
      <c r="BK52" s="456">
        <f>IF(SUM($E$48:BK49)=0,BK57*BK45/1000,0)</f>
        <v>0</v>
      </c>
      <c r="BL52" s="456">
        <f>IF(SUM($E$48:BL49)=0,BL57*BL45/1000,0)</f>
        <v>0</v>
      </c>
      <c r="BM52" s="456">
        <f>IF(SUM($E$48:BM49)=0,BM57*BM45/1000,0)</f>
        <v>0</v>
      </c>
      <c r="BN52" s="456">
        <f>IF(SUM($E$48:BN49)=0,BN57*BN45/1000,0)</f>
        <v>0</v>
      </c>
      <c r="BO52" s="456">
        <f>IF(SUM($E$48:BO49)=0,BO57*BO45/1000,0)</f>
        <v>0</v>
      </c>
      <c r="BP52" s="456">
        <f>IF(SUM($E$48:BP49)=0,BP57*BP45/1000,0)</f>
        <v>0</v>
      </c>
      <c r="BQ52" s="456">
        <f>IF(SUM($E$48:BQ49)=0,BQ57*BQ45/1000,0)</f>
        <v>0</v>
      </c>
      <c r="BR52" s="456">
        <f>IF(SUM($E$48:BR49)=0,BR57*BR45/1000,0)</f>
        <v>0</v>
      </c>
      <c r="BS52" s="456">
        <f>IF(SUM($E$48:BS49)=0,BS57*BS45/1000,0)</f>
        <v>0</v>
      </c>
      <c r="BT52" s="456">
        <f>IF(SUM($E$48:BT49)=0,BT57*BT45/1000,0)</f>
        <v>0</v>
      </c>
      <c r="BU52" s="456">
        <f>IF(SUM($E$48:BU49)=0,BU57*BU45/1000,0)</f>
        <v>0</v>
      </c>
      <c r="BV52" s="456">
        <f>IF(SUM($E$48:BV49)=0,BV57*BV45/1000,0)</f>
        <v>0</v>
      </c>
      <c r="BW52" s="456">
        <f>IF(SUM($E$48:BW49)=0,BW57*BW45/1000,0)</f>
        <v>0</v>
      </c>
      <c r="BX52" s="456">
        <f>IF(SUM($E$48:BX49)=0,BX57*BX45/1000,0)</f>
        <v>0</v>
      </c>
      <c r="BY52" s="456">
        <f>IF(SUM($E$48:BY49)=0,BY57*BY45/1000,0)</f>
        <v>0</v>
      </c>
      <c r="BZ52" s="456">
        <f>IF(SUM($E$48:BZ49)=0,BZ57*BZ45/1000,0)</f>
        <v>0</v>
      </c>
      <c r="CA52" s="456">
        <f>IF(SUM($E$48:CA49)=0,CA57*CA45/1000,0)</f>
        <v>0</v>
      </c>
      <c r="CB52" s="456">
        <f>IF(SUM($E$48:CB49)=0,CB57*CB45/1000,0)</f>
        <v>0</v>
      </c>
      <c r="CC52" s="456">
        <f>IF(SUM($E$48:CC49)=0,CC57*CC45/1000,0)</f>
        <v>0</v>
      </c>
      <c r="CD52" s="456">
        <f>IF(SUM($E$48:CD49)=0,CD57*CD45/1000,0)</f>
        <v>0</v>
      </c>
      <c r="CE52" s="456">
        <f>IF(SUM($E$48:CE49)=0,CE57*CE45/1000,0)</f>
        <v>0</v>
      </c>
      <c r="CF52" s="456">
        <f>IF(SUM($E$48:CF49)=0,CF57*CF45/1000,0)</f>
        <v>0</v>
      </c>
      <c r="CG52" s="456">
        <f>IF(SUM($E$48:CG49)=0,CG57*CG45/1000,0)</f>
        <v>0</v>
      </c>
      <c r="CH52" s="456">
        <f>IF(SUM($E$48:CH49)=0,CH57*CH45/1000,0)</f>
        <v>0</v>
      </c>
      <c r="CI52" s="456">
        <f>IF(SUM($E$48:CI49)=0,CI57*CI45/1000,0)</f>
        <v>0</v>
      </c>
      <c r="CJ52" s="456">
        <f>IF(SUM($E$48:CJ49)=0,CJ57*CJ45/1000,0)</f>
        <v>0</v>
      </c>
      <c r="CK52" s="456">
        <f>IF(SUM($E$48:CK49)=0,CK57*CK45/1000,0)</f>
        <v>0</v>
      </c>
      <c r="CL52" s="456">
        <f>IF(SUM($E$48:CL49)=0,CL57*CL45/1000,0)</f>
        <v>0</v>
      </c>
      <c r="CM52" s="456">
        <f>IF(SUM($E$48:CM49)=0,CM57*CM45/1000,0)</f>
        <v>0</v>
      </c>
      <c r="CN52" s="456">
        <f>IF(SUM($E$48:CN49)=0,CN57*CN45/1000,0)</f>
        <v>0</v>
      </c>
      <c r="CO52" s="456">
        <f>IF(SUM($E$48:CO49)=0,CO57*CO45/1000,0)</f>
        <v>0</v>
      </c>
      <c r="CP52" s="456">
        <f>IF(SUM($E$48:CP49)=0,CP57*CP45/1000,0)</f>
        <v>0</v>
      </c>
      <c r="CQ52" s="456">
        <f>IF(SUM($E$48:CQ49)=0,CQ57*CQ45/1000,0)</f>
        <v>0</v>
      </c>
      <c r="CR52" s="456">
        <f>IF(SUM($E$48:CR49)=0,CR57*CR45/1000,0)</f>
        <v>0</v>
      </c>
      <c r="CS52" s="456">
        <f>IF(SUM($E$48:CS49)=0,CS57*CS45/1000,0)</f>
        <v>0</v>
      </c>
      <c r="CT52" s="456">
        <f>IF(SUM($E$48:CT49)=0,CT57*CT45/1000,0)</f>
        <v>0</v>
      </c>
      <c r="CU52" s="456">
        <f>IF(SUM($E$48:CU49)=0,CU57*CU45/1000,0)</f>
        <v>0</v>
      </c>
      <c r="CV52" s="456">
        <f>IF(SUM($E$48:CV49)=0,CV57*CV45/1000,0)</f>
        <v>0</v>
      </c>
      <c r="CW52" s="456">
        <f>IF(SUM($E$48:CW49)=0,CW57*CW45/1000,0)</f>
        <v>0</v>
      </c>
      <c r="CX52" s="456">
        <f>IF(SUM($E$48:CX49)=0,CX57*CX45/1000,0)</f>
        <v>0</v>
      </c>
      <c r="CY52" s="456">
        <f>IF(SUM($E$48:CY49)=0,CY57*CY45/1000,0)</f>
        <v>0</v>
      </c>
      <c r="CZ52" s="456">
        <f>IF(SUM($E$48:CZ49)=0,CZ57*CZ45/1000,0)</f>
        <v>0</v>
      </c>
      <c r="DA52" s="456">
        <f>IF(SUM($E$48:DA49)=0,DA57*DA45/1000,0)</f>
        <v>0</v>
      </c>
      <c r="DB52" s="456">
        <f>IF(SUM($E$48:DB49)=0,DB57*DB45/1000,0)</f>
        <v>0</v>
      </c>
      <c r="DC52" s="456">
        <f>IF(SUM($E$48:DC49)=0,DC57*DC45/1000,0)</f>
        <v>0</v>
      </c>
      <c r="DD52" s="456">
        <f>IF(SUM($E$48:DD49)=0,DD57*DD45/1000,0)</f>
        <v>0</v>
      </c>
      <c r="DE52" s="456">
        <f>IF(SUM($E$48:DE49)=0,DE57*DE45/1000,0)</f>
        <v>0</v>
      </c>
      <c r="DF52" s="456">
        <f>IF(SUM($E$48:DF49)=0,DF57*DF45/1000,0)</f>
        <v>0</v>
      </c>
      <c r="DG52" s="456">
        <f>IF(SUM($E$48:DG49)=0,DG57*DG45/1000,0)</f>
        <v>0</v>
      </c>
      <c r="DH52" s="456">
        <f>IF(SUM($E$48:DH49)=0,DH57*DH45/1000,0)</f>
        <v>0</v>
      </c>
      <c r="DI52" s="456">
        <f>IF(SUM($E$48:DI49)=0,DI57*DI45/1000,0)</f>
        <v>0</v>
      </c>
      <c r="DJ52" s="456">
        <f>IF(SUM($E$48:DJ49)=0,DJ57*DJ45/1000,0)</f>
        <v>0</v>
      </c>
      <c r="DK52" s="456">
        <f>IF(SUM($E$48:DK49)=0,DK57*DK45/1000,0)</f>
        <v>0</v>
      </c>
      <c r="DL52" s="456">
        <f>IF(SUM($E$48:DL49)=0,DL57*DL45/1000,0)</f>
        <v>0</v>
      </c>
      <c r="DM52" s="456">
        <f>IF(SUM($E$48:DM49)=0,DM57*DM45/1000,0)</f>
        <v>0</v>
      </c>
      <c r="DN52" s="456">
        <f>IF(SUM($E$48:DN49)=0,DN57*DN45/1000,0)</f>
        <v>0</v>
      </c>
      <c r="DO52" s="456">
        <f>IF(SUM($E$48:DO49)=0,DO57*DO45/1000,0)</f>
        <v>0</v>
      </c>
      <c r="DP52" s="456">
        <f>IF(SUM($E$48:DP49)=0,DP57*DP45/1000,0)</f>
        <v>0</v>
      </c>
      <c r="DQ52" s="456">
        <f>IF(SUM($E$48:DQ49)=0,DQ57*DQ45/1000,0)</f>
        <v>0</v>
      </c>
      <c r="DR52" s="456">
        <f>IF(SUM($E$48:DR49)=0,DR57*DR45/1000,0)</f>
        <v>0</v>
      </c>
      <c r="DS52" s="456">
        <f>IF(SUM($E$48:DS49)=0,DS57*DS45/1000,0)</f>
        <v>0</v>
      </c>
      <c r="DT52" s="456">
        <f>IF(SUM($E$48:DT49)=0,DT57*DT45/1000,0)</f>
        <v>0</v>
      </c>
      <c r="DU52" s="456">
        <f>IF(SUM($E$48:DU49)=0,DU57*DU45/1000,0)</f>
        <v>0</v>
      </c>
      <c r="DV52" s="456">
        <f>IF(SUM($E$48:DV49)=0,DV57*DV45/1000,0)</f>
        <v>0</v>
      </c>
      <c r="DW52" s="456">
        <f>IF(SUM($E$48:DW49)=0,DW57*DW45/1000,0)</f>
        <v>0</v>
      </c>
      <c r="DX52" s="456">
        <f>IF(SUM($E$48:DX49)=0,DX57*DX45/1000,0)</f>
        <v>0</v>
      </c>
      <c r="DY52" s="456">
        <f>IF(SUM($E$48:DY49)=0,DY57*DY45/1000,0)</f>
        <v>0</v>
      </c>
      <c r="DZ52" s="456">
        <f>IF(SUM($E$48:DZ49)=0,DZ57*DZ45/1000,0)</f>
        <v>0</v>
      </c>
      <c r="EA52" s="456">
        <f>IF(SUM($E$48:EA49)=0,EA57*EA45/1000,0)</f>
        <v>0</v>
      </c>
      <c r="EB52" s="456">
        <f>IF(SUM($E$48:EB49)=0,EB57*EB45/1000,0)</f>
        <v>0</v>
      </c>
      <c r="EC52" s="456">
        <f>IF(SUM($E$48:EC49)=0,EC57*EC45/1000,0)</f>
        <v>0</v>
      </c>
      <c r="ED52" s="456">
        <f>IF(SUM($E$48:ED49)=0,ED57*ED45/1000,0)</f>
        <v>0</v>
      </c>
      <c r="EE52" s="456">
        <f>IF(SUM($E$48:EE49)=0,EE57*EE45/1000,0)</f>
        <v>0</v>
      </c>
      <c r="EF52" s="456">
        <f>IF(SUM($E$48:EF49)=0,EF57*EF45/1000,0)</f>
        <v>0</v>
      </c>
      <c r="EG52" s="456">
        <f>IF(SUM($E$48:EG49)=0,EG57*EG45/1000,0)</f>
        <v>0</v>
      </c>
      <c r="EH52" s="456">
        <f>IF(SUM($E$48:EH49)=0,EH57*EH45/1000,0)</f>
        <v>0</v>
      </c>
      <c r="EI52" s="456">
        <f>IF(SUM($E$48:EI49)=0,EI57*EI45/1000,0)</f>
        <v>0</v>
      </c>
      <c r="EJ52" s="456">
        <f>IF(SUM($E$48:EJ49)=0,EJ57*EJ45/1000,0)</f>
        <v>0</v>
      </c>
      <c r="EK52" s="456">
        <f>IF(SUM($E$48:EK49)=0,EK57*EK45/1000,0)</f>
        <v>0</v>
      </c>
      <c r="EL52" s="456">
        <f>IF(SUM($E$48:EL49)=0,EL57*EL45/1000,0)</f>
        <v>0</v>
      </c>
      <c r="EM52" s="456">
        <f>IF(SUM($E$48:EM49)=0,EM57*EM45/1000,0)</f>
        <v>0</v>
      </c>
      <c r="EN52" s="456">
        <f>IF(SUM($E$48:EN49)=0,EN57*EN45/1000,0)</f>
        <v>0</v>
      </c>
      <c r="EO52" s="456">
        <f>IF(SUM($E$48:EO49)=0,EO57*EO45/1000,0)</f>
        <v>0</v>
      </c>
      <c r="EP52" s="456">
        <f>IF(SUM($E$48:EP49)=0,EP57*EP45/1000,0)</f>
        <v>0</v>
      </c>
      <c r="EQ52" s="456">
        <f>IF(SUM($E$48:EQ49)=0,EQ57*EQ45/1000,0)</f>
        <v>0</v>
      </c>
      <c r="ER52" s="456">
        <f>IF(SUM($E$48:ER49)=0,ER57*ER45/1000,0)</f>
        <v>0</v>
      </c>
      <c r="ES52" s="456">
        <f>IF(SUM($E$48:ES49)=0,ES57*ES45/1000,0)</f>
        <v>0</v>
      </c>
      <c r="ET52" s="456">
        <f>IF(SUM($E$48:ET49)=0,ET57*ET45/1000,0)</f>
        <v>0</v>
      </c>
      <c r="EU52" s="456">
        <f>IF(SUM($E$48:EU49)=0,EU57*EU45/1000,0)</f>
        <v>0</v>
      </c>
      <c r="EV52" s="456">
        <f>IF(SUM($E$48:EV49)=0,EV57*EV45/1000,0)</f>
        <v>0</v>
      </c>
      <c r="EW52" s="456">
        <f>IF(SUM($E$48:EW49)=0,EW57*EW45/1000,0)</f>
        <v>0</v>
      </c>
      <c r="EX52" s="456">
        <f>IF(SUM($E$48:EX49)=0,EX57*EX45/1000,0)</f>
        <v>0</v>
      </c>
      <c r="EY52" s="456">
        <f>IF(SUM($E$48:EY49)=0,EY57*EY45/1000,0)</f>
        <v>0</v>
      </c>
      <c r="EZ52" s="456">
        <f>IF(SUM($E$48:EZ49)=0,EZ57*EZ45/1000,0)</f>
        <v>0</v>
      </c>
      <c r="FA52" s="456">
        <f>IF(SUM($E$48:FA49)=0,FA57*FA45/1000,0)</f>
        <v>0</v>
      </c>
      <c r="FB52" s="456">
        <f>IF(SUM($E$48:FB49)=0,FB57*FB45/1000,0)</f>
        <v>0</v>
      </c>
      <c r="FC52" s="456">
        <f>IF(SUM($E$48:FC49)=0,FC57*FC45/1000,0)</f>
        <v>0</v>
      </c>
      <c r="FD52" s="456">
        <f>IF(SUM($E$48:FD49)=0,FD57*FD45/1000,0)</f>
        <v>0</v>
      </c>
      <c r="FE52" s="456">
        <f>IF(SUM($E$48:FE49)=0,FE57*FE45/1000,0)</f>
        <v>0</v>
      </c>
      <c r="FF52" s="456">
        <f>IF(SUM($E$48:FF49)=0,FF57*FF45/1000,0)</f>
        <v>0</v>
      </c>
      <c r="FG52" s="456">
        <f>IF(SUM($E$48:FG49)=0,FG57*FG45/1000,0)</f>
        <v>0</v>
      </c>
      <c r="FH52" s="456">
        <f>IF(SUM($E$48:FH49)=0,FH57*FH45/1000,0)</f>
        <v>0</v>
      </c>
      <c r="FI52" s="456">
        <f>IF(SUM($E$48:FI49)=0,FI57*FI45/1000,0)</f>
        <v>0</v>
      </c>
      <c r="FJ52" s="456">
        <f>IF(SUM($E$48:FJ49)=0,FJ57*FJ45/1000,0)</f>
        <v>0</v>
      </c>
      <c r="FK52" s="456">
        <f>IF(SUM($E$48:FK49)=0,FK57*FK45/1000,0)</f>
        <v>0</v>
      </c>
      <c r="FL52" s="456">
        <f>IF(SUM($E$48:FL49)=0,FL57*FL45/1000,0)</f>
        <v>0</v>
      </c>
      <c r="FM52" s="456">
        <f>IF(SUM($E$48:FM49)=0,FM57*FM45/1000,0)</f>
        <v>0</v>
      </c>
      <c r="FN52" s="456">
        <f>IF(SUM($E$48:FN49)=0,FN57*FN45/1000,0)</f>
        <v>0</v>
      </c>
      <c r="FO52" s="456">
        <f>IF(SUM($E$48:FO49)=0,FO57*FO45/1000,0)</f>
        <v>0</v>
      </c>
      <c r="FP52" s="456">
        <f>IF(SUM($E$48:FP49)=0,FP57*FP45/1000,0)</f>
        <v>0</v>
      </c>
      <c r="FQ52" s="456">
        <f>IF(SUM($E$48:FQ49)=0,FQ57*FQ45/1000,0)</f>
        <v>0</v>
      </c>
      <c r="FR52" s="456">
        <f>IF(SUM($E$48:FR49)=0,FR57*FR45/1000,0)</f>
        <v>0</v>
      </c>
      <c r="FS52" s="456">
        <f>IF(SUM($E$48:FS49)=0,FS57*FS45/1000,0)</f>
        <v>0</v>
      </c>
      <c r="FT52" s="456">
        <f>IF(SUM($E$48:FT49)=0,FT57*FT45/1000,0)</f>
        <v>0</v>
      </c>
      <c r="FU52" s="456">
        <f>IF(SUM($E$48:FU49)=0,FU57*FU45/1000,0)</f>
        <v>0</v>
      </c>
      <c r="FV52" s="456">
        <f>IF(SUM($E$48:FV49)=0,FV57*FV45/1000,0)</f>
        <v>0</v>
      </c>
      <c r="FW52" s="456">
        <f>IF(SUM($E$48:FW49)=0,FW57*FW45/1000,0)</f>
        <v>0</v>
      </c>
      <c r="FX52" s="456">
        <f>IF(SUM($E$48:FX49)=0,FX57*FX45/1000,0)</f>
        <v>0</v>
      </c>
      <c r="FY52" s="456">
        <f>IF(SUM($E$48:FY49)=0,FY57*FY45/1000,0)</f>
        <v>0</v>
      </c>
      <c r="FZ52" s="456">
        <f>IF(SUM($E$48:FZ49)=0,FZ57*FZ45/1000,0)</f>
        <v>0</v>
      </c>
      <c r="GA52" s="456">
        <f>IF(SUM($E$48:GA49)=0,GA57*GA45/1000,0)</f>
        <v>0</v>
      </c>
      <c r="GB52" s="456">
        <f>IF(SUM($E$48:GB49)=0,GB57*GB45/1000,0)</f>
        <v>0</v>
      </c>
      <c r="GC52" s="456">
        <f>IF(SUM($E$48:GC49)=0,GC57*GC45/1000,0)</f>
        <v>0</v>
      </c>
      <c r="GD52" s="456">
        <f>IF(SUM($E$48:GD49)=0,GD57*GD45/1000,0)</f>
        <v>0</v>
      </c>
      <c r="GE52" s="456">
        <f>IF(SUM($E$48:GE49)=0,GE57*GE45/1000,0)</f>
        <v>0</v>
      </c>
      <c r="GF52" s="456">
        <f>IF(SUM($E$48:GF49)=0,GF57*GF45/1000,0)</f>
        <v>0</v>
      </c>
      <c r="GG52" s="456">
        <f>IF(SUM($E$48:GG49)=0,GG57*GG45/1000,0)</f>
        <v>0</v>
      </c>
      <c r="GH52" s="456">
        <f>IF(SUM($E$48:GH49)=0,GH57*GH45/1000,0)</f>
        <v>0</v>
      </c>
      <c r="GI52" s="456">
        <f>IF(SUM($E$48:GI49)=0,GI57*GI45/1000,0)</f>
        <v>0</v>
      </c>
      <c r="GJ52" s="456">
        <f>IF(SUM($E$48:GJ49)=0,GJ57*GJ45/1000,0)</f>
        <v>0</v>
      </c>
      <c r="GK52" s="456">
        <f>IF(SUM($E$48:GK49)=0,GK57*GK45/1000,0)</f>
        <v>0</v>
      </c>
      <c r="GL52" s="456">
        <f>IF(SUM($E$48:GL49)=0,GL57*GL45/1000,0)</f>
        <v>0</v>
      </c>
      <c r="GM52" s="456">
        <f>IF(SUM($E$48:GM49)=0,GM57*GM45/1000,0)</f>
        <v>0</v>
      </c>
      <c r="GN52" s="456">
        <f>IF(SUM($E$48:GN49)=0,GN57*GN45/1000,0)</f>
        <v>0</v>
      </c>
      <c r="GO52" s="456">
        <f>IF(SUM($E$48:GO49)=0,GO57*GO45/1000,0)</f>
        <v>0</v>
      </c>
      <c r="GP52" s="456">
        <f>IF(SUM($E$48:GP49)=0,GP57*GP45/1000,0)</f>
        <v>0</v>
      </c>
      <c r="GQ52" s="456">
        <f>IF(SUM($E$48:GQ49)=0,GQ57*GQ45/1000,0)</f>
        <v>0</v>
      </c>
      <c r="GR52" s="456">
        <f>IF(SUM($E$48:GR49)=0,GR57*GR45/1000,0)</f>
        <v>0</v>
      </c>
      <c r="GS52" s="456">
        <f>IF(SUM($E$48:GS49)=0,GS57*GS45/1000,0)</f>
        <v>0</v>
      </c>
      <c r="GT52" s="456">
        <f>IF(SUM($E$48:GT49)=0,GT57*GT45/1000,0)</f>
        <v>0</v>
      </c>
      <c r="GU52" s="456">
        <f>IF(SUM($E$48:GU49)=0,GU57*GU45/1000,0)</f>
        <v>0</v>
      </c>
      <c r="GV52" s="456">
        <f>IF(SUM($E$48:GV49)=0,GV57*GV45/1000,0)</f>
        <v>0</v>
      </c>
      <c r="GW52" s="456">
        <f>IF(SUM($E$48:GW49)=0,GW57*GW45/1000,0)</f>
        <v>0</v>
      </c>
      <c r="GX52" s="456">
        <f>IF(SUM($E$48:GX49)=0,GX57*GX45/1000,0)</f>
        <v>0</v>
      </c>
      <c r="GY52" s="456">
        <f>IF(SUM($E$48:GY49)=0,GY57*GY45/1000,0)</f>
        <v>0</v>
      </c>
      <c r="GZ52" s="456">
        <f>IF(SUM($E$48:GZ49)=0,GZ57*GZ45/1000,0)</f>
        <v>0</v>
      </c>
      <c r="HA52" s="456">
        <f>IF(SUM($E$48:HA49)=0,HA57*HA45/1000,0)</f>
        <v>0</v>
      </c>
      <c r="HB52" s="456">
        <f>IF(SUM($E$48:HB49)=0,HB57*HB45/1000,0)</f>
        <v>0</v>
      </c>
      <c r="HC52" s="456">
        <f>IF(SUM($E$48:HC49)=0,HC57*HC45/1000,0)</f>
        <v>0</v>
      </c>
      <c r="HD52" s="456">
        <f>IF(SUM($E$48:HD49)=0,HD57*HD45/1000,0)</f>
        <v>0</v>
      </c>
      <c r="HE52" s="456">
        <f>IF(SUM($E$48:HE49)=0,HE57*HE45/1000,0)</f>
        <v>0</v>
      </c>
      <c r="HF52" s="456">
        <f>IF(SUM($E$48:HF49)=0,HF57*HF45/1000,0)</f>
        <v>0</v>
      </c>
      <c r="HG52" s="456">
        <f>IF(SUM($E$48:HG49)=0,HG57*HG45/1000,0)</f>
        <v>0</v>
      </c>
      <c r="HH52" s="456">
        <f>IF(SUM($E$48:HH49)=0,HH57*HH45/1000,0)</f>
        <v>0</v>
      </c>
      <c r="HI52" s="456">
        <f>IF(SUM($E$48:HI49)=0,HI57*HI45/1000,0)</f>
        <v>0</v>
      </c>
      <c r="HJ52" s="456">
        <f>IF(SUM($E$48:HJ49)=0,HJ57*HJ45/1000,0)</f>
        <v>0</v>
      </c>
      <c r="HK52" s="456">
        <f>IF(SUM($E$48:HK49)=0,HK57*HK45/1000,0)</f>
        <v>0</v>
      </c>
      <c r="HL52" s="456">
        <f>IF(SUM($E$48:HL49)=0,HL57*HL45/1000,0)</f>
        <v>0</v>
      </c>
      <c r="HM52" s="456">
        <f>IF(SUM($E$48:HM49)=0,HM57*HM45/1000,0)</f>
        <v>0</v>
      </c>
      <c r="HN52" s="456">
        <f>IF(SUM($E$48:HN49)=0,HN57*HN45/1000,0)</f>
        <v>0</v>
      </c>
      <c r="HO52" s="456">
        <f>IF(SUM($E$48:HO49)=0,HO57*HO45/1000,0)</f>
        <v>0</v>
      </c>
      <c r="HP52" s="456">
        <f>IF(SUM($E$48:HP49)=0,HP57*HP45/1000,0)</f>
        <v>0</v>
      </c>
      <c r="HQ52" s="456">
        <f>IF(SUM($E$48:HQ49)=0,HQ57*HQ45/1000,0)</f>
        <v>0</v>
      </c>
      <c r="HR52" s="456">
        <f>IF(SUM($E$48:HR49)=0,HR57*HR45/1000,0)</f>
        <v>0</v>
      </c>
      <c r="HS52" s="456">
        <f>IF(SUM($E$48:HS49)=0,HS57*HS45/1000,0)</f>
        <v>0</v>
      </c>
      <c r="HT52" s="456">
        <f>IF(SUM($E$48:HT49)=0,HT57*HT45/1000,0)</f>
        <v>0</v>
      </c>
      <c r="HU52" s="456">
        <f>IF(SUM($E$48:HU49)=0,HU57*HU45/1000,0)</f>
        <v>0</v>
      </c>
      <c r="HV52" s="456">
        <f>IF(SUM($E$48:HV49)=0,HV57*HV45/1000,0)</f>
        <v>0</v>
      </c>
      <c r="HW52" s="456">
        <f>IF(SUM($E$48:HW49)=0,HW57*HW45/1000,0)</f>
        <v>0</v>
      </c>
      <c r="HX52" s="456">
        <f>IF(SUM($E$48:HX49)=0,HX57*HX45/1000,0)</f>
        <v>0</v>
      </c>
      <c r="HY52" s="456">
        <f>IF(SUM($E$48:HY49)=0,HY57*HY45/1000,0)</f>
        <v>0</v>
      </c>
      <c r="HZ52" s="456">
        <f>IF(SUM($E$48:HZ49)=0,HZ57*HZ45/1000,0)</f>
        <v>0</v>
      </c>
      <c r="IA52" s="456">
        <f>IF(SUM($E$48:IA49)=0,IA57*IA45/1000,0)</f>
        <v>0</v>
      </c>
      <c r="IB52" s="456">
        <f>IF(SUM($E$48:IB49)=0,IB57*IB45/1000,0)</f>
        <v>0</v>
      </c>
      <c r="IC52" s="456">
        <f>IF(SUM($E$48:IC49)=0,IC57*IC45/1000,0)</f>
        <v>0</v>
      </c>
      <c r="ID52" s="456">
        <f>IF(SUM($E$48:ID49)=0,ID57*ID45/1000,0)</f>
        <v>0</v>
      </c>
      <c r="IE52" s="456">
        <f>IF(SUM($E$48:IE49)=0,IE57*IE45/1000,0)</f>
        <v>0</v>
      </c>
      <c r="IF52" s="456">
        <f>IF(SUM($E$48:IF49)=0,IF57*IF45/1000,0)</f>
        <v>0</v>
      </c>
      <c r="IG52" s="456">
        <f>IF(SUM($E$48:IG49)=0,IG57*IG45/1000,0)</f>
        <v>0</v>
      </c>
      <c r="IH52" s="456">
        <f>IF(SUM($E$48:IH49)=0,IH57*IH45/1000,0)</f>
        <v>0</v>
      </c>
      <c r="II52" s="456">
        <f>IF(SUM($E$48:II49)=0,II57*II45/1000,0)</f>
        <v>0</v>
      </c>
      <c r="IJ52" s="456">
        <f>IF(SUM($E$48:IJ49)=0,IJ57*IJ45/1000,0)</f>
        <v>0</v>
      </c>
      <c r="IK52" s="456">
        <f>IF(SUM($E$48:IK49)=0,IK57*IK45/1000,0)</f>
        <v>0</v>
      </c>
      <c r="IL52" s="456">
        <f>IF(SUM($E$48:IL49)=0,IL57*IL45/1000,0)</f>
        <v>0</v>
      </c>
      <c r="IM52" s="456">
        <f>IF(SUM($E$48:IM49)=0,IM57*IM45/1000,0)</f>
        <v>0</v>
      </c>
      <c r="IN52" s="456">
        <f>IF(SUM($E$48:IN49)=0,IN57*IN45/1000,0)</f>
        <v>0</v>
      </c>
      <c r="IO52" s="456">
        <f>IF(SUM($E$48:IO49)=0,IO57*IO45/1000,0)</f>
        <v>0</v>
      </c>
      <c r="IP52" s="456">
        <f>IF(SUM($E$48:IP49)=0,IP57*IP45/1000,0)</f>
        <v>0</v>
      </c>
      <c r="IQ52" s="456">
        <f>IF(SUM($E$48:IQ49)=0,IQ57*IQ45/1000,0)</f>
        <v>0</v>
      </c>
      <c r="IR52" s="456">
        <f>IF(SUM($E$48:IR49)=0,IR57*IR45/1000,0)</f>
        <v>0</v>
      </c>
      <c r="IS52" s="456">
        <f>IF(SUM($E$48:IS49)=0,IS57*IS45/1000,0)</f>
        <v>0</v>
      </c>
      <c r="IT52" s="456">
        <f>IF(SUM($E$48:IT49)=0,IT57*IT45/1000,0)</f>
        <v>0</v>
      </c>
      <c r="IU52" s="456">
        <f>IF(SUM($E$48:IU49)=0,IU57*IU45/1000,0)</f>
        <v>0</v>
      </c>
      <c r="IV52" s="456">
        <f>IF(SUM($E$48:IV49)=0,IV57*IV45/1000,0)</f>
        <v>0</v>
      </c>
      <c r="IX52" s="323">
        <f>SUM(E52:IK52)</f>
        <v>28.839187907483339</v>
      </c>
    </row>
    <row r="53" spans="1:258">
      <c r="A53" s="319">
        <v>1</v>
      </c>
      <c r="B53" s="575" t="s">
        <v>419</v>
      </c>
      <c r="C53" s="575"/>
      <c r="D53" s="327" t="s">
        <v>454</v>
      </c>
      <c r="E53" s="327" t="str">
        <f>IFERROR(1-E52/(E54*$M$24),"")</f>
        <v/>
      </c>
      <c r="F53" s="327">
        <f t="shared" ref="F53:BQ53" si="28">IFERROR(1-F52/(F54*$M$24),"")</f>
        <v>0.31034482758620696</v>
      </c>
      <c r="G53" s="327">
        <f t="shared" si="28"/>
        <v>0.34482758620689657</v>
      </c>
      <c r="H53" s="327">
        <f t="shared" si="28"/>
        <v>0.37758620689655176</v>
      </c>
      <c r="I53" s="327">
        <f t="shared" si="28"/>
        <v>0.40870689655172421</v>
      </c>
      <c r="J53" s="327">
        <f t="shared" si="28"/>
        <v>0.43827155172413801</v>
      </c>
      <c r="K53" s="327">
        <f t="shared" si="28"/>
        <v>0.46635797413793112</v>
      </c>
      <c r="L53" s="327">
        <f t="shared" si="28"/>
        <v>0.49304007543103456</v>
      </c>
      <c r="M53" s="327">
        <f t="shared" si="28"/>
        <v>0.51838807165948286</v>
      </c>
      <c r="N53" s="327">
        <f t="shared" si="28"/>
        <v>0.54246866807650873</v>
      </c>
      <c r="O53" s="327">
        <f t="shared" si="28"/>
        <v>0.56534523467268327</v>
      </c>
      <c r="P53" s="327">
        <f t="shared" si="28"/>
        <v>0.58707797293904918</v>
      </c>
      <c r="Q53" s="327">
        <f t="shared" si="28"/>
        <v>0.60772407429209663</v>
      </c>
      <c r="R53" s="327">
        <f t="shared" si="28"/>
        <v>0.62733787057749191</v>
      </c>
      <c r="S53" s="327">
        <f t="shared" si="28"/>
        <v>0.64597097704861728</v>
      </c>
      <c r="T53" s="327">
        <f t="shared" si="28"/>
        <v>0.66367242819618655</v>
      </c>
      <c r="U53" s="327">
        <f t="shared" si="28"/>
        <v>0.68048880678637702</v>
      </c>
      <c r="V53" s="327">
        <f t="shared" si="28"/>
        <v>0.69646436644705823</v>
      </c>
      <c r="W53" s="327">
        <f t="shared" si="28"/>
        <v>0.71164114812470536</v>
      </c>
      <c r="X53" s="327">
        <f t="shared" si="28"/>
        <v>0.72605909071847008</v>
      </c>
      <c r="Y53" s="327">
        <f t="shared" si="28"/>
        <v>0.73975613618254665</v>
      </c>
      <c r="Z53" s="327">
        <f t="shared" si="28"/>
        <v>0.75276832937341931</v>
      </c>
      <c r="AA53" s="327">
        <f t="shared" si="28"/>
        <v>0.7651299129047483</v>
      </c>
      <c r="AB53" s="327">
        <f t="shared" si="28"/>
        <v>0.77687341725951087</v>
      </c>
      <c r="AC53" s="327">
        <f t="shared" si="28"/>
        <v>0.78802974639653534</v>
      </c>
      <c r="AD53" s="327">
        <f t="shared" si="28"/>
        <v>0.79862825907670865</v>
      </c>
      <c r="AE53" s="327">
        <f t="shared" si="28"/>
        <v>0.80869684612287318</v>
      </c>
      <c r="AF53" s="327">
        <f t="shared" si="28"/>
        <v>0.81826200381672964</v>
      </c>
      <c r="AG53" s="327">
        <f t="shared" si="28"/>
        <v>0.82734890362589308</v>
      </c>
      <c r="AH53" s="327">
        <f t="shared" si="28"/>
        <v>0.83598145844459848</v>
      </c>
      <c r="AI53" s="327">
        <f t="shared" si="28"/>
        <v>0.84418238552236846</v>
      </c>
      <c r="AJ53" s="327">
        <f t="shared" si="28"/>
        <v>0.85197326624625014</v>
      </c>
      <c r="AK53" s="327">
        <f t="shared" si="28"/>
        <v>0.85937460293393764</v>
      </c>
      <c r="AL53" s="327">
        <f t="shared" si="28"/>
        <v>0.86640587278724079</v>
      </c>
      <c r="AM53" s="327">
        <f t="shared" si="28"/>
        <v>0.87308557914787865</v>
      </c>
      <c r="AN53" s="327">
        <f t="shared" si="28"/>
        <v>0.87943130019048477</v>
      </c>
      <c r="AO53" s="327" t="str">
        <f t="shared" si="28"/>
        <v/>
      </c>
      <c r="AP53" s="327" t="str">
        <f t="shared" si="28"/>
        <v/>
      </c>
      <c r="AQ53" s="327" t="str">
        <f t="shared" si="28"/>
        <v/>
      </c>
      <c r="AR53" s="327" t="str">
        <f t="shared" si="28"/>
        <v/>
      </c>
      <c r="AS53" s="327" t="str">
        <f t="shared" si="28"/>
        <v/>
      </c>
      <c r="AT53" s="327" t="str">
        <f t="shared" si="28"/>
        <v/>
      </c>
      <c r="AU53" s="327" t="str">
        <f t="shared" si="28"/>
        <v/>
      </c>
      <c r="AV53" s="327" t="str">
        <f t="shared" si="28"/>
        <v/>
      </c>
      <c r="AW53" s="327" t="str">
        <f t="shared" si="28"/>
        <v/>
      </c>
      <c r="AX53" s="327" t="str">
        <f t="shared" si="28"/>
        <v/>
      </c>
      <c r="AY53" s="327" t="str">
        <f t="shared" si="28"/>
        <v/>
      </c>
      <c r="AZ53" s="327" t="str">
        <f t="shared" si="28"/>
        <v/>
      </c>
      <c r="BA53" s="327" t="str">
        <f t="shared" si="28"/>
        <v/>
      </c>
      <c r="BB53" s="327" t="str">
        <f t="shared" si="28"/>
        <v/>
      </c>
      <c r="BC53" s="327" t="str">
        <f t="shared" si="28"/>
        <v/>
      </c>
      <c r="BD53" s="327" t="str">
        <f t="shared" si="28"/>
        <v/>
      </c>
      <c r="BE53" s="327" t="str">
        <f t="shared" si="28"/>
        <v/>
      </c>
      <c r="BF53" s="327" t="str">
        <f t="shared" si="28"/>
        <v/>
      </c>
      <c r="BG53" s="327" t="str">
        <f t="shared" si="28"/>
        <v/>
      </c>
      <c r="BH53" s="327" t="str">
        <f t="shared" si="28"/>
        <v/>
      </c>
      <c r="BI53" s="327" t="str">
        <f t="shared" si="28"/>
        <v/>
      </c>
      <c r="BJ53" s="327" t="str">
        <f t="shared" si="28"/>
        <v/>
      </c>
      <c r="BK53" s="327" t="str">
        <f t="shared" si="28"/>
        <v/>
      </c>
      <c r="BL53" s="327" t="str">
        <f t="shared" si="28"/>
        <v/>
      </c>
      <c r="BM53" s="327" t="str">
        <f t="shared" si="28"/>
        <v/>
      </c>
      <c r="BN53" s="327" t="str">
        <f t="shared" si="28"/>
        <v/>
      </c>
      <c r="BO53" s="327" t="str">
        <f t="shared" si="28"/>
        <v/>
      </c>
      <c r="BP53" s="327" t="str">
        <f t="shared" si="28"/>
        <v/>
      </c>
      <c r="BQ53" s="327" t="str">
        <f t="shared" si="28"/>
        <v/>
      </c>
      <c r="BR53" s="327" t="str">
        <f t="shared" ref="BR53:EC53" si="29">IFERROR(1-BR52/(BR54*$M$24),"")</f>
        <v/>
      </c>
      <c r="BS53" s="327" t="str">
        <f t="shared" si="29"/>
        <v/>
      </c>
      <c r="BT53" s="327" t="str">
        <f t="shared" si="29"/>
        <v/>
      </c>
      <c r="BU53" s="327" t="str">
        <f t="shared" si="29"/>
        <v/>
      </c>
      <c r="BV53" s="327" t="str">
        <f t="shared" si="29"/>
        <v/>
      </c>
      <c r="BW53" s="327" t="str">
        <f t="shared" si="29"/>
        <v/>
      </c>
      <c r="BX53" s="327" t="str">
        <f t="shared" si="29"/>
        <v/>
      </c>
      <c r="BY53" s="327" t="str">
        <f t="shared" si="29"/>
        <v/>
      </c>
      <c r="BZ53" s="327" t="str">
        <f t="shared" si="29"/>
        <v/>
      </c>
      <c r="CA53" s="327" t="str">
        <f t="shared" si="29"/>
        <v/>
      </c>
      <c r="CB53" s="327" t="str">
        <f t="shared" si="29"/>
        <v/>
      </c>
      <c r="CC53" s="327" t="str">
        <f t="shared" si="29"/>
        <v/>
      </c>
      <c r="CD53" s="327" t="str">
        <f t="shared" si="29"/>
        <v/>
      </c>
      <c r="CE53" s="327" t="str">
        <f t="shared" si="29"/>
        <v/>
      </c>
      <c r="CF53" s="327" t="str">
        <f t="shared" si="29"/>
        <v/>
      </c>
      <c r="CG53" s="327" t="str">
        <f t="shared" si="29"/>
        <v/>
      </c>
      <c r="CH53" s="327" t="str">
        <f t="shared" si="29"/>
        <v/>
      </c>
      <c r="CI53" s="327" t="str">
        <f t="shared" si="29"/>
        <v/>
      </c>
      <c r="CJ53" s="327" t="str">
        <f t="shared" si="29"/>
        <v/>
      </c>
      <c r="CK53" s="327" t="str">
        <f t="shared" si="29"/>
        <v/>
      </c>
      <c r="CL53" s="327" t="str">
        <f t="shared" si="29"/>
        <v/>
      </c>
      <c r="CM53" s="327" t="str">
        <f t="shared" si="29"/>
        <v/>
      </c>
      <c r="CN53" s="327" t="str">
        <f t="shared" si="29"/>
        <v/>
      </c>
      <c r="CO53" s="327" t="str">
        <f t="shared" si="29"/>
        <v/>
      </c>
      <c r="CP53" s="327" t="str">
        <f t="shared" si="29"/>
        <v/>
      </c>
      <c r="CQ53" s="327" t="str">
        <f t="shared" si="29"/>
        <v/>
      </c>
      <c r="CR53" s="327" t="str">
        <f t="shared" si="29"/>
        <v/>
      </c>
      <c r="CS53" s="327" t="str">
        <f t="shared" si="29"/>
        <v/>
      </c>
      <c r="CT53" s="327" t="str">
        <f t="shared" si="29"/>
        <v/>
      </c>
      <c r="CU53" s="327" t="str">
        <f t="shared" si="29"/>
        <v/>
      </c>
      <c r="CV53" s="327" t="str">
        <f t="shared" si="29"/>
        <v/>
      </c>
      <c r="CW53" s="327" t="str">
        <f t="shared" si="29"/>
        <v/>
      </c>
      <c r="CX53" s="327" t="str">
        <f t="shared" si="29"/>
        <v/>
      </c>
      <c r="CY53" s="327" t="str">
        <f t="shared" si="29"/>
        <v/>
      </c>
      <c r="CZ53" s="327" t="str">
        <f t="shared" si="29"/>
        <v/>
      </c>
      <c r="DA53" s="327" t="str">
        <f t="shared" si="29"/>
        <v/>
      </c>
      <c r="DB53" s="327" t="str">
        <f t="shared" si="29"/>
        <v/>
      </c>
      <c r="DC53" s="327" t="str">
        <f t="shared" si="29"/>
        <v/>
      </c>
      <c r="DD53" s="327" t="str">
        <f t="shared" si="29"/>
        <v/>
      </c>
      <c r="DE53" s="327" t="str">
        <f t="shared" si="29"/>
        <v/>
      </c>
      <c r="DF53" s="327" t="str">
        <f t="shared" si="29"/>
        <v/>
      </c>
      <c r="DG53" s="327" t="str">
        <f t="shared" si="29"/>
        <v/>
      </c>
      <c r="DH53" s="327" t="str">
        <f t="shared" si="29"/>
        <v/>
      </c>
      <c r="DI53" s="327" t="str">
        <f t="shared" si="29"/>
        <v/>
      </c>
      <c r="DJ53" s="327" t="str">
        <f t="shared" si="29"/>
        <v/>
      </c>
      <c r="DK53" s="327" t="str">
        <f t="shared" si="29"/>
        <v/>
      </c>
      <c r="DL53" s="327" t="str">
        <f t="shared" si="29"/>
        <v/>
      </c>
      <c r="DM53" s="327" t="str">
        <f t="shared" si="29"/>
        <v/>
      </c>
      <c r="DN53" s="327" t="str">
        <f t="shared" si="29"/>
        <v/>
      </c>
      <c r="DO53" s="327" t="str">
        <f t="shared" si="29"/>
        <v/>
      </c>
      <c r="DP53" s="327" t="str">
        <f t="shared" si="29"/>
        <v/>
      </c>
      <c r="DQ53" s="327" t="str">
        <f t="shared" si="29"/>
        <v/>
      </c>
      <c r="DR53" s="327" t="str">
        <f t="shared" si="29"/>
        <v/>
      </c>
      <c r="DS53" s="327" t="str">
        <f t="shared" si="29"/>
        <v/>
      </c>
      <c r="DT53" s="327" t="str">
        <f t="shared" si="29"/>
        <v/>
      </c>
      <c r="DU53" s="327" t="str">
        <f t="shared" si="29"/>
        <v/>
      </c>
      <c r="DV53" s="327" t="str">
        <f t="shared" si="29"/>
        <v/>
      </c>
      <c r="DW53" s="327" t="str">
        <f t="shared" si="29"/>
        <v/>
      </c>
      <c r="DX53" s="327" t="str">
        <f t="shared" si="29"/>
        <v/>
      </c>
      <c r="DY53" s="327" t="str">
        <f t="shared" si="29"/>
        <v/>
      </c>
      <c r="DZ53" s="327" t="str">
        <f t="shared" si="29"/>
        <v/>
      </c>
      <c r="EA53" s="327" t="str">
        <f t="shared" si="29"/>
        <v/>
      </c>
      <c r="EB53" s="327" t="str">
        <f t="shared" si="29"/>
        <v/>
      </c>
      <c r="EC53" s="327" t="str">
        <f t="shared" si="29"/>
        <v/>
      </c>
      <c r="ED53" s="327" t="str">
        <f t="shared" ref="ED53:GO53" si="30">IFERROR(1-ED52/(ED54*$M$24),"")</f>
        <v/>
      </c>
      <c r="EE53" s="327" t="str">
        <f t="shared" si="30"/>
        <v/>
      </c>
      <c r="EF53" s="327" t="str">
        <f t="shared" si="30"/>
        <v/>
      </c>
      <c r="EG53" s="327" t="str">
        <f t="shared" si="30"/>
        <v/>
      </c>
      <c r="EH53" s="327" t="str">
        <f t="shared" si="30"/>
        <v/>
      </c>
      <c r="EI53" s="327" t="str">
        <f t="shared" si="30"/>
        <v/>
      </c>
      <c r="EJ53" s="327" t="str">
        <f t="shared" si="30"/>
        <v/>
      </c>
      <c r="EK53" s="327" t="str">
        <f t="shared" si="30"/>
        <v/>
      </c>
      <c r="EL53" s="327" t="str">
        <f t="shared" si="30"/>
        <v/>
      </c>
      <c r="EM53" s="327" t="str">
        <f t="shared" si="30"/>
        <v/>
      </c>
      <c r="EN53" s="327" t="str">
        <f t="shared" si="30"/>
        <v/>
      </c>
      <c r="EO53" s="327" t="str">
        <f t="shared" si="30"/>
        <v/>
      </c>
      <c r="EP53" s="327" t="str">
        <f t="shared" si="30"/>
        <v/>
      </c>
      <c r="EQ53" s="327" t="str">
        <f t="shared" si="30"/>
        <v/>
      </c>
      <c r="ER53" s="327" t="str">
        <f t="shared" si="30"/>
        <v/>
      </c>
      <c r="ES53" s="327" t="str">
        <f t="shared" si="30"/>
        <v/>
      </c>
      <c r="ET53" s="327" t="str">
        <f t="shared" si="30"/>
        <v/>
      </c>
      <c r="EU53" s="327" t="str">
        <f t="shared" si="30"/>
        <v/>
      </c>
      <c r="EV53" s="327" t="str">
        <f t="shared" si="30"/>
        <v/>
      </c>
      <c r="EW53" s="327" t="str">
        <f t="shared" si="30"/>
        <v/>
      </c>
      <c r="EX53" s="327" t="str">
        <f t="shared" si="30"/>
        <v/>
      </c>
      <c r="EY53" s="327" t="str">
        <f t="shared" si="30"/>
        <v/>
      </c>
      <c r="EZ53" s="327" t="str">
        <f t="shared" si="30"/>
        <v/>
      </c>
      <c r="FA53" s="327" t="str">
        <f t="shared" si="30"/>
        <v/>
      </c>
      <c r="FB53" s="327" t="str">
        <f t="shared" si="30"/>
        <v/>
      </c>
      <c r="FC53" s="327" t="str">
        <f t="shared" si="30"/>
        <v/>
      </c>
      <c r="FD53" s="327" t="str">
        <f t="shared" si="30"/>
        <v/>
      </c>
      <c r="FE53" s="327" t="str">
        <f t="shared" si="30"/>
        <v/>
      </c>
      <c r="FF53" s="327" t="str">
        <f t="shared" si="30"/>
        <v/>
      </c>
      <c r="FG53" s="327" t="str">
        <f t="shared" si="30"/>
        <v/>
      </c>
      <c r="FH53" s="327" t="str">
        <f t="shared" si="30"/>
        <v/>
      </c>
      <c r="FI53" s="327" t="str">
        <f t="shared" si="30"/>
        <v/>
      </c>
      <c r="FJ53" s="327" t="str">
        <f t="shared" si="30"/>
        <v/>
      </c>
      <c r="FK53" s="327" t="str">
        <f t="shared" si="30"/>
        <v/>
      </c>
      <c r="FL53" s="327" t="str">
        <f t="shared" si="30"/>
        <v/>
      </c>
      <c r="FM53" s="327" t="str">
        <f t="shared" si="30"/>
        <v/>
      </c>
      <c r="FN53" s="327" t="str">
        <f t="shared" si="30"/>
        <v/>
      </c>
      <c r="FO53" s="327" t="str">
        <f t="shared" si="30"/>
        <v/>
      </c>
      <c r="FP53" s="327" t="str">
        <f t="shared" si="30"/>
        <v/>
      </c>
      <c r="FQ53" s="327" t="str">
        <f t="shared" si="30"/>
        <v/>
      </c>
      <c r="FR53" s="327" t="str">
        <f t="shared" si="30"/>
        <v/>
      </c>
      <c r="FS53" s="327" t="str">
        <f t="shared" si="30"/>
        <v/>
      </c>
      <c r="FT53" s="327" t="str">
        <f t="shared" si="30"/>
        <v/>
      </c>
      <c r="FU53" s="327" t="str">
        <f t="shared" si="30"/>
        <v/>
      </c>
      <c r="FV53" s="327" t="str">
        <f t="shared" si="30"/>
        <v/>
      </c>
      <c r="FW53" s="327" t="str">
        <f t="shared" si="30"/>
        <v/>
      </c>
      <c r="FX53" s="327" t="str">
        <f t="shared" si="30"/>
        <v/>
      </c>
      <c r="FY53" s="327" t="str">
        <f t="shared" si="30"/>
        <v/>
      </c>
      <c r="FZ53" s="327" t="str">
        <f t="shared" si="30"/>
        <v/>
      </c>
      <c r="GA53" s="327" t="str">
        <f t="shared" si="30"/>
        <v/>
      </c>
      <c r="GB53" s="327" t="str">
        <f t="shared" si="30"/>
        <v/>
      </c>
      <c r="GC53" s="327" t="str">
        <f t="shared" si="30"/>
        <v/>
      </c>
      <c r="GD53" s="327" t="str">
        <f t="shared" si="30"/>
        <v/>
      </c>
      <c r="GE53" s="327" t="str">
        <f t="shared" si="30"/>
        <v/>
      </c>
      <c r="GF53" s="327" t="str">
        <f t="shared" si="30"/>
        <v/>
      </c>
      <c r="GG53" s="327" t="str">
        <f t="shared" si="30"/>
        <v/>
      </c>
      <c r="GH53" s="327" t="str">
        <f t="shared" si="30"/>
        <v/>
      </c>
      <c r="GI53" s="327" t="str">
        <f t="shared" si="30"/>
        <v/>
      </c>
      <c r="GJ53" s="327" t="str">
        <f t="shared" si="30"/>
        <v/>
      </c>
      <c r="GK53" s="327" t="str">
        <f t="shared" si="30"/>
        <v/>
      </c>
      <c r="GL53" s="327" t="str">
        <f t="shared" si="30"/>
        <v/>
      </c>
      <c r="GM53" s="327" t="str">
        <f t="shared" si="30"/>
        <v/>
      </c>
      <c r="GN53" s="327" t="str">
        <f t="shared" si="30"/>
        <v/>
      </c>
      <c r="GO53" s="327" t="str">
        <f t="shared" si="30"/>
        <v/>
      </c>
      <c r="GP53" s="327" t="str">
        <f t="shared" ref="GP53:IV53" si="31">IFERROR(1-GP52/(GP54*$M$24),"")</f>
        <v/>
      </c>
      <c r="GQ53" s="327" t="str">
        <f t="shared" si="31"/>
        <v/>
      </c>
      <c r="GR53" s="327" t="str">
        <f t="shared" si="31"/>
        <v/>
      </c>
      <c r="GS53" s="327" t="str">
        <f t="shared" si="31"/>
        <v/>
      </c>
      <c r="GT53" s="327" t="str">
        <f t="shared" si="31"/>
        <v/>
      </c>
      <c r="GU53" s="327" t="str">
        <f t="shared" si="31"/>
        <v/>
      </c>
      <c r="GV53" s="327" t="str">
        <f t="shared" si="31"/>
        <v/>
      </c>
      <c r="GW53" s="327" t="str">
        <f t="shared" si="31"/>
        <v/>
      </c>
      <c r="GX53" s="327" t="str">
        <f t="shared" si="31"/>
        <v/>
      </c>
      <c r="GY53" s="327" t="str">
        <f t="shared" si="31"/>
        <v/>
      </c>
      <c r="GZ53" s="327" t="str">
        <f t="shared" si="31"/>
        <v/>
      </c>
      <c r="HA53" s="327" t="str">
        <f t="shared" si="31"/>
        <v/>
      </c>
      <c r="HB53" s="327" t="str">
        <f t="shared" si="31"/>
        <v/>
      </c>
      <c r="HC53" s="327" t="str">
        <f t="shared" si="31"/>
        <v/>
      </c>
      <c r="HD53" s="327" t="str">
        <f t="shared" si="31"/>
        <v/>
      </c>
      <c r="HE53" s="327" t="str">
        <f t="shared" si="31"/>
        <v/>
      </c>
      <c r="HF53" s="327" t="str">
        <f t="shared" si="31"/>
        <v/>
      </c>
      <c r="HG53" s="327" t="str">
        <f t="shared" si="31"/>
        <v/>
      </c>
      <c r="HH53" s="327" t="str">
        <f t="shared" si="31"/>
        <v/>
      </c>
      <c r="HI53" s="327" t="str">
        <f t="shared" si="31"/>
        <v/>
      </c>
      <c r="HJ53" s="327" t="str">
        <f t="shared" si="31"/>
        <v/>
      </c>
      <c r="HK53" s="327" t="str">
        <f t="shared" si="31"/>
        <v/>
      </c>
      <c r="HL53" s="327" t="str">
        <f t="shared" si="31"/>
        <v/>
      </c>
      <c r="HM53" s="327" t="str">
        <f t="shared" si="31"/>
        <v/>
      </c>
      <c r="HN53" s="327" t="str">
        <f t="shared" si="31"/>
        <v/>
      </c>
      <c r="HO53" s="327" t="str">
        <f t="shared" si="31"/>
        <v/>
      </c>
      <c r="HP53" s="327" t="str">
        <f t="shared" si="31"/>
        <v/>
      </c>
      <c r="HQ53" s="327" t="str">
        <f t="shared" si="31"/>
        <v/>
      </c>
      <c r="HR53" s="327" t="str">
        <f t="shared" si="31"/>
        <v/>
      </c>
      <c r="HS53" s="327" t="str">
        <f t="shared" si="31"/>
        <v/>
      </c>
      <c r="HT53" s="327" t="str">
        <f t="shared" si="31"/>
        <v/>
      </c>
      <c r="HU53" s="327" t="str">
        <f t="shared" si="31"/>
        <v/>
      </c>
      <c r="HV53" s="327" t="str">
        <f t="shared" si="31"/>
        <v/>
      </c>
      <c r="HW53" s="327" t="str">
        <f t="shared" si="31"/>
        <v/>
      </c>
      <c r="HX53" s="327" t="str">
        <f t="shared" si="31"/>
        <v/>
      </c>
      <c r="HY53" s="327" t="str">
        <f t="shared" si="31"/>
        <v/>
      </c>
      <c r="HZ53" s="327" t="str">
        <f t="shared" si="31"/>
        <v/>
      </c>
      <c r="IA53" s="327" t="str">
        <f t="shared" si="31"/>
        <v/>
      </c>
      <c r="IB53" s="327" t="str">
        <f t="shared" si="31"/>
        <v/>
      </c>
      <c r="IC53" s="327" t="str">
        <f t="shared" si="31"/>
        <v/>
      </c>
      <c r="ID53" s="327" t="str">
        <f t="shared" si="31"/>
        <v/>
      </c>
      <c r="IE53" s="327" t="str">
        <f t="shared" si="31"/>
        <v/>
      </c>
      <c r="IF53" s="327" t="str">
        <f t="shared" si="31"/>
        <v/>
      </c>
      <c r="IG53" s="327" t="str">
        <f t="shared" si="31"/>
        <v/>
      </c>
      <c r="IH53" s="327" t="str">
        <f t="shared" si="31"/>
        <v/>
      </c>
      <c r="II53" s="327" t="str">
        <f t="shared" si="31"/>
        <v/>
      </c>
      <c r="IJ53" s="327" t="str">
        <f t="shared" si="31"/>
        <v/>
      </c>
      <c r="IK53" s="327" t="str">
        <f t="shared" si="31"/>
        <v/>
      </c>
      <c r="IL53" s="327" t="str">
        <f t="shared" si="31"/>
        <v/>
      </c>
      <c r="IM53" s="327" t="str">
        <f t="shared" si="31"/>
        <v/>
      </c>
      <c r="IN53" s="327" t="str">
        <f t="shared" si="31"/>
        <v/>
      </c>
      <c r="IO53" s="327" t="str">
        <f t="shared" si="31"/>
        <v/>
      </c>
      <c r="IP53" s="327" t="str">
        <f t="shared" si="31"/>
        <v/>
      </c>
      <c r="IQ53" s="327" t="str">
        <f t="shared" si="31"/>
        <v/>
      </c>
      <c r="IR53" s="327" t="str">
        <f t="shared" si="31"/>
        <v/>
      </c>
      <c r="IS53" s="327" t="str">
        <f t="shared" si="31"/>
        <v/>
      </c>
      <c r="IT53" s="327" t="str">
        <f t="shared" si="31"/>
        <v/>
      </c>
      <c r="IU53" s="327" t="str">
        <f t="shared" si="31"/>
        <v/>
      </c>
      <c r="IV53" s="327" t="str">
        <f t="shared" si="31"/>
        <v/>
      </c>
      <c r="IX53" s="327">
        <f>IFERROR(1-IX52/(IX54*$M$24),"")</f>
        <v>0.67205686735573789</v>
      </c>
    </row>
    <row r="54" spans="1:258">
      <c r="A54" s="319">
        <v>1</v>
      </c>
      <c r="B54" s="583" t="s">
        <v>298</v>
      </c>
      <c r="C54" s="583"/>
      <c r="D54" s="328" t="s">
        <v>455</v>
      </c>
      <c r="E54" s="456">
        <f>IF(SUM(E48:E49)=0,E58*E45/1000,0)</f>
        <v>0</v>
      </c>
      <c r="F54" s="456">
        <f>IF(SUM($E$48:F49)=0,F58*F45/1000,0)</f>
        <v>2.66</v>
      </c>
      <c r="G54" s="456">
        <f>IF(SUM($E$48:G49)=0,G58*G45/1000,0)</f>
        <v>2.9449999999999998</v>
      </c>
      <c r="H54" s="456">
        <f>IF(SUM($E$48:H49)=0,H58*H45/1000,0)</f>
        <v>2.85</v>
      </c>
      <c r="I54" s="456">
        <f>IF(SUM($E$48:I49)=0,I58*I45/1000,0)</f>
        <v>2.9449999999999998</v>
      </c>
      <c r="J54" s="456">
        <f>IF(SUM($E$48:J49)=0,J58*J45/1000,0)</f>
        <v>2.85</v>
      </c>
      <c r="K54" s="456">
        <f>IF(SUM($E$48:K49)=0,K58*K45/1000,0)</f>
        <v>2.9449999999999998</v>
      </c>
      <c r="L54" s="456">
        <f>IF(SUM($E$48:L49)=0,L58*L45/1000,0)</f>
        <v>2.9449999999999998</v>
      </c>
      <c r="M54" s="456">
        <f>IF(SUM($E$48:M49)=0,M58*M45/1000,0)</f>
        <v>2.85</v>
      </c>
      <c r="N54" s="456">
        <f>IF(SUM($E$48:N49)=0,N58*N45/1000,0)</f>
        <v>2.9449999999999998</v>
      </c>
      <c r="O54" s="456">
        <f>IF(SUM($E$48:O49)=0,O58*O45/1000,0)</f>
        <v>2.85</v>
      </c>
      <c r="P54" s="456">
        <f>IF(SUM($E$48:P49)=0,P58*P45/1000,0)</f>
        <v>2.9449999999999998</v>
      </c>
      <c r="Q54" s="456">
        <f>IF(SUM($E$48:Q49)=0,Q58*Q45/1000,0)</f>
        <v>2.9449999999999998</v>
      </c>
      <c r="R54" s="456">
        <f>IF(SUM($E$48:R49)=0,R58*R45/1000,0)</f>
        <v>2.66</v>
      </c>
      <c r="S54" s="456">
        <f>IF(SUM($E$48:S49)=0,S58*S45/1000,0)</f>
        <v>2.9449999999999998</v>
      </c>
      <c r="T54" s="456">
        <f>IF(SUM($E$48:T49)=0,T58*T45/1000,0)</f>
        <v>2.85</v>
      </c>
      <c r="U54" s="456">
        <f>IF(SUM($E$48:U49)=0,U58*U45/1000,0)</f>
        <v>2.9449999999999998</v>
      </c>
      <c r="V54" s="456">
        <f>IF(SUM($E$48:V49)=0,V58*V45/1000,0)</f>
        <v>2.85</v>
      </c>
      <c r="W54" s="456">
        <f>IF(SUM($E$48:W49)=0,W58*W45/1000,0)</f>
        <v>2.9449999999999998</v>
      </c>
      <c r="X54" s="456">
        <f>IF(SUM($E$48:X49)=0,X58*X45/1000,0)</f>
        <v>2.9449999999999998</v>
      </c>
      <c r="Y54" s="456">
        <f>IF(SUM($E$48:Y49)=0,Y58*Y45/1000,0)</f>
        <v>2.85</v>
      </c>
      <c r="Z54" s="456">
        <f>IF(SUM($E$48:Z49)=0,Z58*Z45/1000,0)</f>
        <v>2.9449999999999998</v>
      </c>
      <c r="AA54" s="456">
        <f>IF(SUM($E$48:AA49)=0,AA58*AA45/1000,0)</f>
        <v>2.85</v>
      </c>
      <c r="AB54" s="456">
        <f>IF(SUM($E$48:AB49)=0,AB58*AB45/1000,0)</f>
        <v>2.9449999999999998</v>
      </c>
      <c r="AC54" s="456">
        <f>IF(SUM($E$48:AC49)=0,AC58*AC45/1000,0)</f>
        <v>2.9449999999999998</v>
      </c>
      <c r="AD54" s="456">
        <f>IF(SUM($E$48:AD49)=0,AD58*AD45/1000,0)</f>
        <v>2.66</v>
      </c>
      <c r="AE54" s="456">
        <f>IF(SUM($E$48:AE49)=0,AE58*AE45/1000,0)</f>
        <v>2.9449999999999998</v>
      </c>
      <c r="AF54" s="456">
        <f>IF(SUM($E$48:AF49)=0,AF58*AF45/1000,0)</f>
        <v>2.85</v>
      </c>
      <c r="AG54" s="456">
        <f>IF(SUM($E$48:AG49)=0,AG58*AG45/1000,0)</f>
        <v>2.9449999999999998</v>
      </c>
      <c r="AH54" s="456">
        <f>IF(SUM($E$48:AH49)=0,AH58*AH45/1000,0)</f>
        <v>2.85</v>
      </c>
      <c r="AI54" s="456">
        <f>IF(SUM($E$48:AI49)=0,AI58*AI45/1000,0)</f>
        <v>2.9449999999999998</v>
      </c>
      <c r="AJ54" s="456">
        <f>IF(SUM($E$48:AJ49)=0,AJ58*AJ45/1000,0)</f>
        <v>2.9449999999999998</v>
      </c>
      <c r="AK54" s="456">
        <f>IF(SUM($E$48:AK49)=0,AK58*AK45/1000,0)</f>
        <v>2.85</v>
      </c>
      <c r="AL54" s="456">
        <f>IF(SUM($E$48:AL49)=0,AL58*AL45/1000,0)</f>
        <v>2.9449999999999998</v>
      </c>
      <c r="AM54" s="456">
        <f>IF(SUM($E$48:AM49)=0,AM58*AM45/1000,0)</f>
        <v>2.85</v>
      </c>
      <c r="AN54" s="456">
        <f>IF(SUM($E$48:AN49)=0,AN58*AN45/1000,0)</f>
        <v>2.9449999999999998</v>
      </c>
      <c r="AO54" s="456">
        <f>IF(SUM($E$48:AO49)=0,AO58*AO45/1000,0)</f>
        <v>0</v>
      </c>
      <c r="AP54" s="456">
        <f>IF(SUM($E$48:AP49)=0,AP58*AP45/1000,0)</f>
        <v>0</v>
      </c>
      <c r="AQ54" s="456">
        <f>IF(SUM($E$48:AQ49)=0,AQ58*AQ45/1000,0)</f>
        <v>0</v>
      </c>
      <c r="AR54" s="456">
        <f>IF(SUM($E$48:AR49)=0,AR58*AR45/1000,0)</f>
        <v>0</v>
      </c>
      <c r="AS54" s="456">
        <f>IF(SUM($E$48:AS49)=0,AS58*AS45/1000,0)</f>
        <v>0</v>
      </c>
      <c r="AT54" s="456">
        <f>IF(SUM($E$48:AT49)=0,AT58*AT45/1000,0)</f>
        <v>0</v>
      </c>
      <c r="AU54" s="456">
        <f>IF(SUM($E$48:AU49)=0,AU58*AU45/1000,0)</f>
        <v>0</v>
      </c>
      <c r="AV54" s="456">
        <f>IF(SUM($E$48:AV49)=0,AV58*AV45/1000,0)</f>
        <v>0</v>
      </c>
      <c r="AW54" s="456">
        <f>IF(SUM($E$48:AW49)=0,AW58*AW45/1000,0)</f>
        <v>0</v>
      </c>
      <c r="AX54" s="456">
        <f>IF(SUM($E$48:AX49)=0,AX58*AX45/1000,0)</f>
        <v>0</v>
      </c>
      <c r="AY54" s="456">
        <f>IF(SUM($E$48:AY49)=0,AY58*AY45/1000,0)</f>
        <v>0</v>
      </c>
      <c r="AZ54" s="456">
        <f>IF(SUM($E$48:AZ49)=0,AZ58*AZ45/1000,0)</f>
        <v>0</v>
      </c>
      <c r="BA54" s="456">
        <f>IF(SUM($E$48:BA49)=0,BA58*BA45/1000,0)</f>
        <v>0</v>
      </c>
      <c r="BB54" s="456">
        <f>IF(SUM($E$48:BB49)=0,BB58*BB45/1000,0)</f>
        <v>0</v>
      </c>
      <c r="BC54" s="456">
        <f>IF(SUM($E$48:BC49)=0,BC58*BC45/1000,0)</f>
        <v>0</v>
      </c>
      <c r="BD54" s="456">
        <f>IF(SUM($E$48:BD49)=0,BD58*BD45/1000,0)</f>
        <v>0</v>
      </c>
      <c r="BE54" s="456">
        <f>IF(SUM($E$48:BE49)=0,BE58*BE45/1000,0)</f>
        <v>0</v>
      </c>
      <c r="BF54" s="456">
        <f>IF(SUM($E$48:BF49)=0,BF58*BF45/1000,0)</f>
        <v>0</v>
      </c>
      <c r="BG54" s="456">
        <f>IF(SUM($E$48:BG49)=0,BG58*BG45/1000,0)</f>
        <v>0</v>
      </c>
      <c r="BH54" s="456">
        <f>IF(SUM($E$48:BH49)=0,BH58*BH45/1000,0)</f>
        <v>0</v>
      </c>
      <c r="BI54" s="456">
        <f>IF(SUM($E$48:BI49)=0,BI58*BI45/1000,0)</f>
        <v>0</v>
      </c>
      <c r="BJ54" s="456">
        <f>IF(SUM($E$48:BJ49)=0,BJ58*BJ45/1000,0)</f>
        <v>0</v>
      </c>
      <c r="BK54" s="456">
        <f>IF(SUM($E$48:BK49)=0,BK58*BK45/1000,0)</f>
        <v>0</v>
      </c>
      <c r="BL54" s="456">
        <f>IF(SUM($E$48:BL49)=0,BL58*BL45/1000,0)</f>
        <v>0</v>
      </c>
      <c r="BM54" s="456">
        <f>IF(SUM($E$48:BM49)=0,BM58*BM45/1000,0)</f>
        <v>0</v>
      </c>
      <c r="BN54" s="456">
        <f>IF(SUM($E$48:BN49)=0,BN58*BN45/1000,0)</f>
        <v>0</v>
      </c>
      <c r="BO54" s="456">
        <f>IF(SUM($E$48:BO49)=0,BO58*BO45/1000,0)</f>
        <v>0</v>
      </c>
      <c r="BP54" s="456">
        <f>IF(SUM($E$48:BP49)=0,BP58*BP45/1000,0)</f>
        <v>0</v>
      </c>
      <c r="BQ54" s="456">
        <f>IF(SUM($E$48:BQ49)=0,BQ58*BQ45/1000,0)</f>
        <v>0</v>
      </c>
      <c r="BR54" s="456">
        <f>IF(SUM($E$48:BR49)=0,BR58*BR45/1000,0)</f>
        <v>0</v>
      </c>
      <c r="BS54" s="456">
        <f>IF(SUM($E$48:BS49)=0,BS58*BS45/1000,0)</f>
        <v>0</v>
      </c>
      <c r="BT54" s="456">
        <f>IF(SUM($E$48:BT49)=0,BT58*BT45/1000,0)</f>
        <v>0</v>
      </c>
      <c r="BU54" s="456">
        <f>IF(SUM($E$48:BU49)=0,BU58*BU45/1000,0)</f>
        <v>0</v>
      </c>
      <c r="BV54" s="456">
        <f>IF(SUM($E$48:BV49)=0,BV58*BV45/1000,0)</f>
        <v>0</v>
      </c>
      <c r="BW54" s="456">
        <f>IF(SUM($E$48:BW49)=0,BW58*BW45/1000,0)</f>
        <v>0</v>
      </c>
      <c r="BX54" s="456">
        <f>IF(SUM($E$48:BX49)=0,BX58*BX45/1000,0)</f>
        <v>0</v>
      </c>
      <c r="BY54" s="456">
        <f>IF(SUM($E$48:BY49)=0,BY58*BY45/1000,0)</f>
        <v>0</v>
      </c>
      <c r="BZ54" s="456">
        <f>IF(SUM($E$48:BZ49)=0,BZ58*BZ45/1000,0)</f>
        <v>0</v>
      </c>
      <c r="CA54" s="456">
        <f>IF(SUM($E$48:CA49)=0,CA58*CA45/1000,0)</f>
        <v>0</v>
      </c>
      <c r="CB54" s="456">
        <f>IF(SUM($E$48:CB49)=0,CB58*CB45/1000,0)</f>
        <v>0</v>
      </c>
      <c r="CC54" s="456">
        <f>IF(SUM($E$48:CC49)=0,CC58*CC45/1000,0)</f>
        <v>0</v>
      </c>
      <c r="CD54" s="456">
        <f>IF(SUM($E$48:CD49)=0,CD58*CD45/1000,0)</f>
        <v>0</v>
      </c>
      <c r="CE54" s="456">
        <f>IF(SUM($E$48:CE49)=0,CE58*CE45/1000,0)</f>
        <v>0</v>
      </c>
      <c r="CF54" s="456">
        <f>IF(SUM($E$48:CF49)=0,CF58*CF45/1000,0)</f>
        <v>0</v>
      </c>
      <c r="CG54" s="456">
        <f>IF(SUM($E$48:CG49)=0,CG58*CG45/1000,0)</f>
        <v>0</v>
      </c>
      <c r="CH54" s="456">
        <f>IF(SUM($E$48:CH49)=0,CH58*CH45/1000,0)</f>
        <v>0</v>
      </c>
      <c r="CI54" s="456">
        <f>IF(SUM($E$48:CI49)=0,CI58*CI45/1000,0)</f>
        <v>0</v>
      </c>
      <c r="CJ54" s="456">
        <f>IF(SUM($E$48:CJ49)=0,CJ58*CJ45/1000,0)</f>
        <v>0</v>
      </c>
      <c r="CK54" s="456">
        <f>IF(SUM($E$48:CK49)=0,CK58*CK45/1000,0)</f>
        <v>0</v>
      </c>
      <c r="CL54" s="456">
        <f>IF(SUM($E$48:CL49)=0,CL58*CL45/1000,0)</f>
        <v>0</v>
      </c>
      <c r="CM54" s="456">
        <f>IF(SUM($E$48:CM49)=0,CM58*CM45/1000,0)</f>
        <v>0</v>
      </c>
      <c r="CN54" s="456">
        <f>IF(SUM($E$48:CN49)=0,CN58*CN45/1000,0)</f>
        <v>0</v>
      </c>
      <c r="CO54" s="456">
        <f>IF(SUM($E$48:CO49)=0,CO58*CO45/1000,0)</f>
        <v>0</v>
      </c>
      <c r="CP54" s="456">
        <f>IF(SUM($E$48:CP49)=0,CP58*CP45/1000,0)</f>
        <v>0</v>
      </c>
      <c r="CQ54" s="456">
        <f>IF(SUM($E$48:CQ49)=0,CQ58*CQ45/1000,0)</f>
        <v>0</v>
      </c>
      <c r="CR54" s="456">
        <f>IF(SUM($E$48:CR49)=0,CR58*CR45/1000,0)</f>
        <v>0</v>
      </c>
      <c r="CS54" s="456">
        <f>IF(SUM($E$48:CS49)=0,CS58*CS45/1000,0)</f>
        <v>0</v>
      </c>
      <c r="CT54" s="456">
        <f>IF(SUM($E$48:CT49)=0,CT58*CT45/1000,0)</f>
        <v>0</v>
      </c>
      <c r="CU54" s="456">
        <f>IF(SUM($E$48:CU49)=0,CU58*CU45/1000,0)</f>
        <v>0</v>
      </c>
      <c r="CV54" s="456">
        <f>IF(SUM($E$48:CV49)=0,CV58*CV45/1000,0)</f>
        <v>0</v>
      </c>
      <c r="CW54" s="456">
        <f>IF(SUM($E$48:CW49)=0,CW58*CW45/1000,0)</f>
        <v>0</v>
      </c>
      <c r="CX54" s="456">
        <f>IF(SUM($E$48:CX49)=0,CX58*CX45/1000,0)</f>
        <v>0</v>
      </c>
      <c r="CY54" s="456">
        <f>IF(SUM($E$48:CY49)=0,CY58*CY45/1000,0)</f>
        <v>0</v>
      </c>
      <c r="CZ54" s="456">
        <f>IF(SUM($E$48:CZ49)=0,CZ58*CZ45/1000,0)</f>
        <v>0</v>
      </c>
      <c r="DA54" s="456">
        <f>IF(SUM($E$48:DA49)=0,DA58*DA45/1000,0)</f>
        <v>0</v>
      </c>
      <c r="DB54" s="456">
        <f>IF(SUM($E$48:DB49)=0,DB58*DB45/1000,0)</f>
        <v>0</v>
      </c>
      <c r="DC54" s="456">
        <f>IF(SUM($E$48:DC49)=0,DC58*DC45/1000,0)</f>
        <v>0</v>
      </c>
      <c r="DD54" s="456">
        <f>IF(SUM($E$48:DD49)=0,DD58*DD45/1000,0)</f>
        <v>0</v>
      </c>
      <c r="DE54" s="456">
        <f>IF(SUM($E$48:DE49)=0,DE58*DE45/1000,0)</f>
        <v>0</v>
      </c>
      <c r="DF54" s="456">
        <f>IF(SUM($E$48:DF49)=0,DF58*DF45/1000,0)</f>
        <v>0</v>
      </c>
      <c r="DG54" s="456">
        <f>IF(SUM($E$48:DG49)=0,DG58*DG45/1000,0)</f>
        <v>0</v>
      </c>
      <c r="DH54" s="456">
        <f>IF(SUM($E$48:DH49)=0,DH58*DH45/1000,0)</f>
        <v>0</v>
      </c>
      <c r="DI54" s="456">
        <f>IF(SUM($E$48:DI49)=0,DI58*DI45/1000,0)</f>
        <v>0</v>
      </c>
      <c r="DJ54" s="456">
        <f>IF(SUM($E$48:DJ49)=0,DJ58*DJ45/1000,0)</f>
        <v>0</v>
      </c>
      <c r="DK54" s="456">
        <f>IF(SUM($E$48:DK49)=0,DK58*DK45/1000,0)</f>
        <v>0</v>
      </c>
      <c r="DL54" s="456">
        <f>IF(SUM($E$48:DL49)=0,DL58*DL45/1000,0)</f>
        <v>0</v>
      </c>
      <c r="DM54" s="456">
        <f>IF(SUM($E$48:DM49)=0,DM58*DM45/1000,0)</f>
        <v>0</v>
      </c>
      <c r="DN54" s="456">
        <f>IF(SUM($E$48:DN49)=0,DN58*DN45/1000,0)</f>
        <v>0</v>
      </c>
      <c r="DO54" s="456">
        <f>IF(SUM($E$48:DO49)=0,DO58*DO45/1000,0)</f>
        <v>0</v>
      </c>
      <c r="DP54" s="456">
        <f>IF(SUM($E$48:DP49)=0,DP58*DP45/1000,0)</f>
        <v>0</v>
      </c>
      <c r="DQ54" s="456">
        <f>IF(SUM($E$48:DQ49)=0,DQ58*DQ45/1000,0)</f>
        <v>0</v>
      </c>
      <c r="DR54" s="456">
        <f>IF(SUM($E$48:DR49)=0,DR58*DR45/1000,0)</f>
        <v>0</v>
      </c>
      <c r="DS54" s="456">
        <f>IF(SUM($E$48:DS49)=0,DS58*DS45/1000,0)</f>
        <v>0</v>
      </c>
      <c r="DT54" s="456">
        <f>IF(SUM($E$48:DT49)=0,DT58*DT45/1000,0)</f>
        <v>0</v>
      </c>
      <c r="DU54" s="456">
        <f>IF(SUM($E$48:DU49)=0,DU58*DU45/1000,0)</f>
        <v>0</v>
      </c>
      <c r="DV54" s="456">
        <f>IF(SUM($E$48:DV49)=0,DV58*DV45/1000,0)</f>
        <v>0</v>
      </c>
      <c r="DW54" s="456">
        <f>IF(SUM($E$48:DW49)=0,DW58*DW45/1000,0)</f>
        <v>0</v>
      </c>
      <c r="DX54" s="456">
        <f>IF(SUM($E$48:DX49)=0,DX58*DX45/1000,0)</f>
        <v>0</v>
      </c>
      <c r="DY54" s="456">
        <f>IF(SUM($E$48:DY49)=0,DY58*DY45/1000,0)</f>
        <v>0</v>
      </c>
      <c r="DZ54" s="456">
        <f>IF(SUM($E$48:DZ49)=0,DZ58*DZ45/1000,0)</f>
        <v>0</v>
      </c>
      <c r="EA54" s="456">
        <f>IF(SUM($E$48:EA49)=0,EA58*EA45/1000,0)</f>
        <v>0</v>
      </c>
      <c r="EB54" s="456">
        <f>IF(SUM($E$48:EB49)=0,EB58*EB45/1000,0)</f>
        <v>0</v>
      </c>
      <c r="EC54" s="456">
        <f>IF(SUM($E$48:EC49)=0,EC58*EC45/1000,0)</f>
        <v>0</v>
      </c>
      <c r="ED54" s="456">
        <f>IF(SUM($E$48:ED49)=0,ED58*ED45/1000,0)</f>
        <v>0</v>
      </c>
      <c r="EE54" s="456">
        <f>IF(SUM($E$48:EE49)=0,EE58*EE45/1000,0)</f>
        <v>0</v>
      </c>
      <c r="EF54" s="456">
        <f>IF(SUM($E$48:EF49)=0,EF58*EF45/1000,0)</f>
        <v>0</v>
      </c>
      <c r="EG54" s="456">
        <f>IF(SUM($E$48:EG49)=0,EG58*EG45/1000,0)</f>
        <v>0</v>
      </c>
      <c r="EH54" s="456">
        <f>IF(SUM($E$48:EH49)=0,EH58*EH45/1000,0)</f>
        <v>0</v>
      </c>
      <c r="EI54" s="456">
        <f>IF(SUM($E$48:EI49)=0,EI58*EI45/1000,0)</f>
        <v>0</v>
      </c>
      <c r="EJ54" s="456">
        <f>IF(SUM($E$48:EJ49)=0,EJ58*EJ45/1000,0)</f>
        <v>0</v>
      </c>
      <c r="EK54" s="456">
        <f>IF(SUM($E$48:EK49)=0,EK58*EK45/1000,0)</f>
        <v>0</v>
      </c>
      <c r="EL54" s="456">
        <f>IF(SUM($E$48:EL49)=0,EL58*EL45/1000,0)</f>
        <v>0</v>
      </c>
      <c r="EM54" s="456">
        <f>IF(SUM($E$48:EM49)=0,EM58*EM45/1000,0)</f>
        <v>0</v>
      </c>
      <c r="EN54" s="456">
        <f>IF(SUM($E$48:EN49)=0,EN58*EN45/1000,0)</f>
        <v>0</v>
      </c>
      <c r="EO54" s="456">
        <f>IF(SUM($E$48:EO49)=0,EO58*EO45/1000,0)</f>
        <v>0</v>
      </c>
      <c r="EP54" s="456">
        <f>IF(SUM($E$48:EP49)=0,EP58*EP45/1000,0)</f>
        <v>0</v>
      </c>
      <c r="EQ54" s="456">
        <f>IF(SUM($E$48:EQ49)=0,EQ58*EQ45/1000,0)</f>
        <v>0</v>
      </c>
      <c r="ER54" s="456">
        <f>IF(SUM($E$48:ER49)=0,ER58*ER45/1000,0)</f>
        <v>0</v>
      </c>
      <c r="ES54" s="456">
        <f>IF(SUM($E$48:ES49)=0,ES58*ES45/1000,0)</f>
        <v>0</v>
      </c>
      <c r="ET54" s="456">
        <f>IF(SUM($E$48:ET49)=0,ET58*ET45/1000,0)</f>
        <v>0</v>
      </c>
      <c r="EU54" s="456">
        <f>IF(SUM($E$48:EU49)=0,EU58*EU45/1000,0)</f>
        <v>0</v>
      </c>
      <c r="EV54" s="456">
        <f>IF(SUM($E$48:EV49)=0,EV58*EV45/1000,0)</f>
        <v>0</v>
      </c>
      <c r="EW54" s="456">
        <f>IF(SUM($E$48:EW49)=0,EW58*EW45/1000,0)</f>
        <v>0</v>
      </c>
      <c r="EX54" s="456">
        <f>IF(SUM($E$48:EX49)=0,EX58*EX45/1000,0)</f>
        <v>0</v>
      </c>
      <c r="EY54" s="456">
        <f>IF(SUM($E$48:EY49)=0,EY58*EY45/1000,0)</f>
        <v>0</v>
      </c>
      <c r="EZ54" s="456">
        <f>IF(SUM($E$48:EZ49)=0,EZ58*EZ45/1000,0)</f>
        <v>0</v>
      </c>
      <c r="FA54" s="456">
        <f>IF(SUM($E$48:FA49)=0,FA58*FA45/1000,0)</f>
        <v>0</v>
      </c>
      <c r="FB54" s="456">
        <f>IF(SUM($E$48:FB49)=0,FB58*FB45/1000,0)</f>
        <v>0</v>
      </c>
      <c r="FC54" s="456">
        <f>IF(SUM($E$48:FC49)=0,FC58*FC45/1000,0)</f>
        <v>0</v>
      </c>
      <c r="FD54" s="456">
        <f>IF(SUM($E$48:FD49)=0,FD58*FD45/1000,0)</f>
        <v>0</v>
      </c>
      <c r="FE54" s="456">
        <f>IF(SUM($E$48:FE49)=0,FE58*FE45/1000,0)</f>
        <v>0</v>
      </c>
      <c r="FF54" s="456">
        <f>IF(SUM($E$48:FF49)=0,FF58*FF45/1000,0)</f>
        <v>0</v>
      </c>
      <c r="FG54" s="456">
        <f>IF(SUM($E$48:FG49)=0,FG58*FG45/1000,0)</f>
        <v>0</v>
      </c>
      <c r="FH54" s="456">
        <f>IF(SUM($E$48:FH49)=0,FH58*FH45/1000,0)</f>
        <v>0</v>
      </c>
      <c r="FI54" s="456">
        <f>IF(SUM($E$48:FI49)=0,FI58*FI45/1000,0)</f>
        <v>0</v>
      </c>
      <c r="FJ54" s="456">
        <f>IF(SUM($E$48:FJ49)=0,FJ58*FJ45/1000,0)</f>
        <v>0</v>
      </c>
      <c r="FK54" s="456">
        <f>IF(SUM($E$48:FK49)=0,FK58*FK45/1000,0)</f>
        <v>0</v>
      </c>
      <c r="FL54" s="456">
        <f>IF(SUM($E$48:FL49)=0,FL58*FL45/1000,0)</f>
        <v>0</v>
      </c>
      <c r="FM54" s="456">
        <f>IF(SUM($E$48:FM49)=0,FM58*FM45/1000,0)</f>
        <v>0</v>
      </c>
      <c r="FN54" s="456">
        <f>IF(SUM($E$48:FN49)=0,FN58*FN45/1000,0)</f>
        <v>0</v>
      </c>
      <c r="FO54" s="456">
        <f>IF(SUM($E$48:FO49)=0,FO58*FO45/1000,0)</f>
        <v>0</v>
      </c>
      <c r="FP54" s="456">
        <f>IF(SUM($E$48:FP49)=0,FP58*FP45/1000,0)</f>
        <v>0</v>
      </c>
      <c r="FQ54" s="456">
        <f>IF(SUM($E$48:FQ49)=0,FQ58*FQ45/1000,0)</f>
        <v>0</v>
      </c>
      <c r="FR54" s="456">
        <f>IF(SUM($E$48:FR49)=0,FR58*FR45/1000,0)</f>
        <v>0</v>
      </c>
      <c r="FS54" s="456">
        <f>IF(SUM($E$48:FS49)=0,FS58*FS45/1000,0)</f>
        <v>0</v>
      </c>
      <c r="FT54" s="456">
        <f>IF(SUM($E$48:FT49)=0,FT58*FT45/1000,0)</f>
        <v>0</v>
      </c>
      <c r="FU54" s="456">
        <f>IF(SUM($E$48:FU49)=0,FU58*FU45/1000,0)</f>
        <v>0</v>
      </c>
      <c r="FV54" s="456">
        <f>IF(SUM($E$48:FV49)=0,FV58*FV45/1000,0)</f>
        <v>0</v>
      </c>
      <c r="FW54" s="456">
        <f>IF(SUM($E$48:FW49)=0,FW58*FW45/1000,0)</f>
        <v>0</v>
      </c>
      <c r="FX54" s="456">
        <f>IF(SUM($E$48:FX49)=0,FX58*FX45/1000,0)</f>
        <v>0</v>
      </c>
      <c r="FY54" s="456">
        <f>IF(SUM($E$48:FY49)=0,FY58*FY45/1000,0)</f>
        <v>0</v>
      </c>
      <c r="FZ54" s="456">
        <f>IF(SUM($E$48:FZ49)=0,FZ58*FZ45/1000,0)</f>
        <v>0</v>
      </c>
      <c r="GA54" s="456">
        <f>IF(SUM($E$48:GA49)=0,GA58*GA45/1000,0)</f>
        <v>0</v>
      </c>
      <c r="GB54" s="456">
        <f>IF(SUM($E$48:GB49)=0,GB58*GB45/1000,0)</f>
        <v>0</v>
      </c>
      <c r="GC54" s="456">
        <f>IF(SUM($E$48:GC49)=0,GC58*GC45/1000,0)</f>
        <v>0</v>
      </c>
      <c r="GD54" s="456">
        <f>IF(SUM($E$48:GD49)=0,GD58*GD45/1000,0)</f>
        <v>0</v>
      </c>
      <c r="GE54" s="456">
        <f>IF(SUM($E$48:GE49)=0,GE58*GE45/1000,0)</f>
        <v>0</v>
      </c>
      <c r="GF54" s="456">
        <f>IF(SUM($E$48:GF49)=0,GF58*GF45/1000,0)</f>
        <v>0</v>
      </c>
      <c r="GG54" s="456">
        <f>IF(SUM($E$48:GG49)=0,GG58*GG45/1000,0)</f>
        <v>0</v>
      </c>
      <c r="GH54" s="456">
        <f>IF(SUM($E$48:GH49)=0,GH58*GH45/1000,0)</f>
        <v>0</v>
      </c>
      <c r="GI54" s="456">
        <f>IF(SUM($E$48:GI49)=0,GI58*GI45/1000,0)</f>
        <v>0</v>
      </c>
      <c r="GJ54" s="456">
        <f>IF(SUM($E$48:GJ49)=0,GJ58*GJ45/1000,0)</f>
        <v>0</v>
      </c>
      <c r="GK54" s="456">
        <f>IF(SUM($E$48:GK49)=0,GK58*GK45/1000,0)</f>
        <v>0</v>
      </c>
      <c r="GL54" s="456">
        <f>IF(SUM($E$48:GL49)=0,GL58*GL45/1000,0)</f>
        <v>0</v>
      </c>
      <c r="GM54" s="456">
        <f>IF(SUM($E$48:GM49)=0,GM58*GM45/1000,0)</f>
        <v>0</v>
      </c>
      <c r="GN54" s="456">
        <f>IF(SUM($E$48:GN49)=0,GN58*GN45/1000,0)</f>
        <v>0</v>
      </c>
      <c r="GO54" s="456">
        <f>IF(SUM($E$48:GO49)=0,GO58*GO45/1000,0)</f>
        <v>0</v>
      </c>
      <c r="GP54" s="456">
        <f>IF(SUM($E$48:GP49)=0,GP58*GP45/1000,0)</f>
        <v>0</v>
      </c>
      <c r="GQ54" s="456">
        <f>IF(SUM($E$48:GQ49)=0,GQ58*GQ45/1000,0)</f>
        <v>0</v>
      </c>
      <c r="GR54" s="456">
        <f>IF(SUM($E$48:GR49)=0,GR58*GR45/1000,0)</f>
        <v>0</v>
      </c>
      <c r="GS54" s="456">
        <f>IF(SUM($E$48:GS49)=0,GS58*GS45/1000,0)</f>
        <v>0</v>
      </c>
      <c r="GT54" s="456">
        <f>IF(SUM($E$48:GT49)=0,GT58*GT45/1000,0)</f>
        <v>0</v>
      </c>
      <c r="GU54" s="456">
        <f>IF(SUM($E$48:GU49)=0,GU58*GU45/1000,0)</f>
        <v>0</v>
      </c>
      <c r="GV54" s="456">
        <f>IF(SUM($E$48:GV49)=0,GV58*GV45/1000,0)</f>
        <v>0</v>
      </c>
      <c r="GW54" s="456">
        <f>IF(SUM($E$48:GW49)=0,GW58*GW45/1000,0)</f>
        <v>0</v>
      </c>
      <c r="GX54" s="456">
        <f>IF(SUM($E$48:GX49)=0,GX58*GX45/1000,0)</f>
        <v>0</v>
      </c>
      <c r="GY54" s="456">
        <f>IF(SUM($E$48:GY49)=0,GY58*GY45/1000,0)</f>
        <v>0</v>
      </c>
      <c r="GZ54" s="456">
        <f>IF(SUM($E$48:GZ49)=0,GZ58*GZ45/1000,0)</f>
        <v>0</v>
      </c>
      <c r="HA54" s="456">
        <f>IF(SUM($E$48:HA49)=0,HA58*HA45/1000,0)</f>
        <v>0</v>
      </c>
      <c r="HB54" s="456">
        <f>IF(SUM($E$48:HB49)=0,HB58*HB45/1000,0)</f>
        <v>0</v>
      </c>
      <c r="HC54" s="456">
        <f>IF(SUM($E$48:HC49)=0,HC58*HC45/1000,0)</f>
        <v>0</v>
      </c>
      <c r="HD54" s="456">
        <f>IF(SUM($E$48:HD49)=0,HD58*HD45/1000,0)</f>
        <v>0</v>
      </c>
      <c r="HE54" s="456">
        <f>IF(SUM($E$48:HE49)=0,HE58*HE45/1000,0)</f>
        <v>0</v>
      </c>
      <c r="HF54" s="456">
        <f>IF(SUM($E$48:HF49)=0,HF58*HF45/1000,0)</f>
        <v>0</v>
      </c>
      <c r="HG54" s="456">
        <f>IF(SUM($E$48:HG49)=0,HG58*HG45/1000,0)</f>
        <v>0</v>
      </c>
      <c r="HH54" s="456">
        <f>IF(SUM($E$48:HH49)=0,HH58*HH45/1000,0)</f>
        <v>0</v>
      </c>
      <c r="HI54" s="456">
        <f>IF(SUM($E$48:HI49)=0,HI58*HI45/1000,0)</f>
        <v>0</v>
      </c>
      <c r="HJ54" s="456">
        <f>IF(SUM($E$48:HJ49)=0,HJ58*HJ45/1000,0)</f>
        <v>0</v>
      </c>
      <c r="HK54" s="456">
        <f>IF(SUM($E$48:HK49)=0,HK58*HK45/1000,0)</f>
        <v>0</v>
      </c>
      <c r="HL54" s="456">
        <f>IF(SUM($E$48:HL49)=0,HL58*HL45/1000,0)</f>
        <v>0</v>
      </c>
      <c r="HM54" s="456">
        <f>IF(SUM($E$48:HM49)=0,HM58*HM45/1000,0)</f>
        <v>0</v>
      </c>
      <c r="HN54" s="456">
        <f>IF(SUM($E$48:HN49)=0,HN58*HN45/1000,0)</f>
        <v>0</v>
      </c>
      <c r="HO54" s="456">
        <f>IF(SUM($E$48:HO49)=0,HO58*HO45/1000,0)</f>
        <v>0</v>
      </c>
      <c r="HP54" s="456">
        <f>IF(SUM($E$48:HP49)=0,HP58*HP45/1000,0)</f>
        <v>0</v>
      </c>
      <c r="HQ54" s="456">
        <f>IF(SUM($E$48:HQ49)=0,HQ58*HQ45/1000,0)</f>
        <v>0</v>
      </c>
      <c r="HR54" s="456">
        <f>IF(SUM($E$48:HR49)=0,HR58*HR45/1000,0)</f>
        <v>0</v>
      </c>
      <c r="HS54" s="456">
        <f>IF(SUM($E$48:HS49)=0,HS58*HS45/1000,0)</f>
        <v>0</v>
      </c>
      <c r="HT54" s="456">
        <f>IF(SUM($E$48:HT49)=0,HT58*HT45/1000,0)</f>
        <v>0</v>
      </c>
      <c r="HU54" s="456">
        <f>IF(SUM($E$48:HU49)=0,HU58*HU45/1000,0)</f>
        <v>0</v>
      </c>
      <c r="HV54" s="456">
        <f>IF(SUM($E$48:HV49)=0,HV58*HV45/1000,0)</f>
        <v>0</v>
      </c>
      <c r="HW54" s="456">
        <f>IF(SUM($E$48:HW49)=0,HW58*HW45/1000,0)</f>
        <v>0</v>
      </c>
      <c r="HX54" s="456">
        <f>IF(SUM($E$48:HX49)=0,HX58*HX45/1000,0)</f>
        <v>0</v>
      </c>
      <c r="HY54" s="456">
        <f>IF(SUM($E$48:HY49)=0,HY58*HY45/1000,0)</f>
        <v>0</v>
      </c>
      <c r="HZ54" s="456">
        <f>IF(SUM($E$48:HZ49)=0,HZ58*HZ45/1000,0)</f>
        <v>0</v>
      </c>
      <c r="IA54" s="456">
        <f>IF(SUM($E$48:IA49)=0,IA58*IA45/1000,0)</f>
        <v>0</v>
      </c>
      <c r="IB54" s="456">
        <f>IF(SUM($E$48:IB49)=0,IB58*IB45/1000,0)</f>
        <v>0</v>
      </c>
      <c r="IC54" s="456">
        <f>IF(SUM($E$48:IC49)=0,IC58*IC45/1000,0)</f>
        <v>0</v>
      </c>
      <c r="ID54" s="456">
        <f>IF(SUM($E$48:ID49)=0,ID58*ID45/1000,0)</f>
        <v>0</v>
      </c>
      <c r="IE54" s="456">
        <f>IF(SUM($E$48:IE49)=0,IE58*IE45/1000,0)</f>
        <v>0</v>
      </c>
      <c r="IF54" s="456">
        <f>IF(SUM($E$48:IF49)=0,IF58*IF45/1000,0)</f>
        <v>0</v>
      </c>
      <c r="IG54" s="456">
        <f>IF(SUM($E$48:IG49)=0,IG58*IG45/1000,0)</f>
        <v>0</v>
      </c>
      <c r="IH54" s="456">
        <f>IF(SUM($E$48:IH49)=0,IH58*IH45/1000,0)</f>
        <v>0</v>
      </c>
      <c r="II54" s="456">
        <f>IF(SUM($E$48:II49)=0,II58*II45/1000,0)</f>
        <v>0</v>
      </c>
      <c r="IJ54" s="456">
        <f>IF(SUM($E$48:IJ49)=0,IJ58*IJ45/1000,0)</f>
        <v>0</v>
      </c>
      <c r="IK54" s="456">
        <f>IF(SUM($E$48:IK49)=0,IK58*IK45/1000,0)</f>
        <v>0</v>
      </c>
      <c r="IL54" s="456">
        <f>IF(SUM($E$48:IL49)=0,IL58*IL45/1000,0)</f>
        <v>0</v>
      </c>
      <c r="IM54" s="456">
        <f>IF(SUM($E$48:IM49)=0,IM58*IM45/1000,0)</f>
        <v>0</v>
      </c>
      <c r="IN54" s="456">
        <f>IF(SUM($E$48:IN49)=0,IN58*IN45/1000,0)</f>
        <v>0</v>
      </c>
      <c r="IO54" s="456">
        <f>IF(SUM($E$48:IO49)=0,IO58*IO45/1000,0)</f>
        <v>0</v>
      </c>
      <c r="IP54" s="456">
        <f>IF(SUM($E$48:IP49)=0,IP58*IP45/1000,0)</f>
        <v>0</v>
      </c>
      <c r="IQ54" s="456">
        <f>IF(SUM($E$48:IQ49)=0,IQ58*IQ45/1000,0)</f>
        <v>0</v>
      </c>
      <c r="IR54" s="456">
        <f>IF(SUM($E$48:IR49)=0,IR58*IR45/1000,0)</f>
        <v>0</v>
      </c>
      <c r="IS54" s="456">
        <f>IF(SUM($E$48:IS49)=0,IS58*IS45/1000,0)</f>
        <v>0</v>
      </c>
      <c r="IT54" s="456">
        <f>IF(SUM($E$48:IT49)=0,IT58*IT45/1000,0)</f>
        <v>0</v>
      </c>
      <c r="IU54" s="456">
        <f>IF(SUM($E$48:IU49)=0,IU58*IU45/1000,0)</f>
        <v>0</v>
      </c>
      <c r="IV54" s="456">
        <f>IF(SUM($E$48:IV49)=0,IV58*IV45/1000,0)</f>
        <v>0</v>
      </c>
      <c r="IX54" s="323">
        <f>SUM(E54:IK54)</f>
        <v>101.07999999999994</v>
      </c>
    </row>
    <row r="55" spans="1:258">
      <c r="A55" s="319">
        <v>2</v>
      </c>
      <c r="B55" s="575" t="s">
        <v>300</v>
      </c>
      <c r="C55" s="575"/>
      <c r="D55" s="324" t="s">
        <v>455</v>
      </c>
      <c r="E55" s="455">
        <f t="shared" ref="E55:BP55" si="32">$F$35*E46/1000</f>
        <v>0</v>
      </c>
      <c r="F55" s="455">
        <f t="shared" si="32"/>
        <v>0</v>
      </c>
      <c r="G55" s="455">
        <f t="shared" si="32"/>
        <v>0</v>
      </c>
      <c r="H55" s="455">
        <f t="shared" si="32"/>
        <v>0</v>
      </c>
      <c r="I55" s="455">
        <f t="shared" si="32"/>
        <v>0</v>
      </c>
      <c r="J55" s="455">
        <f t="shared" si="32"/>
        <v>0</v>
      </c>
      <c r="K55" s="455">
        <f t="shared" si="32"/>
        <v>0</v>
      </c>
      <c r="L55" s="455">
        <f t="shared" si="32"/>
        <v>0</v>
      </c>
      <c r="M55" s="455">
        <f t="shared" si="32"/>
        <v>0</v>
      </c>
      <c r="N55" s="455">
        <f t="shared" si="32"/>
        <v>0</v>
      </c>
      <c r="O55" s="455">
        <f t="shared" si="32"/>
        <v>0</v>
      </c>
      <c r="P55" s="455">
        <f t="shared" si="32"/>
        <v>0</v>
      </c>
      <c r="Q55" s="455">
        <f t="shared" si="32"/>
        <v>0</v>
      </c>
      <c r="R55" s="455">
        <f t="shared" si="32"/>
        <v>0</v>
      </c>
      <c r="S55" s="455">
        <f t="shared" si="32"/>
        <v>0</v>
      </c>
      <c r="T55" s="455">
        <f t="shared" si="32"/>
        <v>0</v>
      </c>
      <c r="U55" s="455">
        <f t="shared" si="32"/>
        <v>0</v>
      </c>
      <c r="V55" s="455">
        <f t="shared" si="32"/>
        <v>0</v>
      </c>
      <c r="W55" s="455">
        <f t="shared" si="32"/>
        <v>0</v>
      </c>
      <c r="X55" s="455">
        <f t="shared" si="32"/>
        <v>0</v>
      </c>
      <c r="Y55" s="455">
        <f t="shared" si="32"/>
        <v>0</v>
      </c>
      <c r="Z55" s="455">
        <f t="shared" si="32"/>
        <v>0</v>
      </c>
      <c r="AA55" s="455">
        <f t="shared" si="32"/>
        <v>0</v>
      </c>
      <c r="AB55" s="455">
        <f t="shared" si="32"/>
        <v>0</v>
      </c>
      <c r="AC55" s="455">
        <f t="shared" si="32"/>
        <v>0</v>
      </c>
      <c r="AD55" s="455">
        <f t="shared" si="32"/>
        <v>0</v>
      </c>
      <c r="AE55" s="455">
        <f t="shared" si="32"/>
        <v>0</v>
      </c>
      <c r="AF55" s="455">
        <f t="shared" si="32"/>
        <v>0</v>
      </c>
      <c r="AG55" s="455">
        <f t="shared" si="32"/>
        <v>0</v>
      </c>
      <c r="AH55" s="455">
        <f t="shared" si="32"/>
        <v>0</v>
      </c>
      <c r="AI55" s="455">
        <f t="shared" si="32"/>
        <v>0</v>
      </c>
      <c r="AJ55" s="455">
        <f t="shared" si="32"/>
        <v>0</v>
      </c>
      <c r="AK55" s="455">
        <f t="shared" si="32"/>
        <v>0</v>
      </c>
      <c r="AL55" s="455">
        <f t="shared" si="32"/>
        <v>0</v>
      </c>
      <c r="AM55" s="455">
        <f t="shared" si="32"/>
        <v>0</v>
      </c>
      <c r="AN55" s="455">
        <f t="shared" si="32"/>
        <v>0</v>
      </c>
      <c r="AO55" s="455">
        <f t="shared" si="32"/>
        <v>5.89</v>
      </c>
      <c r="AP55" s="455">
        <f t="shared" si="32"/>
        <v>5.5099999999999989</v>
      </c>
      <c r="AQ55" s="455">
        <f t="shared" si="32"/>
        <v>5.89</v>
      </c>
      <c r="AR55" s="455">
        <f t="shared" si="32"/>
        <v>5.7</v>
      </c>
      <c r="AS55" s="455">
        <f t="shared" si="32"/>
        <v>5.89</v>
      </c>
      <c r="AT55" s="455">
        <f t="shared" si="32"/>
        <v>5.7</v>
      </c>
      <c r="AU55" s="455">
        <f t="shared" si="32"/>
        <v>5.89</v>
      </c>
      <c r="AV55" s="455">
        <f t="shared" si="32"/>
        <v>5.89</v>
      </c>
      <c r="AW55" s="455">
        <f t="shared" si="32"/>
        <v>5.7</v>
      </c>
      <c r="AX55" s="455">
        <f t="shared" si="32"/>
        <v>5.89</v>
      </c>
      <c r="AY55" s="455">
        <f t="shared" si="32"/>
        <v>5.7</v>
      </c>
      <c r="AZ55" s="455">
        <f t="shared" si="32"/>
        <v>5.89</v>
      </c>
      <c r="BA55" s="455">
        <f t="shared" si="32"/>
        <v>5.89</v>
      </c>
      <c r="BB55" s="455">
        <f t="shared" si="32"/>
        <v>5.32</v>
      </c>
      <c r="BC55" s="455">
        <f t="shared" si="32"/>
        <v>5.89</v>
      </c>
      <c r="BD55" s="455">
        <f t="shared" si="32"/>
        <v>5.7</v>
      </c>
      <c r="BE55" s="455">
        <f t="shared" si="32"/>
        <v>5.89</v>
      </c>
      <c r="BF55" s="455">
        <f t="shared" si="32"/>
        <v>5.7</v>
      </c>
      <c r="BG55" s="455">
        <f t="shared" si="32"/>
        <v>5.89</v>
      </c>
      <c r="BH55" s="455">
        <f t="shared" si="32"/>
        <v>5.89</v>
      </c>
      <c r="BI55" s="455">
        <f t="shared" si="32"/>
        <v>5.7</v>
      </c>
      <c r="BJ55" s="455">
        <f t="shared" si="32"/>
        <v>5.89</v>
      </c>
      <c r="BK55" s="455">
        <f t="shared" si="32"/>
        <v>5.7</v>
      </c>
      <c r="BL55" s="455">
        <f t="shared" si="32"/>
        <v>5.89</v>
      </c>
      <c r="BM55" s="455">
        <f t="shared" si="32"/>
        <v>5.89</v>
      </c>
      <c r="BN55" s="455">
        <f t="shared" si="32"/>
        <v>5.32</v>
      </c>
      <c r="BO55" s="455">
        <f t="shared" si="32"/>
        <v>5.89</v>
      </c>
      <c r="BP55" s="455">
        <f t="shared" si="32"/>
        <v>5.7</v>
      </c>
      <c r="BQ55" s="455">
        <f t="shared" ref="BQ55:EB55" si="33">$F$35*BQ46/1000</f>
        <v>5.89</v>
      </c>
      <c r="BR55" s="455">
        <f t="shared" si="33"/>
        <v>5.7</v>
      </c>
      <c r="BS55" s="455">
        <f t="shared" si="33"/>
        <v>5.89</v>
      </c>
      <c r="BT55" s="455">
        <f t="shared" si="33"/>
        <v>5.89</v>
      </c>
      <c r="BU55" s="455">
        <f t="shared" si="33"/>
        <v>5.7</v>
      </c>
      <c r="BV55" s="455">
        <f t="shared" si="33"/>
        <v>5.89</v>
      </c>
      <c r="BW55" s="455">
        <f t="shared" si="33"/>
        <v>5.7</v>
      </c>
      <c r="BX55" s="455">
        <f t="shared" si="33"/>
        <v>5.89</v>
      </c>
      <c r="BY55" s="455">
        <f t="shared" si="33"/>
        <v>5.89</v>
      </c>
      <c r="BZ55" s="455">
        <f t="shared" si="33"/>
        <v>5.32</v>
      </c>
      <c r="CA55" s="455">
        <f t="shared" si="33"/>
        <v>5.89</v>
      </c>
      <c r="CB55" s="455">
        <f t="shared" si="33"/>
        <v>5.7</v>
      </c>
      <c r="CC55" s="455">
        <f t="shared" si="33"/>
        <v>5.89</v>
      </c>
      <c r="CD55" s="455">
        <f t="shared" si="33"/>
        <v>5.7</v>
      </c>
      <c r="CE55" s="455">
        <f t="shared" si="33"/>
        <v>5.89</v>
      </c>
      <c r="CF55" s="455">
        <f t="shared" si="33"/>
        <v>5.89</v>
      </c>
      <c r="CG55" s="455">
        <f t="shared" si="33"/>
        <v>5.7</v>
      </c>
      <c r="CH55" s="455">
        <f t="shared" si="33"/>
        <v>5.89</v>
      </c>
      <c r="CI55" s="455">
        <f t="shared" si="33"/>
        <v>5.7</v>
      </c>
      <c r="CJ55" s="455">
        <f t="shared" si="33"/>
        <v>5.89</v>
      </c>
      <c r="CK55" s="455">
        <f t="shared" si="33"/>
        <v>5.89</v>
      </c>
      <c r="CL55" s="455">
        <f t="shared" si="33"/>
        <v>5.5099999999999989</v>
      </c>
      <c r="CM55" s="455">
        <f t="shared" si="33"/>
        <v>5.89</v>
      </c>
      <c r="CN55" s="455">
        <f t="shared" si="33"/>
        <v>5.7</v>
      </c>
      <c r="CO55" s="455">
        <f t="shared" si="33"/>
        <v>5.89</v>
      </c>
      <c r="CP55" s="455">
        <f t="shared" si="33"/>
        <v>5.7</v>
      </c>
      <c r="CQ55" s="455">
        <f t="shared" si="33"/>
        <v>5.89</v>
      </c>
      <c r="CR55" s="455">
        <f t="shared" si="33"/>
        <v>5.89</v>
      </c>
      <c r="CS55" s="455">
        <f t="shared" si="33"/>
        <v>5.7</v>
      </c>
      <c r="CT55" s="455">
        <f t="shared" si="33"/>
        <v>5.89</v>
      </c>
      <c r="CU55" s="455">
        <f t="shared" si="33"/>
        <v>5.7</v>
      </c>
      <c r="CV55" s="455">
        <f t="shared" si="33"/>
        <v>5.89</v>
      </c>
      <c r="CW55" s="455">
        <f t="shared" si="33"/>
        <v>5.89</v>
      </c>
      <c r="CX55" s="455">
        <f t="shared" si="33"/>
        <v>5.32</v>
      </c>
      <c r="CY55" s="455">
        <f t="shared" si="33"/>
        <v>5.89</v>
      </c>
      <c r="CZ55" s="455">
        <f t="shared" si="33"/>
        <v>5.7</v>
      </c>
      <c r="DA55" s="455">
        <f t="shared" si="33"/>
        <v>5.89</v>
      </c>
      <c r="DB55" s="455">
        <f t="shared" si="33"/>
        <v>5.7</v>
      </c>
      <c r="DC55" s="455">
        <f t="shared" si="33"/>
        <v>5.89</v>
      </c>
      <c r="DD55" s="455">
        <f t="shared" si="33"/>
        <v>5.89</v>
      </c>
      <c r="DE55" s="455">
        <f t="shared" si="33"/>
        <v>5.7</v>
      </c>
      <c r="DF55" s="455">
        <f t="shared" si="33"/>
        <v>5.89</v>
      </c>
      <c r="DG55" s="455">
        <f t="shared" si="33"/>
        <v>5.7</v>
      </c>
      <c r="DH55" s="455">
        <f t="shared" si="33"/>
        <v>5.89</v>
      </c>
      <c r="DI55" s="455">
        <f t="shared" si="33"/>
        <v>5.89</v>
      </c>
      <c r="DJ55" s="455">
        <f t="shared" si="33"/>
        <v>5.32</v>
      </c>
      <c r="DK55" s="455">
        <f t="shared" si="33"/>
        <v>5.89</v>
      </c>
      <c r="DL55" s="455">
        <f t="shared" si="33"/>
        <v>5.7</v>
      </c>
      <c r="DM55" s="455">
        <f t="shared" si="33"/>
        <v>5.89</v>
      </c>
      <c r="DN55" s="455">
        <f t="shared" si="33"/>
        <v>5.7</v>
      </c>
      <c r="DO55" s="455">
        <f t="shared" si="33"/>
        <v>5.89</v>
      </c>
      <c r="DP55" s="455">
        <f t="shared" si="33"/>
        <v>5.89</v>
      </c>
      <c r="DQ55" s="455">
        <f t="shared" si="33"/>
        <v>5.7</v>
      </c>
      <c r="DR55" s="455">
        <f t="shared" si="33"/>
        <v>5.89</v>
      </c>
      <c r="DS55" s="455">
        <f t="shared" si="33"/>
        <v>5.7</v>
      </c>
      <c r="DT55" s="455">
        <f t="shared" si="33"/>
        <v>5.89</v>
      </c>
      <c r="DU55" s="455">
        <f t="shared" si="33"/>
        <v>5.89</v>
      </c>
      <c r="DV55" s="455">
        <f t="shared" si="33"/>
        <v>5.32</v>
      </c>
      <c r="DW55" s="455">
        <f t="shared" si="33"/>
        <v>5.89</v>
      </c>
      <c r="DX55" s="455">
        <f t="shared" si="33"/>
        <v>5.7</v>
      </c>
      <c r="DY55" s="455">
        <f t="shared" si="33"/>
        <v>5.89</v>
      </c>
      <c r="DZ55" s="455">
        <f t="shared" si="33"/>
        <v>5.7</v>
      </c>
      <c r="EA55" s="455">
        <f t="shared" si="33"/>
        <v>5.89</v>
      </c>
      <c r="EB55" s="455">
        <f t="shared" si="33"/>
        <v>5.89</v>
      </c>
      <c r="EC55" s="455">
        <f t="shared" ref="EC55:GN55" si="34">$F$35*EC46/1000</f>
        <v>5.7</v>
      </c>
      <c r="ED55" s="455">
        <f t="shared" si="34"/>
        <v>5.89</v>
      </c>
      <c r="EE55" s="455">
        <f t="shared" si="34"/>
        <v>5.7</v>
      </c>
      <c r="EF55" s="455">
        <f t="shared" si="34"/>
        <v>5.89</v>
      </c>
      <c r="EG55" s="455">
        <f t="shared" si="34"/>
        <v>5.89</v>
      </c>
      <c r="EH55" s="455">
        <f t="shared" si="34"/>
        <v>5.5099999999999989</v>
      </c>
      <c r="EI55" s="455">
        <f t="shared" si="34"/>
        <v>5.89</v>
      </c>
      <c r="EJ55" s="455">
        <f t="shared" si="34"/>
        <v>5.7</v>
      </c>
      <c r="EK55" s="455">
        <f t="shared" si="34"/>
        <v>5.89</v>
      </c>
      <c r="EL55" s="455">
        <f t="shared" si="34"/>
        <v>5.7</v>
      </c>
      <c r="EM55" s="455">
        <f t="shared" si="34"/>
        <v>5.89</v>
      </c>
      <c r="EN55" s="455">
        <f t="shared" si="34"/>
        <v>5.89</v>
      </c>
      <c r="EO55" s="455">
        <f t="shared" si="34"/>
        <v>5.7</v>
      </c>
      <c r="EP55" s="455">
        <f t="shared" si="34"/>
        <v>5.89</v>
      </c>
      <c r="EQ55" s="455">
        <f t="shared" si="34"/>
        <v>5.7</v>
      </c>
      <c r="ER55" s="455">
        <f t="shared" si="34"/>
        <v>5.89</v>
      </c>
      <c r="ES55" s="455">
        <f t="shared" si="34"/>
        <v>5.89</v>
      </c>
      <c r="ET55" s="455">
        <f t="shared" si="34"/>
        <v>5.32</v>
      </c>
      <c r="EU55" s="455">
        <f t="shared" si="34"/>
        <v>5.89</v>
      </c>
      <c r="EV55" s="455">
        <f t="shared" si="34"/>
        <v>5.7</v>
      </c>
      <c r="EW55" s="455">
        <f t="shared" si="34"/>
        <v>5.89</v>
      </c>
      <c r="EX55" s="455">
        <f t="shared" si="34"/>
        <v>5.7</v>
      </c>
      <c r="EY55" s="455">
        <f t="shared" si="34"/>
        <v>5.89</v>
      </c>
      <c r="EZ55" s="455">
        <f t="shared" si="34"/>
        <v>5.89</v>
      </c>
      <c r="FA55" s="455">
        <f t="shared" si="34"/>
        <v>5.7</v>
      </c>
      <c r="FB55" s="455">
        <f t="shared" si="34"/>
        <v>5.89</v>
      </c>
      <c r="FC55" s="455">
        <f t="shared" si="34"/>
        <v>5.7</v>
      </c>
      <c r="FD55" s="455">
        <f t="shared" si="34"/>
        <v>5.89</v>
      </c>
      <c r="FE55" s="455">
        <f t="shared" si="34"/>
        <v>5.89</v>
      </c>
      <c r="FF55" s="455">
        <f t="shared" si="34"/>
        <v>5.32</v>
      </c>
      <c r="FG55" s="455">
        <f t="shared" si="34"/>
        <v>5.89</v>
      </c>
      <c r="FH55" s="455">
        <f t="shared" si="34"/>
        <v>5.7</v>
      </c>
      <c r="FI55" s="455">
        <f t="shared" si="34"/>
        <v>5.89</v>
      </c>
      <c r="FJ55" s="455">
        <f t="shared" si="34"/>
        <v>5.7</v>
      </c>
      <c r="FK55" s="455">
        <f t="shared" si="34"/>
        <v>5.89</v>
      </c>
      <c r="FL55" s="455">
        <f t="shared" si="34"/>
        <v>5.89</v>
      </c>
      <c r="FM55" s="455">
        <f t="shared" si="34"/>
        <v>5.7</v>
      </c>
      <c r="FN55" s="455">
        <f t="shared" si="34"/>
        <v>5.89</v>
      </c>
      <c r="FO55" s="455">
        <f t="shared" si="34"/>
        <v>5.7</v>
      </c>
      <c r="FP55" s="455">
        <f t="shared" si="34"/>
        <v>5.89</v>
      </c>
      <c r="FQ55" s="455">
        <f t="shared" si="34"/>
        <v>5.89</v>
      </c>
      <c r="FR55" s="455">
        <f t="shared" si="34"/>
        <v>5.32</v>
      </c>
      <c r="FS55" s="455">
        <f t="shared" si="34"/>
        <v>5.89</v>
      </c>
      <c r="FT55" s="455">
        <f t="shared" si="34"/>
        <v>5.7</v>
      </c>
      <c r="FU55" s="455">
        <f t="shared" si="34"/>
        <v>5.89</v>
      </c>
      <c r="FV55" s="455">
        <f t="shared" si="34"/>
        <v>5.7</v>
      </c>
      <c r="FW55" s="455">
        <f t="shared" si="34"/>
        <v>5.89</v>
      </c>
      <c r="FX55" s="455">
        <f t="shared" si="34"/>
        <v>5.89</v>
      </c>
      <c r="FY55" s="455">
        <f t="shared" si="34"/>
        <v>5.7</v>
      </c>
      <c r="FZ55" s="455">
        <f t="shared" si="34"/>
        <v>5.89</v>
      </c>
      <c r="GA55" s="455">
        <f t="shared" si="34"/>
        <v>5.7</v>
      </c>
      <c r="GB55" s="455">
        <f t="shared" si="34"/>
        <v>5.89</v>
      </c>
      <c r="GC55" s="455">
        <f t="shared" si="34"/>
        <v>5.89</v>
      </c>
      <c r="GD55" s="455">
        <f t="shared" si="34"/>
        <v>5.5099999999999989</v>
      </c>
      <c r="GE55" s="455">
        <f t="shared" si="34"/>
        <v>5.89</v>
      </c>
      <c r="GF55" s="455">
        <f t="shared" si="34"/>
        <v>5.7</v>
      </c>
      <c r="GG55" s="455">
        <f t="shared" si="34"/>
        <v>5.89</v>
      </c>
      <c r="GH55" s="455">
        <f t="shared" si="34"/>
        <v>5.7</v>
      </c>
      <c r="GI55" s="455">
        <f t="shared" si="34"/>
        <v>5.89</v>
      </c>
      <c r="GJ55" s="455">
        <f t="shared" si="34"/>
        <v>5.89</v>
      </c>
      <c r="GK55" s="455">
        <f t="shared" si="34"/>
        <v>5.7</v>
      </c>
      <c r="GL55" s="455">
        <f t="shared" si="34"/>
        <v>5.89</v>
      </c>
      <c r="GM55" s="455">
        <f t="shared" si="34"/>
        <v>5.7</v>
      </c>
      <c r="GN55" s="455">
        <f t="shared" si="34"/>
        <v>5.89</v>
      </c>
      <c r="GO55" s="455">
        <f t="shared" ref="GO55:IV55" si="35">$F$35*GO46/1000</f>
        <v>5.89</v>
      </c>
      <c r="GP55" s="455">
        <f t="shared" si="35"/>
        <v>5.32</v>
      </c>
      <c r="GQ55" s="455">
        <f t="shared" si="35"/>
        <v>5.89</v>
      </c>
      <c r="GR55" s="455">
        <f t="shared" si="35"/>
        <v>5.7</v>
      </c>
      <c r="GS55" s="455">
        <f t="shared" si="35"/>
        <v>5.89</v>
      </c>
      <c r="GT55" s="455">
        <f t="shared" si="35"/>
        <v>5.7</v>
      </c>
      <c r="GU55" s="455">
        <f t="shared" si="35"/>
        <v>5.89</v>
      </c>
      <c r="GV55" s="455">
        <f t="shared" si="35"/>
        <v>5.89</v>
      </c>
      <c r="GW55" s="455">
        <f t="shared" si="35"/>
        <v>5.7</v>
      </c>
      <c r="GX55" s="455">
        <f t="shared" si="35"/>
        <v>5.89</v>
      </c>
      <c r="GY55" s="455">
        <f t="shared" si="35"/>
        <v>5.7</v>
      </c>
      <c r="GZ55" s="455">
        <f t="shared" si="35"/>
        <v>5.89</v>
      </c>
      <c r="HA55" s="455">
        <f t="shared" si="35"/>
        <v>5.89</v>
      </c>
      <c r="HB55" s="455">
        <f t="shared" si="35"/>
        <v>5.32</v>
      </c>
      <c r="HC55" s="455">
        <f t="shared" si="35"/>
        <v>5.89</v>
      </c>
      <c r="HD55" s="455">
        <f t="shared" si="35"/>
        <v>5.7</v>
      </c>
      <c r="HE55" s="455">
        <f t="shared" si="35"/>
        <v>5.89</v>
      </c>
      <c r="HF55" s="455">
        <f t="shared" si="35"/>
        <v>5.7</v>
      </c>
      <c r="HG55" s="455">
        <f t="shared" si="35"/>
        <v>5.89</v>
      </c>
      <c r="HH55" s="455">
        <f t="shared" si="35"/>
        <v>5.89</v>
      </c>
      <c r="HI55" s="455">
        <f t="shared" si="35"/>
        <v>5.7</v>
      </c>
      <c r="HJ55" s="455">
        <f t="shared" si="35"/>
        <v>5.89</v>
      </c>
      <c r="HK55" s="455">
        <f t="shared" si="35"/>
        <v>5.7</v>
      </c>
      <c r="HL55" s="455">
        <f t="shared" si="35"/>
        <v>5.89</v>
      </c>
      <c r="HM55" s="455">
        <f t="shared" si="35"/>
        <v>5.89</v>
      </c>
      <c r="HN55" s="455">
        <f t="shared" si="35"/>
        <v>5.32</v>
      </c>
      <c r="HO55" s="455">
        <f t="shared" si="35"/>
        <v>5.89</v>
      </c>
      <c r="HP55" s="455">
        <f t="shared" si="35"/>
        <v>5.7</v>
      </c>
      <c r="HQ55" s="455">
        <f t="shared" si="35"/>
        <v>5.89</v>
      </c>
      <c r="HR55" s="455">
        <f t="shared" si="35"/>
        <v>5.7</v>
      </c>
      <c r="HS55" s="455">
        <f t="shared" si="35"/>
        <v>5.89</v>
      </c>
      <c r="HT55" s="455">
        <f t="shared" si="35"/>
        <v>5.89</v>
      </c>
      <c r="HU55" s="455">
        <f t="shared" si="35"/>
        <v>5.7</v>
      </c>
      <c r="HV55" s="455">
        <f t="shared" si="35"/>
        <v>5.89</v>
      </c>
      <c r="HW55" s="455">
        <f t="shared" si="35"/>
        <v>5.7</v>
      </c>
      <c r="HX55" s="455">
        <f t="shared" si="35"/>
        <v>5.89</v>
      </c>
      <c r="HY55" s="455">
        <f t="shared" si="35"/>
        <v>5.89</v>
      </c>
      <c r="HZ55" s="455">
        <f t="shared" si="35"/>
        <v>5.5099999999999989</v>
      </c>
      <c r="IA55" s="455">
        <f t="shared" si="35"/>
        <v>5.89</v>
      </c>
      <c r="IB55" s="455">
        <f t="shared" si="35"/>
        <v>5.7</v>
      </c>
      <c r="IC55" s="455">
        <f t="shared" si="35"/>
        <v>5.89</v>
      </c>
      <c r="ID55" s="455">
        <f t="shared" si="35"/>
        <v>5.7</v>
      </c>
      <c r="IE55" s="455">
        <f t="shared" si="35"/>
        <v>5.89</v>
      </c>
      <c r="IF55" s="455">
        <f t="shared" si="35"/>
        <v>5.89</v>
      </c>
      <c r="IG55" s="455">
        <f t="shared" si="35"/>
        <v>5.7</v>
      </c>
      <c r="IH55" s="455">
        <f t="shared" si="35"/>
        <v>5.89</v>
      </c>
      <c r="II55" s="455">
        <f t="shared" si="35"/>
        <v>5.7</v>
      </c>
      <c r="IJ55" s="455">
        <f t="shared" si="35"/>
        <v>5.89</v>
      </c>
      <c r="IK55" s="455">
        <f t="shared" si="35"/>
        <v>5.89</v>
      </c>
      <c r="IL55" s="455">
        <f t="shared" si="35"/>
        <v>5.32</v>
      </c>
      <c r="IM55" s="455">
        <f t="shared" si="35"/>
        <v>5.89</v>
      </c>
      <c r="IN55" s="455">
        <f t="shared" si="35"/>
        <v>5.7</v>
      </c>
      <c r="IO55" s="455">
        <f t="shared" si="35"/>
        <v>5.89</v>
      </c>
      <c r="IP55" s="455">
        <f t="shared" si="35"/>
        <v>5.7</v>
      </c>
      <c r="IQ55" s="455">
        <f t="shared" si="35"/>
        <v>5.89</v>
      </c>
      <c r="IR55" s="455">
        <f t="shared" si="35"/>
        <v>5.89</v>
      </c>
      <c r="IS55" s="455">
        <f t="shared" si="35"/>
        <v>5.7</v>
      </c>
      <c r="IT55" s="455">
        <f t="shared" si="35"/>
        <v>5.89</v>
      </c>
      <c r="IU55" s="455">
        <f t="shared" si="35"/>
        <v>5.7</v>
      </c>
      <c r="IV55" s="455">
        <f t="shared" si="35"/>
        <v>5.89</v>
      </c>
      <c r="IX55" s="326">
        <f>SUM(E55:IK55)</f>
        <v>1185.790000000002</v>
      </c>
    </row>
    <row r="56" spans="1:258">
      <c r="A56" s="319">
        <v>3</v>
      </c>
      <c r="B56" s="583" t="s">
        <v>558</v>
      </c>
      <c r="C56" s="583"/>
      <c r="D56" s="328" t="s">
        <v>113</v>
      </c>
      <c r="E56" s="454">
        <f t="shared" ref="E56:BP56" si="36">F39-E39</f>
        <v>31</v>
      </c>
      <c r="F56" s="454">
        <f t="shared" si="36"/>
        <v>28</v>
      </c>
      <c r="G56" s="454">
        <f t="shared" si="36"/>
        <v>31</v>
      </c>
      <c r="H56" s="454">
        <f t="shared" si="36"/>
        <v>30</v>
      </c>
      <c r="I56" s="454">
        <f t="shared" si="36"/>
        <v>31</v>
      </c>
      <c r="J56" s="454">
        <f t="shared" si="36"/>
        <v>30</v>
      </c>
      <c r="K56" s="454">
        <f t="shared" si="36"/>
        <v>31</v>
      </c>
      <c r="L56" s="454">
        <f t="shared" si="36"/>
        <v>31</v>
      </c>
      <c r="M56" s="454">
        <f t="shared" si="36"/>
        <v>30</v>
      </c>
      <c r="N56" s="454">
        <f t="shared" si="36"/>
        <v>31</v>
      </c>
      <c r="O56" s="454">
        <f t="shared" si="36"/>
        <v>30</v>
      </c>
      <c r="P56" s="454">
        <f t="shared" si="36"/>
        <v>31</v>
      </c>
      <c r="Q56" s="454">
        <f t="shared" si="36"/>
        <v>31</v>
      </c>
      <c r="R56" s="454">
        <f t="shared" si="36"/>
        <v>28</v>
      </c>
      <c r="S56" s="454">
        <f t="shared" si="36"/>
        <v>31</v>
      </c>
      <c r="T56" s="454">
        <f t="shared" si="36"/>
        <v>30</v>
      </c>
      <c r="U56" s="454">
        <f t="shared" si="36"/>
        <v>31</v>
      </c>
      <c r="V56" s="454">
        <f t="shared" si="36"/>
        <v>30</v>
      </c>
      <c r="W56" s="454">
        <f t="shared" si="36"/>
        <v>31</v>
      </c>
      <c r="X56" s="454">
        <f t="shared" si="36"/>
        <v>31</v>
      </c>
      <c r="Y56" s="454">
        <f t="shared" si="36"/>
        <v>30</v>
      </c>
      <c r="Z56" s="454">
        <f t="shared" si="36"/>
        <v>31</v>
      </c>
      <c r="AA56" s="454">
        <f t="shared" si="36"/>
        <v>30</v>
      </c>
      <c r="AB56" s="454">
        <f t="shared" si="36"/>
        <v>31</v>
      </c>
      <c r="AC56" s="454">
        <f t="shared" si="36"/>
        <v>31</v>
      </c>
      <c r="AD56" s="454">
        <f t="shared" si="36"/>
        <v>28</v>
      </c>
      <c r="AE56" s="454">
        <f t="shared" si="36"/>
        <v>31</v>
      </c>
      <c r="AF56" s="454">
        <f t="shared" si="36"/>
        <v>30</v>
      </c>
      <c r="AG56" s="454">
        <f t="shared" si="36"/>
        <v>31</v>
      </c>
      <c r="AH56" s="454">
        <f t="shared" si="36"/>
        <v>30</v>
      </c>
      <c r="AI56" s="454">
        <f t="shared" si="36"/>
        <v>31</v>
      </c>
      <c r="AJ56" s="454">
        <f t="shared" si="36"/>
        <v>31</v>
      </c>
      <c r="AK56" s="454">
        <f t="shared" si="36"/>
        <v>30</v>
      </c>
      <c r="AL56" s="454">
        <f t="shared" si="36"/>
        <v>31</v>
      </c>
      <c r="AM56" s="454">
        <f t="shared" si="36"/>
        <v>30</v>
      </c>
      <c r="AN56" s="454">
        <f t="shared" si="36"/>
        <v>31</v>
      </c>
      <c r="AO56" s="454">
        <f t="shared" si="36"/>
        <v>31</v>
      </c>
      <c r="AP56" s="454">
        <f t="shared" si="36"/>
        <v>29</v>
      </c>
      <c r="AQ56" s="454">
        <f t="shared" si="36"/>
        <v>31</v>
      </c>
      <c r="AR56" s="454">
        <f t="shared" si="36"/>
        <v>30</v>
      </c>
      <c r="AS56" s="454">
        <f t="shared" si="36"/>
        <v>31</v>
      </c>
      <c r="AT56" s="454">
        <f t="shared" si="36"/>
        <v>30</v>
      </c>
      <c r="AU56" s="454">
        <f t="shared" si="36"/>
        <v>31</v>
      </c>
      <c r="AV56" s="454">
        <f t="shared" si="36"/>
        <v>31</v>
      </c>
      <c r="AW56" s="454">
        <f t="shared" si="36"/>
        <v>30</v>
      </c>
      <c r="AX56" s="454">
        <f t="shared" si="36"/>
        <v>31</v>
      </c>
      <c r="AY56" s="454">
        <f t="shared" si="36"/>
        <v>30</v>
      </c>
      <c r="AZ56" s="454">
        <f t="shared" si="36"/>
        <v>31</v>
      </c>
      <c r="BA56" s="454">
        <f t="shared" si="36"/>
        <v>31</v>
      </c>
      <c r="BB56" s="454">
        <f t="shared" si="36"/>
        <v>28</v>
      </c>
      <c r="BC56" s="454">
        <f t="shared" si="36"/>
        <v>31</v>
      </c>
      <c r="BD56" s="454">
        <f t="shared" si="36"/>
        <v>30</v>
      </c>
      <c r="BE56" s="454">
        <f t="shared" si="36"/>
        <v>31</v>
      </c>
      <c r="BF56" s="454">
        <f t="shared" si="36"/>
        <v>30</v>
      </c>
      <c r="BG56" s="454">
        <f t="shared" si="36"/>
        <v>31</v>
      </c>
      <c r="BH56" s="454">
        <f t="shared" si="36"/>
        <v>31</v>
      </c>
      <c r="BI56" s="454">
        <f t="shared" si="36"/>
        <v>30</v>
      </c>
      <c r="BJ56" s="454">
        <f t="shared" si="36"/>
        <v>31</v>
      </c>
      <c r="BK56" s="454">
        <f t="shared" si="36"/>
        <v>30</v>
      </c>
      <c r="BL56" s="454">
        <f t="shared" si="36"/>
        <v>31</v>
      </c>
      <c r="BM56" s="454">
        <f t="shared" si="36"/>
        <v>31</v>
      </c>
      <c r="BN56" s="454">
        <f t="shared" si="36"/>
        <v>28</v>
      </c>
      <c r="BO56" s="454">
        <f t="shared" si="36"/>
        <v>31</v>
      </c>
      <c r="BP56" s="454">
        <f t="shared" si="36"/>
        <v>30</v>
      </c>
      <c r="BQ56" s="454">
        <f t="shared" ref="BQ56:EB56" si="37">BR39-BQ39</f>
        <v>31</v>
      </c>
      <c r="BR56" s="454">
        <f t="shared" si="37"/>
        <v>30</v>
      </c>
      <c r="BS56" s="454">
        <f t="shared" si="37"/>
        <v>31</v>
      </c>
      <c r="BT56" s="454">
        <f t="shared" si="37"/>
        <v>31</v>
      </c>
      <c r="BU56" s="454">
        <f t="shared" si="37"/>
        <v>30</v>
      </c>
      <c r="BV56" s="454">
        <f t="shared" si="37"/>
        <v>31</v>
      </c>
      <c r="BW56" s="454">
        <f t="shared" si="37"/>
        <v>30</v>
      </c>
      <c r="BX56" s="454">
        <f t="shared" si="37"/>
        <v>31</v>
      </c>
      <c r="BY56" s="454">
        <f t="shared" si="37"/>
        <v>31</v>
      </c>
      <c r="BZ56" s="454">
        <f t="shared" si="37"/>
        <v>28</v>
      </c>
      <c r="CA56" s="454">
        <f t="shared" si="37"/>
        <v>31</v>
      </c>
      <c r="CB56" s="454">
        <f t="shared" si="37"/>
        <v>30</v>
      </c>
      <c r="CC56" s="454">
        <f t="shared" si="37"/>
        <v>31</v>
      </c>
      <c r="CD56" s="454">
        <f t="shared" si="37"/>
        <v>30</v>
      </c>
      <c r="CE56" s="454">
        <f t="shared" si="37"/>
        <v>31</v>
      </c>
      <c r="CF56" s="454">
        <f t="shared" si="37"/>
        <v>31</v>
      </c>
      <c r="CG56" s="454">
        <f t="shared" si="37"/>
        <v>30</v>
      </c>
      <c r="CH56" s="454">
        <f t="shared" si="37"/>
        <v>31</v>
      </c>
      <c r="CI56" s="454">
        <f t="shared" si="37"/>
        <v>30</v>
      </c>
      <c r="CJ56" s="454">
        <f t="shared" si="37"/>
        <v>31</v>
      </c>
      <c r="CK56" s="454">
        <f t="shared" si="37"/>
        <v>31</v>
      </c>
      <c r="CL56" s="454">
        <f t="shared" si="37"/>
        <v>29</v>
      </c>
      <c r="CM56" s="454">
        <f t="shared" si="37"/>
        <v>31</v>
      </c>
      <c r="CN56" s="454">
        <f t="shared" si="37"/>
        <v>30</v>
      </c>
      <c r="CO56" s="454">
        <f t="shared" si="37"/>
        <v>31</v>
      </c>
      <c r="CP56" s="454">
        <f t="shared" si="37"/>
        <v>30</v>
      </c>
      <c r="CQ56" s="454">
        <f t="shared" si="37"/>
        <v>31</v>
      </c>
      <c r="CR56" s="454">
        <f t="shared" si="37"/>
        <v>31</v>
      </c>
      <c r="CS56" s="454">
        <f t="shared" si="37"/>
        <v>30</v>
      </c>
      <c r="CT56" s="454">
        <f t="shared" si="37"/>
        <v>31</v>
      </c>
      <c r="CU56" s="454">
        <f t="shared" si="37"/>
        <v>30</v>
      </c>
      <c r="CV56" s="454">
        <f t="shared" si="37"/>
        <v>31</v>
      </c>
      <c r="CW56" s="454">
        <f t="shared" si="37"/>
        <v>31</v>
      </c>
      <c r="CX56" s="454">
        <f t="shared" si="37"/>
        <v>28</v>
      </c>
      <c r="CY56" s="454">
        <f t="shared" si="37"/>
        <v>31</v>
      </c>
      <c r="CZ56" s="454">
        <f t="shared" si="37"/>
        <v>30</v>
      </c>
      <c r="DA56" s="454">
        <f t="shared" si="37"/>
        <v>31</v>
      </c>
      <c r="DB56" s="454">
        <f t="shared" si="37"/>
        <v>30</v>
      </c>
      <c r="DC56" s="454">
        <f t="shared" si="37"/>
        <v>31</v>
      </c>
      <c r="DD56" s="454">
        <f t="shared" si="37"/>
        <v>31</v>
      </c>
      <c r="DE56" s="454">
        <f t="shared" si="37"/>
        <v>30</v>
      </c>
      <c r="DF56" s="454">
        <f t="shared" si="37"/>
        <v>31</v>
      </c>
      <c r="DG56" s="454">
        <f t="shared" si="37"/>
        <v>30</v>
      </c>
      <c r="DH56" s="454">
        <f t="shared" si="37"/>
        <v>31</v>
      </c>
      <c r="DI56" s="454">
        <f t="shared" si="37"/>
        <v>31</v>
      </c>
      <c r="DJ56" s="454">
        <f t="shared" si="37"/>
        <v>28</v>
      </c>
      <c r="DK56" s="454">
        <f t="shared" si="37"/>
        <v>31</v>
      </c>
      <c r="DL56" s="454">
        <f t="shared" si="37"/>
        <v>30</v>
      </c>
      <c r="DM56" s="454">
        <f t="shared" si="37"/>
        <v>31</v>
      </c>
      <c r="DN56" s="454">
        <f t="shared" si="37"/>
        <v>30</v>
      </c>
      <c r="DO56" s="454">
        <f t="shared" si="37"/>
        <v>31</v>
      </c>
      <c r="DP56" s="454">
        <f t="shared" si="37"/>
        <v>31</v>
      </c>
      <c r="DQ56" s="454">
        <f t="shared" si="37"/>
        <v>30</v>
      </c>
      <c r="DR56" s="454">
        <f t="shared" si="37"/>
        <v>31</v>
      </c>
      <c r="DS56" s="454">
        <f t="shared" si="37"/>
        <v>30</v>
      </c>
      <c r="DT56" s="454">
        <f t="shared" si="37"/>
        <v>31</v>
      </c>
      <c r="DU56" s="454">
        <f t="shared" si="37"/>
        <v>31</v>
      </c>
      <c r="DV56" s="454">
        <f t="shared" si="37"/>
        <v>28</v>
      </c>
      <c r="DW56" s="454">
        <f t="shared" si="37"/>
        <v>31</v>
      </c>
      <c r="DX56" s="454">
        <f t="shared" si="37"/>
        <v>30</v>
      </c>
      <c r="DY56" s="454">
        <f t="shared" si="37"/>
        <v>31</v>
      </c>
      <c r="DZ56" s="454">
        <f t="shared" si="37"/>
        <v>30</v>
      </c>
      <c r="EA56" s="454">
        <f t="shared" si="37"/>
        <v>31</v>
      </c>
      <c r="EB56" s="454">
        <f t="shared" si="37"/>
        <v>31</v>
      </c>
      <c r="EC56" s="454">
        <f t="shared" ref="EC56:GN56" si="38">ED39-EC39</f>
        <v>30</v>
      </c>
      <c r="ED56" s="454">
        <f t="shared" si="38"/>
        <v>31</v>
      </c>
      <c r="EE56" s="454">
        <f t="shared" si="38"/>
        <v>30</v>
      </c>
      <c r="EF56" s="454">
        <f t="shared" si="38"/>
        <v>31</v>
      </c>
      <c r="EG56" s="454">
        <f t="shared" si="38"/>
        <v>31</v>
      </c>
      <c r="EH56" s="454">
        <f t="shared" si="38"/>
        <v>29</v>
      </c>
      <c r="EI56" s="454">
        <f t="shared" si="38"/>
        <v>31</v>
      </c>
      <c r="EJ56" s="454">
        <f t="shared" si="38"/>
        <v>30</v>
      </c>
      <c r="EK56" s="454">
        <f t="shared" si="38"/>
        <v>31</v>
      </c>
      <c r="EL56" s="454">
        <f t="shared" si="38"/>
        <v>30</v>
      </c>
      <c r="EM56" s="454">
        <f t="shared" si="38"/>
        <v>31</v>
      </c>
      <c r="EN56" s="454">
        <f t="shared" si="38"/>
        <v>31</v>
      </c>
      <c r="EO56" s="454">
        <f t="shared" si="38"/>
        <v>30</v>
      </c>
      <c r="EP56" s="454">
        <f t="shared" si="38"/>
        <v>31</v>
      </c>
      <c r="EQ56" s="454">
        <f t="shared" si="38"/>
        <v>30</v>
      </c>
      <c r="ER56" s="454">
        <f t="shared" si="38"/>
        <v>31</v>
      </c>
      <c r="ES56" s="454">
        <f t="shared" si="38"/>
        <v>31</v>
      </c>
      <c r="ET56" s="454">
        <f t="shared" si="38"/>
        <v>28</v>
      </c>
      <c r="EU56" s="454">
        <f t="shared" si="38"/>
        <v>31</v>
      </c>
      <c r="EV56" s="454">
        <f t="shared" si="38"/>
        <v>30</v>
      </c>
      <c r="EW56" s="454">
        <f t="shared" si="38"/>
        <v>31</v>
      </c>
      <c r="EX56" s="454">
        <f t="shared" si="38"/>
        <v>30</v>
      </c>
      <c r="EY56" s="454">
        <f t="shared" si="38"/>
        <v>31</v>
      </c>
      <c r="EZ56" s="454">
        <f t="shared" si="38"/>
        <v>31</v>
      </c>
      <c r="FA56" s="454">
        <f t="shared" si="38"/>
        <v>30</v>
      </c>
      <c r="FB56" s="454">
        <f t="shared" si="38"/>
        <v>31</v>
      </c>
      <c r="FC56" s="454">
        <f t="shared" si="38"/>
        <v>30</v>
      </c>
      <c r="FD56" s="454">
        <f t="shared" si="38"/>
        <v>31</v>
      </c>
      <c r="FE56" s="454">
        <f t="shared" si="38"/>
        <v>31</v>
      </c>
      <c r="FF56" s="454">
        <f t="shared" si="38"/>
        <v>28</v>
      </c>
      <c r="FG56" s="454">
        <f t="shared" si="38"/>
        <v>31</v>
      </c>
      <c r="FH56" s="454">
        <f t="shared" si="38"/>
        <v>30</v>
      </c>
      <c r="FI56" s="454">
        <f t="shared" si="38"/>
        <v>31</v>
      </c>
      <c r="FJ56" s="454">
        <f t="shared" si="38"/>
        <v>30</v>
      </c>
      <c r="FK56" s="454">
        <f t="shared" si="38"/>
        <v>31</v>
      </c>
      <c r="FL56" s="454">
        <f t="shared" si="38"/>
        <v>31</v>
      </c>
      <c r="FM56" s="454">
        <f t="shared" si="38"/>
        <v>30</v>
      </c>
      <c r="FN56" s="454">
        <f t="shared" si="38"/>
        <v>31</v>
      </c>
      <c r="FO56" s="454">
        <f t="shared" si="38"/>
        <v>30</v>
      </c>
      <c r="FP56" s="454">
        <f t="shared" si="38"/>
        <v>31</v>
      </c>
      <c r="FQ56" s="454">
        <f t="shared" si="38"/>
        <v>31</v>
      </c>
      <c r="FR56" s="454">
        <f t="shared" si="38"/>
        <v>28</v>
      </c>
      <c r="FS56" s="454">
        <f t="shared" si="38"/>
        <v>31</v>
      </c>
      <c r="FT56" s="454">
        <f t="shared" si="38"/>
        <v>30</v>
      </c>
      <c r="FU56" s="454">
        <f t="shared" si="38"/>
        <v>31</v>
      </c>
      <c r="FV56" s="454">
        <f t="shared" si="38"/>
        <v>30</v>
      </c>
      <c r="FW56" s="454">
        <f t="shared" si="38"/>
        <v>31</v>
      </c>
      <c r="FX56" s="454">
        <f t="shared" si="38"/>
        <v>31</v>
      </c>
      <c r="FY56" s="454">
        <f t="shared" si="38"/>
        <v>30</v>
      </c>
      <c r="FZ56" s="454">
        <f t="shared" si="38"/>
        <v>31</v>
      </c>
      <c r="GA56" s="454">
        <f t="shared" si="38"/>
        <v>30</v>
      </c>
      <c r="GB56" s="454">
        <f t="shared" si="38"/>
        <v>31</v>
      </c>
      <c r="GC56" s="454">
        <f t="shared" si="38"/>
        <v>31</v>
      </c>
      <c r="GD56" s="454">
        <f t="shared" si="38"/>
        <v>29</v>
      </c>
      <c r="GE56" s="454">
        <f t="shared" si="38"/>
        <v>31</v>
      </c>
      <c r="GF56" s="454">
        <f t="shared" si="38"/>
        <v>30</v>
      </c>
      <c r="GG56" s="454">
        <f t="shared" si="38"/>
        <v>31</v>
      </c>
      <c r="GH56" s="454">
        <f t="shared" si="38"/>
        <v>30</v>
      </c>
      <c r="GI56" s="454">
        <f t="shared" si="38"/>
        <v>31</v>
      </c>
      <c r="GJ56" s="454">
        <f t="shared" si="38"/>
        <v>31</v>
      </c>
      <c r="GK56" s="454">
        <f t="shared" si="38"/>
        <v>30</v>
      </c>
      <c r="GL56" s="454">
        <f t="shared" si="38"/>
        <v>31</v>
      </c>
      <c r="GM56" s="454">
        <f t="shared" si="38"/>
        <v>30</v>
      </c>
      <c r="GN56" s="454">
        <f t="shared" si="38"/>
        <v>31</v>
      </c>
      <c r="GO56" s="454">
        <f t="shared" ref="GO56:IV56" si="39">GP39-GO39</f>
        <v>31</v>
      </c>
      <c r="GP56" s="454">
        <f t="shared" si="39"/>
        <v>28</v>
      </c>
      <c r="GQ56" s="454">
        <f t="shared" si="39"/>
        <v>31</v>
      </c>
      <c r="GR56" s="454">
        <f t="shared" si="39"/>
        <v>30</v>
      </c>
      <c r="GS56" s="454">
        <f t="shared" si="39"/>
        <v>31</v>
      </c>
      <c r="GT56" s="454">
        <f t="shared" si="39"/>
        <v>30</v>
      </c>
      <c r="GU56" s="454">
        <f t="shared" si="39"/>
        <v>31</v>
      </c>
      <c r="GV56" s="454">
        <f t="shared" si="39"/>
        <v>31</v>
      </c>
      <c r="GW56" s="454">
        <f t="shared" si="39"/>
        <v>30</v>
      </c>
      <c r="GX56" s="454">
        <f t="shared" si="39"/>
        <v>31</v>
      </c>
      <c r="GY56" s="454">
        <f t="shared" si="39"/>
        <v>30</v>
      </c>
      <c r="GZ56" s="454">
        <f t="shared" si="39"/>
        <v>31</v>
      </c>
      <c r="HA56" s="454">
        <f t="shared" si="39"/>
        <v>31</v>
      </c>
      <c r="HB56" s="454">
        <f t="shared" si="39"/>
        <v>28</v>
      </c>
      <c r="HC56" s="454">
        <f t="shared" si="39"/>
        <v>31</v>
      </c>
      <c r="HD56" s="454">
        <f t="shared" si="39"/>
        <v>30</v>
      </c>
      <c r="HE56" s="454">
        <f t="shared" si="39"/>
        <v>31</v>
      </c>
      <c r="HF56" s="454">
        <f t="shared" si="39"/>
        <v>30</v>
      </c>
      <c r="HG56" s="454">
        <f t="shared" si="39"/>
        <v>31</v>
      </c>
      <c r="HH56" s="454">
        <f t="shared" si="39"/>
        <v>31</v>
      </c>
      <c r="HI56" s="454">
        <f t="shared" si="39"/>
        <v>30</v>
      </c>
      <c r="HJ56" s="454">
        <f t="shared" si="39"/>
        <v>31</v>
      </c>
      <c r="HK56" s="454">
        <f t="shared" si="39"/>
        <v>30</v>
      </c>
      <c r="HL56" s="454">
        <f t="shared" si="39"/>
        <v>31</v>
      </c>
      <c r="HM56" s="454">
        <f t="shared" si="39"/>
        <v>31</v>
      </c>
      <c r="HN56" s="454">
        <f t="shared" si="39"/>
        <v>28</v>
      </c>
      <c r="HO56" s="454">
        <f t="shared" si="39"/>
        <v>31</v>
      </c>
      <c r="HP56" s="454">
        <f t="shared" si="39"/>
        <v>30</v>
      </c>
      <c r="HQ56" s="454">
        <f t="shared" si="39"/>
        <v>31</v>
      </c>
      <c r="HR56" s="454">
        <f t="shared" si="39"/>
        <v>30</v>
      </c>
      <c r="HS56" s="454">
        <f t="shared" si="39"/>
        <v>31</v>
      </c>
      <c r="HT56" s="454">
        <f t="shared" si="39"/>
        <v>31</v>
      </c>
      <c r="HU56" s="454">
        <f t="shared" si="39"/>
        <v>30</v>
      </c>
      <c r="HV56" s="454">
        <f t="shared" si="39"/>
        <v>31</v>
      </c>
      <c r="HW56" s="454">
        <f t="shared" si="39"/>
        <v>30</v>
      </c>
      <c r="HX56" s="454">
        <f t="shared" si="39"/>
        <v>31</v>
      </c>
      <c r="HY56" s="454">
        <f t="shared" si="39"/>
        <v>31</v>
      </c>
      <c r="HZ56" s="454">
        <f t="shared" si="39"/>
        <v>29</v>
      </c>
      <c r="IA56" s="454">
        <f t="shared" si="39"/>
        <v>31</v>
      </c>
      <c r="IB56" s="454">
        <f t="shared" si="39"/>
        <v>30</v>
      </c>
      <c r="IC56" s="454">
        <f t="shared" si="39"/>
        <v>31</v>
      </c>
      <c r="ID56" s="454">
        <f t="shared" si="39"/>
        <v>30</v>
      </c>
      <c r="IE56" s="454">
        <f t="shared" si="39"/>
        <v>31</v>
      </c>
      <c r="IF56" s="454">
        <f t="shared" si="39"/>
        <v>31</v>
      </c>
      <c r="IG56" s="454">
        <f t="shared" si="39"/>
        <v>30</v>
      </c>
      <c r="IH56" s="454">
        <f t="shared" si="39"/>
        <v>31</v>
      </c>
      <c r="II56" s="454">
        <f t="shared" si="39"/>
        <v>30</v>
      </c>
      <c r="IJ56" s="454">
        <f t="shared" si="39"/>
        <v>31</v>
      </c>
      <c r="IK56" s="454">
        <f t="shared" si="39"/>
        <v>31</v>
      </c>
      <c r="IL56" s="454">
        <f t="shared" si="39"/>
        <v>28</v>
      </c>
      <c r="IM56" s="454">
        <f t="shared" si="39"/>
        <v>31</v>
      </c>
      <c r="IN56" s="454">
        <f t="shared" si="39"/>
        <v>30</v>
      </c>
      <c r="IO56" s="454">
        <f t="shared" si="39"/>
        <v>31</v>
      </c>
      <c r="IP56" s="454">
        <f t="shared" si="39"/>
        <v>30</v>
      </c>
      <c r="IQ56" s="454">
        <f t="shared" si="39"/>
        <v>31</v>
      </c>
      <c r="IR56" s="454">
        <f t="shared" si="39"/>
        <v>31</v>
      </c>
      <c r="IS56" s="454">
        <f t="shared" si="39"/>
        <v>30</v>
      </c>
      <c r="IT56" s="454">
        <f t="shared" si="39"/>
        <v>31</v>
      </c>
      <c r="IU56" s="454">
        <f t="shared" si="39"/>
        <v>30</v>
      </c>
      <c r="IV56" s="454">
        <f t="shared" si="39"/>
        <v>31</v>
      </c>
      <c r="IX56" s="323">
        <f>SUM(E56:IK56)</f>
        <v>7336</v>
      </c>
    </row>
    <row r="57" spans="1:258">
      <c r="A57" s="319">
        <v>1</v>
      </c>
      <c r="B57" s="575" t="s">
        <v>460</v>
      </c>
      <c r="C57" s="575"/>
      <c r="D57" s="323" t="s">
        <v>409</v>
      </c>
      <c r="E57" s="453">
        <f>IF(E41=1,$F$32,0)</f>
        <v>0</v>
      </c>
      <c r="F57" s="453">
        <f>IF(F41=1,$F$32,E57*$L$31)</f>
        <v>60</v>
      </c>
      <c r="G57" s="453">
        <f t="shared" ref="G57:BR57" si="40">IF(G41=1,$F$32,F57*$L$31)</f>
        <v>57</v>
      </c>
      <c r="H57" s="453">
        <f t="shared" si="40"/>
        <v>54.15</v>
      </c>
      <c r="I57" s="453">
        <f t="shared" si="40"/>
        <v>51.442499999999995</v>
      </c>
      <c r="J57" s="453">
        <f t="shared" si="40"/>
        <v>48.870374999999996</v>
      </c>
      <c r="K57" s="453">
        <f t="shared" si="40"/>
        <v>46.426856249999993</v>
      </c>
      <c r="L57" s="453">
        <f t="shared" si="40"/>
        <v>44.105513437499994</v>
      </c>
      <c r="M57" s="453">
        <f t="shared" si="40"/>
        <v>41.900237765624993</v>
      </c>
      <c r="N57" s="453">
        <f t="shared" si="40"/>
        <v>39.805225877343744</v>
      </c>
      <c r="O57" s="453">
        <f t="shared" si="40"/>
        <v>37.814964583476552</v>
      </c>
      <c r="P57" s="453">
        <f t="shared" si="40"/>
        <v>35.924216354302722</v>
      </c>
      <c r="Q57" s="453">
        <f t="shared" si="40"/>
        <v>34.128005536587587</v>
      </c>
      <c r="R57" s="453">
        <f t="shared" si="40"/>
        <v>32.421605259758209</v>
      </c>
      <c r="S57" s="453">
        <f t="shared" si="40"/>
        <v>30.800524996770296</v>
      </c>
      <c r="T57" s="453">
        <f t="shared" si="40"/>
        <v>29.260498746931781</v>
      </c>
      <c r="U57" s="453">
        <f t="shared" si="40"/>
        <v>27.797473809585192</v>
      </c>
      <c r="V57" s="453">
        <f t="shared" si="40"/>
        <v>26.407600119105933</v>
      </c>
      <c r="W57" s="453">
        <f t="shared" si="40"/>
        <v>25.087220113150636</v>
      </c>
      <c r="X57" s="453">
        <f t="shared" si="40"/>
        <v>23.832859107493103</v>
      </c>
      <c r="Y57" s="453">
        <f t="shared" si="40"/>
        <v>22.641216152118446</v>
      </c>
      <c r="Z57" s="453">
        <f t="shared" si="40"/>
        <v>21.509155344512521</v>
      </c>
      <c r="AA57" s="453">
        <f t="shared" si="40"/>
        <v>20.433697577286896</v>
      </c>
      <c r="AB57" s="453">
        <f t="shared" si="40"/>
        <v>19.412012698422551</v>
      </c>
      <c r="AC57" s="453">
        <f t="shared" si="40"/>
        <v>18.441412063501421</v>
      </c>
      <c r="AD57" s="453">
        <f t="shared" si="40"/>
        <v>17.519341460326348</v>
      </c>
      <c r="AE57" s="453">
        <f t="shared" si="40"/>
        <v>16.643374387310029</v>
      </c>
      <c r="AF57" s="453">
        <f t="shared" si="40"/>
        <v>15.811205667944527</v>
      </c>
      <c r="AG57" s="453">
        <f t="shared" si="40"/>
        <v>15.020645384547301</v>
      </c>
      <c r="AH57" s="453">
        <f t="shared" si="40"/>
        <v>14.269613115319935</v>
      </c>
      <c r="AI57" s="453">
        <f t="shared" si="40"/>
        <v>13.556132459553938</v>
      </c>
      <c r="AJ57" s="453">
        <f t="shared" si="40"/>
        <v>12.87832583657624</v>
      </c>
      <c r="AK57" s="453">
        <f t="shared" si="40"/>
        <v>12.234409544747427</v>
      </c>
      <c r="AL57" s="453">
        <f t="shared" si="40"/>
        <v>11.622689067510056</v>
      </c>
      <c r="AM57" s="453">
        <f t="shared" si="40"/>
        <v>11.041554614134553</v>
      </c>
      <c r="AN57" s="453">
        <f t="shared" si="40"/>
        <v>10.489476883427825</v>
      </c>
      <c r="AO57" s="453">
        <f t="shared" si="40"/>
        <v>9.9650030392564339</v>
      </c>
      <c r="AP57" s="453">
        <f t="shared" si="40"/>
        <v>9.4667528872936124</v>
      </c>
      <c r="AQ57" s="453">
        <f t="shared" si="40"/>
        <v>8.9934152429289309</v>
      </c>
      <c r="AR57" s="453">
        <f t="shared" si="40"/>
        <v>8.5437444807824843</v>
      </c>
      <c r="AS57" s="453">
        <f t="shared" si="40"/>
        <v>8.1165572567433593</v>
      </c>
      <c r="AT57" s="453">
        <f t="shared" si="40"/>
        <v>7.7107293939061909</v>
      </c>
      <c r="AU57" s="453">
        <f t="shared" si="40"/>
        <v>7.3251929242108806</v>
      </c>
      <c r="AV57" s="453">
        <f t="shared" si="40"/>
        <v>6.9589332780003366</v>
      </c>
      <c r="AW57" s="453">
        <f t="shared" si="40"/>
        <v>6.6109866141003195</v>
      </c>
      <c r="AX57" s="453">
        <f t="shared" si="40"/>
        <v>6.2804372833953028</v>
      </c>
      <c r="AY57" s="453">
        <f t="shared" si="40"/>
        <v>5.9664154192255374</v>
      </c>
      <c r="AZ57" s="453">
        <f t="shared" si="40"/>
        <v>5.66809464826426</v>
      </c>
      <c r="BA57" s="453">
        <f t="shared" si="40"/>
        <v>5.3846899158510464</v>
      </c>
      <c r="BB57" s="453">
        <f t="shared" si="40"/>
        <v>5.1154554200584936</v>
      </c>
      <c r="BC57" s="453">
        <f t="shared" si="40"/>
        <v>4.8596826490555687</v>
      </c>
      <c r="BD57" s="453">
        <f t="shared" si="40"/>
        <v>4.6166985166027903</v>
      </c>
      <c r="BE57" s="453">
        <f t="shared" si="40"/>
        <v>4.3858635907726509</v>
      </c>
      <c r="BF57" s="453">
        <f t="shared" si="40"/>
        <v>4.1665704112340185</v>
      </c>
      <c r="BG57" s="453">
        <f t="shared" si="40"/>
        <v>3.9582418906723174</v>
      </c>
      <c r="BH57" s="453">
        <f t="shared" si="40"/>
        <v>3.7603297961387012</v>
      </c>
      <c r="BI57" s="453">
        <f t="shared" si="40"/>
        <v>3.572313306331766</v>
      </c>
      <c r="BJ57" s="453">
        <f t="shared" si="40"/>
        <v>3.3936976410151773</v>
      </c>
      <c r="BK57" s="453">
        <f t="shared" si="40"/>
        <v>3.2240127589644185</v>
      </c>
      <c r="BL57" s="453">
        <f t="shared" si="40"/>
        <v>3.0628121210161976</v>
      </c>
      <c r="BM57" s="453">
        <f t="shared" si="40"/>
        <v>2.9096715149653876</v>
      </c>
      <c r="BN57" s="453">
        <f t="shared" si="40"/>
        <v>2.764187939217118</v>
      </c>
      <c r="BO57" s="453">
        <f t="shared" si="40"/>
        <v>2.625978542256262</v>
      </c>
      <c r="BP57" s="453">
        <f t="shared" si="40"/>
        <v>2.4946796151434487</v>
      </c>
      <c r="BQ57" s="453">
        <f t="shared" si="40"/>
        <v>2.3699456343862764</v>
      </c>
      <c r="BR57" s="453">
        <f t="shared" si="40"/>
        <v>2.2514483526669626</v>
      </c>
      <c r="BS57" s="453">
        <f t="shared" ref="BS57:ED57" si="41">IF(BS41=1,$F$32,BR57*$L$31)</f>
        <v>2.1388759350336146</v>
      </c>
      <c r="BT57" s="453">
        <f t="shared" si="41"/>
        <v>2.0319321382819338</v>
      </c>
      <c r="BU57" s="453">
        <f t="shared" si="41"/>
        <v>1.930335531367837</v>
      </c>
      <c r="BV57" s="453">
        <f t="shared" si="41"/>
        <v>1.8338187547994451</v>
      </c>
      <c r="BW57" s="453">
        <f t="shared" si="41"/>
        <v>1.7421278170594727</v>
      </c>
      <c r="BX57" s="453">
        <f t="shared" si="41"/>
        <v>1.6550214262064991</v>
      </c>
      <c r="BY57" s="453">
        <f t="shared" si="41"/>
        <v>1.5722703548961741</v>
      </c>
      <c r="BZ57" s="453">
        <f t="shared" si="41"/>
        <v>1.4936568371513652</v>
      </c>
      <c r="CA57" s="453">
        <f t="shared" si="41"/>
        <v>1.418973995293797</v>
      </c>
      <c r="CB57" s="453">
        <f t="shared" si="41"/>
        <v>1.348025295529107</v>
      </c>
      <c r="CC57" s="453">
        <f t="shared" si="41"/>
        <v>1.2806240307526515</v>
      </c>
      <c r="CD57" s="453">
        <f t="shared" si="41"/>
        <v>1.216592829215019</v>
      </c>
      <c r="CE57" s="453">
        <f t="shared" si="41"/>
        <v>1.155763187754268</v>
      </c>
      <c r="CF57" s="453">
        <f t="shared" si="41"/>
        <v>1.0979750283665546</v>
      </c>
      <c r="CG57" s="453">
        <f t="shared" si="41"/>
        <v>1.0430762769482269</v>
      </c>
      <c r="CH57" s="453">
        <f t="shared" si="41"/>
        <v>0.99092246310081555</v>
      </c>
      <c r="CI57" s="453">
        <f t="shared" si="41"/>
        <v>0.94137633994577474</v>
      </c>
      <c r="CJ57" s="453">
        <f t="shared" si="41"/>
        <v>0.89430752294848592</v>
      </c>
      <c r="CK57" s="453">
        <f t="shared" si="41"/>
        <v>0.84959214680106154</v>
      </c>
      <c r="CL57" s="453">
        <f t="shared" si="41"/>
        <v>0.80711253946100847</v>
      </c>
      <c r="CM57" s="453">
        <f t="shared" si="41"/>
        <v>0.76675691248795796</v>
      </c>
      <c r="CN57" s="453">
        <f t="shared" si="41"/>
        <v>0.72841906686356006</v>
      </c>
      <c r="CO57" s="453">
        <f t="shared" si="41"/>
        <v>0.69199811352038199</v>
      </c>
      <c r="CP57" s="453">
        <f t="shared" si="41"/>
        <v>0.65739820784436287</v>
      </c>
      <c r="CQ57" s="453">
        <f t="shared" si="41"/>
        <v>0.62452829745214467</v>
      </c>
      <c r="CR57" s="453">
        <f t="shared" si="41"/>
        <v>0.59330188257953742</v>
      </c>
      <c r="CS57" s="453">
        <f t="shared" si="41"/>
        <v>0.56363678845056053</v>
      </c>
      <c r="CT57" s="453">
        <f t="shared" si="41"/>
        <v>0.53545494902803248</v>
      </c>
      <c r="CU57" s="453">
        <f t="shared" si="41"/>
        <v>0.5086822015766308</v>
      </c>
      <c r="CV57" s="453">
        <f t="shared" si="41"/>
        <v>0.48324809149779924</v>
      </c>
      <c r="CW57" s="453">
        <f t="shared" si="41"/>
        <v>0.45908568692290924</v>
      </c>
      <c r="CX57" s="453">
        <f t="shared" si="41"/>
        <v>0.43613140257676375</v>
      </c>
      <c r="CY57" s="453">
        <f t="shared" si="41"/>
        <v>0.41432483244792556</v>
      </c>
      <c r="CZ57" s="453">
        <f t="shared" si="41"/>
        <v>0.39360859082552929</v>
      </c>
      <c r="DA57" s="453">
        <f t="shared" si="41"/>
        <v>0.37392816128425282</v>
      </c>
      <c r="DB57" s="453">
        <f t="shared" si="41"/>
        <v>0.35523175322004019</v>
      </c>
      <c r="DC57" s="453">
        <f t="shared" si="41"/>
        <v>0.33747016555903819</v>
      </c>
      <c r="DD57" s="453">
        <f t="shared" si="41"/>
        <v>0.32059665728108627</v>
      </c>
      <c r="DE57" s="453">
        <f t="shared" si="41"/>
        <v>0.30456682441703192</v>
      </c>
      <c r="DF57" s="453">
        <f t="shared" si="41"/>
        <v>0.28933848319618033</v>
      </c>
      <c r="DG57" s="453">
        <f t="shared" si="41"/>
        <v>0.27487155903637128</v>
      </c>
      <c r="DH57" s="453">
        <f t="shared" si="41"/>
        <v>0.26112798108455271</v>
      </c>
      <c r="DI57" s="453">
        <f t="shared" si="41"/>
        <v>0.24807158203032506</v>
      </c>
      <c r="DJ57" s="453">
        <f t="shared" si="41"/>
        <v>0.2356680029288088</v>
      </c>
      <c r="DK57" s="453">
        <f t="shared" si="41"/>
        <v>0.22388460278236835</v>
      </c>
      <c r="DL57" s="453">
        <f t="shared" si="41"/>
        <v>0.21269037264324991</v>
      </c>
      <c r="DM57" s="453">
        <f t="shared" si="41"/>
        <v>0.20205585401108742</v>
      </c>
      <c r="DN57" s="453">
        <f t="shared" si="41"/>
        <v>0.19195306131053302</v>
      </c>
      <c r="DO57" s="453">
        <f t="shared" si="41"/>
        <v>0.18235540824500637</v>
      </c>
      <c r="DP57" s="453">
        <f t="shared" si="41"/>
        <v>0.17323763783275606</v>
      </c>
      <c r="DQ57" s="453">
        <f t="shared" si="41"/>
        <v>0.16457575594111826</v>
      </c>
      <c r="DR57" s="453">
        <f t="shared" si="41"/>
        <v>0.15634696814406235</v>
      </c>
      <c r="DS57" s="453">
        <f t="shared" si="41"/>
        <v>0.14852961973685921</v>
      </c>
      <c r="DT57" s="453">
        <f t="shared" si="41"/>
        <v>0.14110313875001626</v>
      </c>
      <c r="DU57" s="453">
        <f t="shared" si="41"/>
        <v>0.13404798181251545</v>
      </c>
      <c r="DV57" s="453">
        <f t="shared" si="41"/>
        <v>0.12734558272188967</v>
      </c>
      <c r="DW57" s="453">
        <f t="shared" si="41"/>
        <v>0.12097830358579519</v>
      </c>
      <c r="DX57" s="453">
        <f t="shared" si="41"/>
        <v>0.11492938840650542</v>
      </c>
      <c r="DY57" s="453">
        <f t="shared" si="41"/>
        <v>0.10918291898618014</v>
      </c>
      <c r="DZ57" s="453">
        <f t="shared" si="41"/>
        <v>0.10372377303687114</v>
      </c>
      <c r="EA57" s="453">
        <f t="shared" si="41"/>
        <v>9.8537584385027577E-2</v>
      </c>
      <c r="EB57" s="453">
        <f t="shared" si="41"/>
        <v>9.3610705165776187E-2</v>
      </c>
      <c r="EC57" s="453">
        <f t="shared" si="41"/>
        <v>8.893016990748738E-2</v>
      </c>
      <c r="ED57" s="453">
        <f t="shared" si="41"/>
        <v>8.4483661412113012E-2</v>
      </c>
      <c r="EE57" s="453">
        <f t="shared" ref="EE57:GP57" si="42">IF(EE41=1,$F$32,ED57*$L$31)</f>
        <v>8.0259478341507359E-2</v>
      </c>
      <c r="EF57" s="453">
        <f t="shared" si="42"/>
        <v>7.6246504424431982E-2</v>
      </c>
      <c r="EG57" s="453">
        <f t="shared" si="42"/>
        <v>7.243417920321038E-2</v>
      </c>
      <c r="EH57" s="453">
        <f t="shared" si="42"/>
        <v>6.8812470243049859E-2</v>
      </c>
      <c r="EI57" s="453">
        <f t="shared" si="42"/>
        <v>6.5371846730897368E-2</v>
      </c>
      <c r="EJ57" s="453">
        <f t="shared" si="42"/>
        <v>6.2103254394352499E-2</v>
      </c>
      <c r="EK57" s="453">
        <f t="shared" si="42"/>
        <v>5.8998091674634871E-2</v>
      </c>
      <c r="EL57" s="453">
        <f t="shared" si="42"/>
        <v>5.6048187090903125E-2</v>
      </c>
      <c r="EM57" s="453">
        <f t="shared" si="42"/>
        <v>5.3245777736357969E-2</v>
      </c>
      <c r="EN57" s="453">
        <f t="shared" si="42"/>
        <v>5.0583488849540066E-2</v>
      </c>
      <c r="EO57" s="453">
        <f t="shared" si="42"/>
        <v>4.8054314407063058E-2</v>
      </c>
      <c r="EP57" s="453">
        <f t="shared" si="42"/>
        <v>4.5651598686709906E-2</v>
      </c>
      <c r="EQ57" s="453">
        <f t="shared" si="42"/>
        <v>4.3369018752374408E-2</v>
      </c>
      <c r="ER57" s="453">
        <f t="shared" si="42"/>
        <v>4.1200567814755687E-2</v>
      </c>
      <c r="ES57" s="453">
        <f t="shared" si="42"/>
        <v>3.9140539424017899E-2</v>
      </c>
      <c r="ET57" s="453">
        <f t="shared" si="42"/>
        <v>3.7183512452817001E-2</v>
      </c>
      <c r="EU57" s="453">
        <f t="shared" si="42"/>
        <v>3.5324336830176148E-2</v>
      </c>
      <c r="EV57" s="453">
        <f t="shared" si="42"/>
        <v>3.355811998866734E-2</v>
      </c>
      <c r="EW57" s="453">
        <f t="shared" si="42"/>
        <v>3.188021398923397E-2</v>
      </c>
      <c r="EX57" s="453">
        <f t="shared" si="42"/>
        <v>3.028620328977227E-2</v>
      </c>
      <c r="EY57" s="453">
        <f t="shared" si="42"/>
        <v>2.8771893125283655E-2</v>
      </c>
      <c r="EZ57" s="453">
        <f t="shared" si="42"/>
        <v>2.7333298469019471E-2</v>
      </c>
      <c r="FA57" s="453">
        <f t="shared" si="42"/>
        <v>2.5966633545568496E-2</v>
      </c>
      <c r="FB57" s="453">
        <f t="shared" si="42"/>
        <v>2.4668301868290068E-2</v>
      </c>
      <c r="FC57" s="453">
        <f t="shared" si="42"/>
        <v>2.3434886774875565E-2</v>
      </c>
      <c r="FD57" s="453">
        <f t="shared" si="42"/>
        <v>2.2263142436131787E-2</v>
      </c>
      <c r="FE57" s="453">
        <f t="shared" si="42"/>
        <v>2.1149985314325197E-2</v>
      </c>
      <c r="FF57" s="453">
        <f t="shared" si="42"/>
        <v>2.0092486048608936E-2</v>
      </c>
      <c r="FG57" s="453">
        <f t="shared" si="42"/>
        <v>1.9087861746178488E-2</v>
      </c>
      <c r="FH57" s="453">
        <f t="shared" si="42"/>
        <v>1.8133468658869563E-2</v>
      </c>
      <c r="FI57" s="453">
        <f t="shared" si="42"/>
        <v>1.7226795225926083E-2</v>
      </c>
      <c r="FJ57" s="453">
        <f t="shared" si="42"/>
        <v>1.6365455464629777E-2</v>
      </c>
      <c r="FK57" s="453">
        <f t="shared" si="42"/>
        <v>1.5547182691398287E-2</v>
      </c>
      <c r="FL57" s="453">
        <f t="shared" si="42"/>
        <v>1.4769823556828373E-2</v>
      </c>
      <c r="FM57" s="453">
        <f t="shared" si="42"/>
        <v>1.4031332378986953E-2</v>
      </c>
      <c r="FN57" s="453">
        <f t="shared" si="42"/>
        <v>1.3329765760037604E-2</v>
      </c>
      <c r="FO57" s="453">
        <f t="shared" si="42"/>
        <v>1.2663277472035724E-2</v>
      </c>
      <c r="FP57" s="453">
        <f t="shared" si="42"/>
        <v>1.2030113598433936E-2</v>
      </c>
      <c r="FQ57" s="453">
        <f t="shared" si="42"/>
        <v>1.1428607918512239E-2</v>
      </c>
      <c r="FR57" s="453">
        <f t="shared" si="42"/>
        <v>1.0857177522586626E-2</v>
      </c>
      <c r="FS57" s="453">
        <f t="shared" si="42"/>
        <v>1.0314318646457293E-2</v>
      </c>
      <c r="FT57" s="453">
        <f t="shared" si="42"/>
        <v>9.7986027141344287E-3</v>
      </c>
      <c r="FU57" s="453">
        <f t="shared" si="42"/>
        <v>9.3086725784277072E-3</v>
      </c>
      <c r="FV57" s="453">
        <f t="shared" si="42"/>
        <v>8.8432389495063223E-3</v>
      </c>
      <c r="FW57" s="453">
        <f t="shared" si="42"/>
        <v>8.4010770020310054E-3</v>
      </c>
      <c r="FX57" s="453">
        <f t="shared" si="42"/>
        <v>7.9810231519294554E-3</v>
      </c>
      <c r="FY57" s="453">
        <f t="shared" si="42"/>
        <v>7.5819719943329821E-3</v>
      </c>
      <c r="FZ57" s="453">
        <f t="shared" si="42"/>
        <v>7.2028733946163329E-3</v>
      </c>
      <c r="GA57" s="453">
        <f t="shared" si="42"/>
        <v>6.8427297248855158E-3</v>
      </c>
      <c r="GB57" s="453">
        <f t="shared" si="42"/>
        <v>6.5005932386412394E-3</v>
      </c>
      <c r="GC57" s="453">
        <f t="shared" si="42"/>
        <v>6.1755635767091772E-3</v>
      </c>
      <c r="GD57" s="453">
        <f t="shared" si="42"/>
        <v>5.8667853978737177E-3</v>
      </c>
      <c r="GE57" s="453">
        <f t="shared" si="42"/>
        <v>5.5734461279800312E-3</v>
      </c>
      <c r="GF57" s="453">
        <f t="shared" si="42"/>
        <v>5.2947738215810298E-3</v>
      </c>
      <c r="GG57" s="453">
        <f t="shared" si="42"/>
        <v>5.0300351305019777E-3</v>
      </c>
      <c r="GH57" s="453">
        <f t="shared" si="42"/>
        <v>4.7785333739768787E-3</v>
      </c>
      <c r="GI57" s="453">
        <f t="shared" si="42"/>
        <v>4.5396067052780346E-3</v>
      </c>
      <c r="GJ57" s="453">
        <f t="shared" si="42"/>
        <v>4.312626370014133E-3</v>
      </c>
      <c r="GK57" s="453">
        <f t="shared" si="42"/>
        <v>4.0969950515134263E-3</v>
      </c>
      <c r="GL57" s="453">
        <f t="shared" si="42"/>
        <v>3.8921452989377548E-3</v>
      </c>
      <c r="GM57" s="453">
        <f t="shared" si="42"/>
        <v>3.6975380339908668E-3</v>
      </c>
      <c r="GN57" s="453">
        <f t="shared" si="42"/>
        <v>3.5126611322913231E-3</v>
      </c>
      <c r="GO57" s="453">
        <f t="shared" si="42"/>
        <v>3.3370280756767567E-3</v>
      </c>
      <c r="GP57" s="453">
        <f t="shared" si="42"/>
        <v>3.1701766718929187E-3</v>
      </c>
      <c r="GQ57" s="453">
        <f t="shared" ref="GQ57:IV57" si="43">IF(GQ41=1,$F$32,GP57*$L$31)</f>
        <v>3.0116678382982728E-3</v>
      </c>
      <c r="GR57" s="453">
        <f t="shared" si="43"/>
        <v>2.8610844463833589E-3</v>
      </c>
      <c r="GS57" s="453">
        <f t="shared" si="43"/>
        <v>2.718030224064191E-3</v>
      </c>
      <c r="GT57" s="453">
        <f t="shared" si="43"/>
        <v>2.5821287128609811E-3</v>
      </c>
      <c r="GU57" s="453">
        <f t="shared" si="43"/>
        <v>2.4530222772179318E-3</v>
      </c>
      <c r="GV57" s="453">
        <f t="shared" si="43"/>
        <v>2.3303711633570353E-3</v>
      </c>
      <c r="GW57" s="453">
        <f t="shared" si="43"/>
        <v>2.2138526051891836E-3</v>
      </c>
      <c r="GX57" s="453">
        <f t="shared" si="43"/>
        <v>2.1031599749297245E-3</v>
      </c>
      <c r="GY57" s="453">
        <f t="shared" si="43"/>
        <v>1.9980019761832381E-3</v>
      </c>
      <c r="GZ57" s="453">
        <f t="shared" si="43"/>
        <v>1.8981018773740761E-3</v>
      </c>
      <c r="HA57" s="453">
        <f t="shared" si="43"/>
        <v>1.8031967835053721E-3</v>
      </c>
      <c r="HB57" s="453">
        <f t="shared" si="43"/>
        <v>1.7130369443301035E-3</v>
      </c>
      <c r="HC57" s="453">
        <f t="shared" si="43"/>
        <v>1.6273850971135983E-3</v>
      </c>
      <c r="HD57" s="453">
        <f t="shared" si="43"/>
        <v>1.5460158422579183E-3</v>
      </c>
      <c r="HE57" s="453">
        <f t="shared" si="43"/>
        <v>1.4687150501450222E-3</v>
      </c>
      <c r="HF57" s="453">
        <f t="shared" si="43"/>
        <v>1.3952792976377711E-3</v>
      </c>
      <c r="HG57" s="453">
        <f t="shared" si="43"/>
        <v>1.3255153327558825E-3</v>
      </c>
      <c r="HH57" s="453">
        <f t="shared" si="43"/>
        <v>1.2592395661180883E-3</v>
      </c>
      <c r="HI57" s="453">
        <f t="shared" si="43"/>
        <v>1.1962775878121838E-3</v>
      </c>
      <c r="HJ57" s="453">
        <f t="shared" si="43"/>
        <v>1.1364637084215745E-3</v>
      </c>
      <c r="HK57" s="453">
        <f t="shared" si="43"/>
        <v>1.0796405230004958E-3</v>
      </c>
      <c r="HL57" s="453">
        <f t="shared" si="43"/>
        <v>1.025658496850471E-3</v>
      </c>
      <c r="HM57" s="453">
        <f t="shared" si="43"/>
        <v>9.7437557200794739E-4</v>
      </c>
      <c r="HN57" s="453">
        <f t="shared" si="43"/>
        <v>9.2565679340755002E-4</v>
      </c>
      <c r="HO57" s="453">
        <f t="shared" si="43"/>
        <v>8.7937395373717249E-4</v>
      </c>
      <c r="HP57" s="453">
        <f t="shared" si="43"/>
        <v>8.3540525605031387E-4</v>
      </c>
      <c r="HQ57" s="453">
        <f t="shared" si="43"/>
        <v>7.9363499324779812E-4</v>
      </c>
      <c r="HR57" s="453">
        <f t="shared" si="43"/>
        <v>7.5395324358540816E-4</v>
      </c>
      <c r="HS57" s="453">
        <f t="shared" si="43"/>
        <v>7.162555814061377E-4</v>
      </c>
      <c r="HT57" s="453">
        <f t="shared" si="43"/>
        <v>6.8044280233583076E-4</v>
      </c>
      <c r="HU57" s="453">
        <f t="shared" si="43"/>
        <v>6.4642066221903924E-4</v>
      </c>
      <c r="HV57" s="453">
        <f t="shared" si="43"/>
        <v>6.1409962910808724E-4</v>
      </c>
      <c r="HW57" s="453">
        <f t="shared" si="43"/>
        <v>5.8339464765268289E-4</v>
      </c>
      <c r="HX57" s="453">
        <f t="shared" si="43"/>
        <v>5.5422491527004874E-4</v>
      </c>
      <c r="HY57" s="453">
        <f t="shared" si="43"/>
        <v>5.2651366950654628E-4</v>
      </c>
      <c r="HZ57" s="453">
        <f t="shared" si="43"/>
        <v>5.0018798603121894E-4</v>
      </c>
      <c r="IA57" s="453">
        <f t="shared" si="43"/>
        <v>4.7517858672965795E-4</v>
      </c>
      <c r="IB57" s="453">
        <f t="shared" si="43"/>
        <v>4.5141965739317505E-4</v>
      </c>
      <c r="IC57" s="453">
        <f t="shared" si="43"/>
        <v>4.2884867452351626E-4</v>
      </c>
      <c r="ID57" s="453">
        <f t="shared" si="43"/>
        <v>4.0740624079734042E-4</v>
      </c>
      <c r="IE57" s="453">
        <f t="shared" si="43"/>
        <v>3.8703592875747336E-4</v>
      </c>
      <c r="IF57" s="453">
        <f t="shared" si="43"/>
        <v>3.6768413231959968E-4</v>
      </c>
      <c r="IG57" s="453">
        <f t="shared" si="43"/>
        <v>3.4929992570361968E-4</v>
      </c>
      <c r="IH57" s="453">
        <f t="shared" si="43"/>
        <v>3.3183492941843868E-4</v>
      </c>
      <c r="II57" s="453">
        <f t="shared" si="43"/>
        <v>3.1524318294751672E-4</v>
      </c>
      <c r="IJ57" s="453">
        <f t="shared" si="43"/>
        <v>2.9948102380014088E-4</v>
      </c>
      <c r="IK57" s="453">
        <f t="shared" si="43"/>
        <v>2.8450697261013383E-4</v>
      </c>
      <c r="IL57" s="453">
        <f t="shared" si="43"/>
        <v>2.7028162397962712E-4</v>
      </c>
      <c r="IM57" s="453">
        <f t="shared" si="43"/>
        <v>2.5676754278064576E-4</v>
      </c>
      <c r="IN57" s="453">
        <f t="shared" si="43"/>
        <v>2.4392916564161345E-4</v>
      </c>
      <c r="IO57" s="453">
        <f t="shared" si="43"/>
        <v>2.3173270735953277E-4</v>
      </c>
      <c r="IP57" s="453">
        <f t="shared" si="43"/>
        <v>2.2014607199155614E-4</v>
      </c>
      <c r="IQ57" s="453">
        <f t="shared" si="43"/>
        <v>2.0913876839197832E-4</v>
      </c>
      <c r="IR57" s="453">
        <f t="shared" si="43"/>
        <v>1.986818299723794E-4</v>
      </c>
      <c r="IS57" s="453">
        <f t="shared" si="43"/>
        <v>1.8874773847376043E-4</v>
      </c>
      <c r="IT57" s="453">
        <f t="shared" si="43"/>
        <v>1.7931035155007241E-4</v>
      </c>
      <c r="IU57" s="453">
        <f t="shared" si="43"/>
        <v>1.7034483397256877E-4</v>
      </c>
      <c r="IV57" s="453">
        <f t="shared" si="43"/>
        <v>1.6182759227394034E-4</v>
      </c>
      <c r="IX57" s="323">
        <f>IX52/IX45*1000</f>
        <v>27.723324111976279</v>
      </c>
    </row>
    <row r="58" spans="1:258">
      <c r="A58" s="319">
        <v>1</v>
      </c>
      <c r="B58" s="575" t="s">
        <v>563</v>
      </c>
      <c r="C58" s="575"/>
      <c r="D58" s="323" t="s">
        <v>410</v>
      </c>
      <c r="E58" s="453">
        <f>IF(E41=1,$F$33,0)</f>
        <v>0</v>
      </c>
      <c r="F58" s="453">
        <f>IF(F41=1,$F$33,E58*$L$33)</f>
        <v>100</v>
      </c>
      <c r="G58" s="453">
        <f t="shared" ref="G58:BR58" si="44">IF(G41=1,$F$33,F58*$L$33)</f>
        <v>100</v>
      </c>
      <c r="H58" s="453">
        <f t="shared" si="44"/>
        <v>100</v>
      </c>
      <c r="I58" s="453">
        <f t="shared" si="44"/>
        <v>100</v>
      </c>
      <c r="J58" s="453">
        <f t="shared" si="44"/>
        <v>100</v>
      </c>
      <c r="K58" s="453">
        <f t="shared" si="44"/>
        <v>100</v>
      </c>
      <c r="L58" s="453">
        <f t="shared" si="44"/>
        <v>100</v>
      </c>
      <c r="M58" s="453">
        <f t="shared" si="44"/>
        <v>100</v>
      </c>
      <c r="N58" s="453">
        <f t="shared" si="44"/>
        <v>100</v>
      </c>
      <c r="O58" s="453">
        <f t="shared" si="44"/>
        <v>100</v>
      </c>
      <c r="P58" s="453">
        <f t="shared" si="44"/>
        <v>100</v>
      </c>
      <c r="Q58" s="453">
        <f t="shared" si="44"/>
        <v>100</v>
      </c>
      <c r="R58" s="453">
        <f t="shared" si="44"/>
        <v>100</v>
      </c>
      <c r="S58" s="453">
        <f t="shared" si="44"/>
        <v>100</v>
      </c>
      <c r="T58" s="453">
        <f t="shared" si="44"/>
        <v>100</v>
      </c>
      <c r="U58" s="453">
        <f t="shared" si="44"/>
        <v>100</v>
      </c>
      <c r="V58" s="453">
        <f t="shared" si="44"/>
        <v>100</v>
      </c>
      <c r="W58" s="453">
        <f t="shared" si="44"/>
        <v>100</v>
      </c>
      <c r="X58" s="453">
        <f t="shared" si="44"/>
        <v>100</v>
      </c>
      <c r="Y58" s="453">
        <f t="shared" si="44"/>
        <v>100</v>
      </c>
      <c r="Z58" s="453">
        <f t="shared" si="44"/>
        <v>100</v>
      </c>
      <c r="AA58" s="453">
        <f t="shared" si="44"/>
        <v>100</v>
      </c>
      <c r="AB58" s="453">
        <f t="shared" si="44"/>
        <v>100</v>
      </c>
      <c r="AC58" s="453">
        <f t="shared" si="44"/>
        <v>100</v>
      </c>
      <c r="AD58" s="453">
        <f t="shared" si="44"/>
        <v>100</v>
      </c>
      <c r="AE58" s="453">
        <f t="shared" si="44"/>
        <v>100</v>
      </c>
      <c r="AF58" s="453">
        <f t="shared" si="44"/>
        <v>100</v>
      </c>
      <c r="AG58" s="453">
        <f t="shared" si="44"/>
        <v>100</v>
      </c>
      <c r="AH58" s="453">
        <f t="shared" si="44"/>
        <v>100</v>
      </c>
      <c r="AI58" s="453">
        <f t="shared" si="44"/>
        <v>100</v>
      </c>
      <c r="AJ58" s="453">
        <f t="shared" si="44"/>
        <v>100</v>
      </c>
      <c r="AK58" s="453">
        <f t="shared" si="44"/>
        <v>100</v>
      </c>
      <c r="AL58" s="453">
        <f t="shared" si="44"/>
        <v>100</v>
      </c>
      <c r="AM58" s="453">
        <f t="shared" si="44"/>
        <v>100</v>
      </c>
      <c r="AN58" s="453">
        <f t="shared" si="44"/>
        <v>100</v>
      </c>
      <c r="AO58" s="453">
        <f t="shared" si="44"/>
        <v>100</v>
      </c>
      <c r="AP58" s="453">
        <f t="shared" si="44"/>
        <v>100</v>
      </c>
      <c r="AQ58" s="453">
        <f t="shared" si="44"/>
        <v>100</v>
      </c>
      <c r="AR58" s="453">
        <f t="shared" si="44"/>
        <v>100</v>
      </c>
      <c r="AS58" s="453">
        <f t="shared" si="44"/>
        <v>100</v>
      </c>
      <c r="AT58" s="453">
        <f t="shared" si="44"/>
        <v>100</v>
      </c>
      <c r="AU58" s="453">
        <f t="shared" si="44"/>
        <v>100</v>
      </c>
      <c r="AV58" s="453">
        <f t="shared" si="44"/>
        <v>100</v>
      </c>
      <c r="AW58" s="453">
        <f t="shared" si="44"/>
        <v>100</v>
      </c>
      <c r="AX58" s="453">
        <f t="shared" si="44"/>
        <v>100</v>
      </c>
      <c r="AY58" s="453">
        <f t="shared" si="44"/>
        <v>100</v>
      </c>
      <c r="AZ58" s="453">
        <f t="shared" si="44"/>
        <v>100</v>
      </c>
      <c r="BA58" s="453">
        <f t="shared" si="44"/>
        <v>100</v>
      </c>
      <c r="BB58" s="453">
        <f t="shared" si="44"/>
        <v>100</v>
      </c>
      <c r="BC58" s="453">
        <f t="shared" si="44"/>
        <v>100</v>
      </c>
      <c r="BD58" s="453">
        <f t="shared" si="44"/>
        <v>100</v>
      </c>
      <c r="BE58" s="453">
        <f t="shared" si="44"/>
        <v>100</v>
      </c>
      <c r="BF58" s="453">
        <f t="shared" si="44"/>
        <v>100</v>
      </c>
      <c r="BG58" s="453">
        <f t="shared" si="44"/>
        <v>100</v>
      </c>
      <c r="BH58" s="453">
        <f t="shared" si="44"/>
        <v>100</v>
      </c>
      <c r="BI58" s="453">
        <f t="shared" si="44"/>
        <v>100</v>
      </c>
      <c r="BJ58" s="453">
        <f t="shared" si="44"/>
        <v>100</v>
      </c>
      <c r="BK58" s="453">
        <f t="shared" si="44"/>
        <v>100</v>
      </c>
      <c r="BL58" s="453">
        <f t="shared" si="44"/>
        <v>100</v>
      </c>
      <c r="BM58" s="453">
        <f t="shared" si="44"/>
        <v>100</v>
      </c>
      <c r="BN58" s="453">
        <f t="shared" si="44"/>
        <v>100</v>
      </c>
      <c r="BO58" s="453">
        <f t="shared" si="44"/>
        <v>100</v>
      </c>
      <c r="BP58" s="453">
        <f t="shared" si="44"/>
        <v>100</v>
      </c>
      <c r="BQ58" s="453">
        <f t="shared" si="44"/>
        <v>100</v>
      </c>
      <c r="BR58" s="453">
        <f t="shared" si="44"/>
        <v>100</v>
      </c>
      <c r="BS58" s="453">
        <f t="shared" ref="BS58:ED58" si="45">IF(BS41=1,$F$33,BR58*$L$33)</f>
        <v>100</v>
      </c>
      <c r="BT58" s="453">
        <f t="shared" si="45"/>
        <v>100</v>
      </c>
      <c r="BU58" s="453">
        <f t="shared" si="45"/>
        <v>100</v>
      </c>
      <c r="BV58" s="453">
        <f t="shared" si="45"/>
        <v>100</v>
      </c>
      <c r="BW58" s="453">
        <f t="shared" si="45"/>
        <v>100</v>
      </c>
      <c r="BX58" s="453">
        <f t="shared" si="45"/>
        <v>100</v>
      </c>
      <c r="BY58" s="453">
        <f t="shared" si="45"/>
        <v>100</v>
      </c>
      <c r="BZ58" s="453">
        <f t="shared" si="45"/>
        <v>100</v>
      </c>
      <c r="CA58" s="453">
        <f t="shared" si="45"/>
        <v>100</v>
      </c>
      <c r="CB58" s="453">
        <f t="shared" si="45"/>
        <v>100</v>
      </c>
      <c r="CC58" s="453">
        <f t="shared" si="45"/>
        <v>100</v>
      </c>
      <c r="CD58" s="453">
        <f t="shared" si="45"/>
        <v>100</v>
      </c>
      <c r="CE58" s="453">
        <f t="shared" si="45"/>
        <v>100</v>
      </c>
      <c r="CF58" s="453">
        <f t="shared" si="45"/>
        <v>100</v>
      </c>
      <c r="CG58" s="453">
        <f t="shared" si="45"/>
        <v>100</v>
      </c>
      <c r="CH58" s="453">
        <f t="shared" si="45"/>
        <v>100</v>
      </c>
      <c r="CI58" s="453">
        <f t="shared" si="45"/>
        <v>100</v>
      </c>
      <c r="CJ58" s="453">
        <f t="shared" si="45"/>
        <v>100</v>
      </c>
      <c r="CK58" s="453">
        <f t="shared" si="45"/>
        <v>100</v>
      </c>
      <c r="CL58" s="453">
        <f t="shared" si="45"/>
        <v>100</v>
      </c>
      <c r="CM58" s="453">
        <f t="shared" si="45"/>
        <v>100</v>
      </c>
      <c r="CN58" s="453">
        <f t="shared" si="45"/>
        <v>100</v>
      </c>
      <c r="CO58" s="453">
        <f t="shared" si="45"/>
        <v>100</v>
      </c>
      <c r="CP58" s="453">
        <f t="shared" si="45"/>
        <v>100</v>
      </c>
      <c r="CQ58" s="453">
        <f t="shared" si="45"/>
        <v>100</v>
      </c>
      <c r="CR58" s="453">
        <f t="shared" si="45"/>
        <v>100</v>
      </c>
      <c r="CS58" s="453">
        <f t="shared" si="45"/>
        <v>100</v>
      </c>
      <c r="CT58" s="453">
        <f t="shared" si="45"/>
        <v>100</v>
      </c>
      <c r="CU58" s="453">
        <f t="shared" si="45"/>
        <v>100</v>
      </c>
      <c r="CV58" s="453">
        <f t="shared" si="45"/>
        <v>100</v>
      </c>
      <c r="CW58" s="453">
        <f t="shared" si="45"/>
        <v>100</v>
      </c>
      <c r="CX58" s="453">
        <f t="shared" si="45"/>
        <v>100</v>
      </c>
      <c r="CY58" s="453">
        <f t="shared" si="45"/>
        <v>100</v>
      </c>
      <c r="CZ58" s="453">
        <f t="shared" si="45"/>
        <v>100</v>
      </c>
      <c r="DA58" s="453">
        <f t="shared" si="45"/>
        <v>100</v>
      </c>
      <c r="DB58" s="453">
        <f t="shared" si="45"/>
        <v>100</v>
      </c>
      <c r="DC58" s="453">
        <f t="shared" si="45"/>
        <v>100</v>
      </c>
      <c r="DD58" s="453">
        <f t="shared" si="45"/>
        <v>100</v>
      </c>
      <c r="DE58" s="453">
        <f t="shared" si="45"/>
        <v>100</v>
      </c>
      <c r="DF58" s="453">
        <f t="shared" si="45"/>
        <v>100</v>
      </c>
      <c r="DG58" s="453">
        <f t="shared" si="45"/>
        <v>100</v>
      </c>
      <c r="DH58" s="453">
        <f t="shared" si="45"/>
        <v>100</v>
      </c>
      <c r="DI58" s="453">
        <f t="shared" si="45"/>
        <v>100</v>
      </c>
      <c r="DJ58" s="453">
        <f t="shared" si="45"/>
        <v>100</v>
      </c>
      <c r="DK58" s="453">
        <f t="shared" si="45"/>
        <v>100</v>
      </c>
      <c r="DL58" s="453">
        <f t="shared" si="45"/>
        <v>100</v>
      </c>
      <c r="DM58" s="453">
        <f t="shared" si="45"/>
        <v>100</v>
      </c>
      <c r="DN58" s="453">
        <f t="shared" si="45"/>
        <v>100</v>
      </c>
      <c r="DO58" s="453">
        <f t="shared" si="45"/>
        <v>100</v>
      </c>
      <c r="DP58" s="453">
        <f t="shared" si="45"/>
        <v>100</v>
      </c>
      <c r="DQ58" s="453">
        <f t="shared" si="45"/>
        <v>100</v>
      </c>
      <c r="DR58" s="453">
        <f t="shared" si="45"/>
        <v>100</v>
      </c>
      <c r="DS58" s="453">
        <f t="shared" si="45"/>
        <v>100</v>
      </c>
      <c r="DT58" s="453">
        <f t="shared" si="45"/>
        <v>100</v>
      </c>
      <c r="DU58" s="453">
        <f t="shared" si="45"/>
        <v>100</v>
      </c>
      <c r="DV58" s="453">
        <f t="shared" si="45"/>
        <v>100</v>
      </c>
      <c r="DW58" s="453">
        <f t="shared" si="45"/>
        <v>100</v>
      </c>
      <c r="DX58" s="453">
        <f t="shared" si="45"/>
        <v>100</v>
      </c>
      <c r="DY58" s="453">
        <f t="shared" si="45"/>
        <v>100</v>
      </c>
      <c r="DZ58" s="453">
        <f t="shared" si="45"/>
        <v>100</v>
      </c>
      <c r="EA58" s="453">
        <f t="shared" si="45"/>
        <v>100</v>
      </c>
      <c r="EB58" s="453">
        <f t="shared" si="45"/>
        <v>100</v>
      </c>
      <c r="EC58" s="453">
        <f t="shared" si="45"/>
        <v>100</v>
      </c>
      <c r="ED58" s="453">
        <f t="shared" si="45"/>
        <v>100</v>
      </c>
      <c r="EE58" s="453">
        <f t="shared" ref="EE58:GP58" si="46">IF(EE41=1,$F$33,ED58*$L$33)</f>
        <v>100</v>
      </c>
      <c r="EF58" s="453">
        <f t="shared" si="46"/>
        <v>100</v>
      </c>
      <c r="EG58" s="453">
        <f t="shared" si="46"/>
        <v>100</v>
      </c>
      <c r="EH58" s="453">
        <f t="shared" si="46"/>
        <v>100</v>
      </c>
      <c r="EI58" s="453">
        <f t="shared" si="46"/>
        <v>100</v>
      </c>
      <c r="EJ58" s="453">
        <f t="shared" si="46"/>
        <v>100</v>
      </c>
      <c r="EK58" s="453">
        <f t="shared" si="46"/>
        <v>100</v>
      </c>
      <c r="EL58" s="453">
        <f t="shared" si="46"/>
        <v>100</v>
      </c>
      <c r="EM58" s="453">
        <f t="shared" si="46"/>
        <v>100</v>
      </c>
      <c r="EN58" s="453">
        <f t="shared" si="46"/>
        <v>100</v>
      </c>
      <c r="EO58" s="453">
        <f t="shared" si="46"/>
        <v>100</v>
      </c>
      <c r="EP58" s="453">
        <f t="shared" si="46"/>
        <v>100</v>
      </c>
      <c r="EQ58" s="453">
        <f t="shared" si="46"/>
        <v>100</v>
      </c>
      <c r="ER58" s="453">
        <f t="shared" si="46"/>
        <v>100</v>
      </c>
      <c r="ES58" s="453">
        <f t="shared" si="46"/>
        <v>100</v>
      </c>
      <c r="ET58" s="453">
        <f t="shared" si="46"/>
        <v>100</v>
      </c>
      <c r="EU58" s="453">
        <f t="shared" si="46"/>
        <v>100</v>
      </c>
      <c r="EV58" s="453">
        <f t="shared" si="46"/>
        <v>100</v>
      </c>
      <c r="EW58" s="453">
        <f t="shared" si="46"/>
        <v>100</v>
      </c>
      <c r="EX58" s="453">
        <f t="shared" si="46"/>
        <v>100</v>
      </c>
      <c r="EY58" s="453">
        <f t="shared" si="46"/>
        <v>100</v>
      </c>
      <c r="EZ58" s="453">
        <f t="shared" si="46"/>
        <v>100</v>
      </c>
      <c r="FA58" s="453">
        <f t="shared" si="46"/>
        <v>100</v>
      </c>
      <c r="FB58" s="453">
        <f t="shared" si="46"/>
        <v>100</v>
      </c>
      <c r="FC58" s="453">
        <f t="shared" si="46"/>
        <v>100</v>
      </c>
      <c r="FD58" s="453">
        <f t="shared" si="46"/>
        <v>100</v>
      </c>
      <c r="FE58" s="453">
        <f t="shared" si="46"/>
        <v>100</v>
      </c>
      <c r="FF58" s="453">
        <f t="shared" si="46"/>
        <v>100</v>
      </c>
      <c r="FG58" s="453">
        <f t="shared" si="46"/>
        <v>100</v>
      </c>
      <c r="FH58" s="453">
        <f t="shared" si="46"/>
        <v>100</v>
      </c>
      <c r="FI58" s="453">
        <f t="shared" si="46"/>
        <v>100</v>
      </c>
      <c r="FJ58" s="453">
        <f t="shared" si="46"/>
        <v>100</v>
      </c>
      <c r="FK58" s="453">
        <f t="shared" si="46"/>
        <v>100</v>
      </c>
      <c r="FL58" s="453">
        <f t="shared" si="46"/>
        <v>100</v>
      </c>
      <c r="FM58" s="453">
        <f t="shared" si="46"/>
        <v>100</v>
      </c>
      <c r="FN58" s="453">
        <f t="shared" si="46"/>
        <v>100</v>
      </c>
      <c r="FO58" s="453">
        <f t="shared" si="46"/>
        <v>100</v>
      </c>
      <c r="FP58" s="453">
        <f t="shared" si="46"/>
        <v>100</v>
      </c>
      <c r="FQ58" s="453">
        <f t="shared" si="46"/>
        <v>100</v>
      </c>
      <c r="FR58" s="453">
        <f t="shared" si="46"/>
        <v>100</v>
      </c>
      <c r="FS58" s="453">
        <f t="shared" si="46"/>
        <v>100</v>
      </c>
      <c r="FT58" s="453">
        <f t="shared" si="46"/>
        <v>100</v>
      </c>
      <c r="FU58" s="453">
        <f t="shared" si="46"/>
        <v>100</v>
      </c>
      <c r="FV58" s="453">
        <f t="shared" si="46"/>
        <v>100</v>
      </c>
      <c r="FW58" s="453">
        <f t="shared" si="46"/>
        <v>100</v>
      </c>
      <c r="FX58" s="453">
        <f t="shared" si="46"/>
        <v>100</v>
      </c>
      <c r="FY58" s="453">
        <f t="shared" si="46"/>
        <v>100</v>
      </c>
      <c r="FZ58" s="453">
        <f t="shared" si="46"/>
        <v>100</v>
      </c>
      <c r="GA58" s="453">
        <f t="shared" si="46"/>
        <v>100</v>
      </c>
      <c r="GB58" s="453">
        <f t="shared" si="46"/>
        <v>100</v>
      </c>
      <c r="GC58" s="453">
        <f t="shared" si="46"/>
        <v>100</v>
      </c>
      <c r="GD58" s="453">
        <f t="shared" si="46"/>
        <v>100</v>
      </c>
      <c r="GE58" s="453">
        <f t="shared" si="46"/>
        <v>100</v>
      </c>
      <c r="GF58" s="453">
        <f t="shared" si="46"/>
        <v>100</v>
      </c>
      <c r="GG58" s="453">
        <f t="shared" si="46"/>
        <v>100</v>
      </c>
      <c r="GH58" s="453">
        <f t="shared" si="46"/>
        <v>100</v>
      </c>
      <c r="GI58" s="453">
        <f t="shared" si="46"/>
        <v>100</v>
      </c>
      <c r="GJ58" s="453">
        <f t="shared" si="46"/>
        <v>100</v>
      </c>
      <c r="GK58" s="453">
        <f t="shared" si="46"/>
        <v>100</v>
      </c>
      <c r="GL58" s="453">
        <f t="shared" si="46"/>
        <v>100</v>
      </c>
      <c r="GM58" s="453">
        <f t="shared" si="46"/>
        <v>100</v>
      </c>
      <c r="GN58" s="453">
        <f t="shared" si="46"/>
        <v>100</v>
      </c>
      <c r="GO58" s="453">
        <f t="shared" si="46"/>
        <v>100</v>
      </c>
      <c r="GP58" s="453">
        <f t="shared" si="46"/>
        <v>100</v>
      </c>
      <c r="GQ58" s="453">
        <f t="shared" ref="GQ58:IV58" si="47">IF(GQ41=1,$F$33,GP58*$L$33)</f>
        <v>100</v>
      </c>
      <c r="GR58" s="453">
        <f t="shared" si="47"/>
        <v>100</v>
      </c>
      <c r="GS58" s="453">
        <f t="shared" si="47"/>
        <v>100</v>
      </c>
      <c r="GT58" s="453">
        <f t="shared" si="47"/>
        <v>100</v>
      </c>
      <c r="GU58" s="453">
        <f t="shared" si="47"/>
        <v>100</v>
      </c>
      <c r="GV58" s="453">
        <f t="shared" si="47"/>
        <v>100</v>
      </c>
      <c r="GW58" s="453">
        <f t="shared" si="47"/>
        <v>100</v>
      </c>
      <c r="GX58" s="453">
        <f t="shared" si="47"/>
        <v>100</v>
      </c>
      <c r="GY58" s="453">
        <f t="shared" si="47"/>
        <v>100</v>
      </c>
      <c r="GZ58" s="453">
        <f t="shared" si="47"/>
        <v>100</v>
      </c>
      <c r="HA58" s="453">
        <f t="shared" si="47"/>
        <v>100</v>
      </c>
      <c r="HB58" s="453">
        <f t="shared" si="47"/>
        <v>100</v>
      </c>
      <c r="HC58" s="453">
        <f t="shared" si="47"/>
        <v>100</v>
      </c>
      <c r="HD58" s="453">
        <f t="shared" si="47"/>
        <v>100</v>
      </c>
      <c r="HE58" s="453">
        <f t="shared" si="47"/>
        <v>100</v>
      </c>
      <c r="HF58" s="453">
        <f t="shared" si="47"/>
        <v>100</v>
      </c>
      <c r="HG58" s="453">
        <f t="shared" si="47"/>
        <v>100</v>
      </c>
      <c r="HH58" s="453">
        <f t="shared" si="47"/>
        <v>100</v>
      </c>
      <c r="HI58" s="453">
        <f t="shared" si="47"/>
        <v>100</v>
      </c>
      <c r="HJ58" s="453">
        <f t="shared" si="47"/>
        <v>100</v>
      </c>
      <c r="HK58" s="453">
        <f t="shared" si="47"/>
        <v>100</v>
      </c>
      <c r="HL58" s="453">
        <f t="shared" si="47"/>
        <v>100</v>
      </c>
      <c r="HM58" s="453">
        <f t="shared" si="47"/>
        <v>100</v>
      </c>
      <c r="HN58" s="453">
        <f t="shared" si="47"/>
        <v>100</v>
      </c>
      <c r="HO58" s="453">
        <f t="shared" si="47"/>
        <v>100</v>
      </c>
      <c r="HP58" s="453">
        <f t="shared" si="47"/>
        <v>100</v>
      </c>
      <c r="HQ58" s="453">
        <f t="shared" si="47"/>
        <v>100</v>
      </c>
      <c r="HR58" s="453">
        <f t="shared" si="47"/>
        <v>100</v>
      </c>
      <c r="HS58" s="453">
        <f t="shared" si="47"/>
        <v>100</v>
      </c>
      <c r="HT58" s="453">
        <f t="shared" si="47"/>
        <v>100</v>
      </c>
      <c r="HU58" s="453">
        <f t="shared" si="47"/>
        <v>100</v>
      </c>
      <c r="HV58" s="453">
        <f t="shared" si="47"/>
        <v>100</v>
      </c>
      <c r="HW58" s="453">
        <f t="shared" si="47"/>
        <v>100</v>
      </c>
      <c r="HX58" s="453">
        <f t="shared" si="47"/>
        <v>100</v>
      </c>
      <c r="HY58" s="453">
        <f t="shared" si="47"/>
        <v>100</v>
      </c>
      <c r="HZ58" s="453">
        <f t="shared" si="47"/>
        <v>100</v>
      </c>
      <c r="IA58" s="453">
        <f t="shared" si="47"/>
        <v>100</v>
      </c>
      <c r="IB58" s="453">
        <f t="shared" si="47"/>
        <v>100</v>
      </c>
      <c r="IC58" s="453">
        <f t="shared" si="47"/>
        <v>100</v>
      </c>
      <c r="ID58" s="453">
        <f t="shared" si="47"/>
        <v>100</v>
      </c>
      <c r="IE58" s="453">
        <f t="shared" si="47"/>
        <v>100</v>
      </c>
      <c r="IF58" s="453">
        <f t="shared" si="47"/>
        <v>100</v>
      </c>
      <c r="IG58" s="453">
        <f t="shared" si="47"/>
        <v>100</v>
      </c>
      <c r="IH58" s="453">
        <f t="shared" si="47"/>
        <v>100</v>
      </c>
      <c r="II58" s="453">
        <f t="shared" si="47"/>
        <v>100</v>
      </c>
      <c r="IJ58" s="453">
        <f t="shared" si="47"/>
        <v>100</v>
      </c>
      <c r="IK58" s="453">
        <f t="shared" si="47"/>
        <v>100</v>
      </c>
      <c r="IL58" s="453">
        <f t="shared" si="47"/>
        <v>100</v>
      </c>
      <c r="IM58" s="453">
        <f t="shared" si="47"/>
        <v>100</v>
      </c>
      <c r="IN58" s="453">
        <f t="shared" si="47"/>
        <v>100</v>
      </c>
      <c r="IO58" s="453">
        <f t="shared" si="47"/>
        <v>100</v>
      </c>
      <c r="IP58" s="453">
        <f t="shared" si="47"/>
        <v>100</v>
      </c>
      <c r="IQ58" s="453">
        <f t="shared" si="47"/>
        <v>100</v>
      </c>
      <c r="IR58" s="453">
        <f t="shared" si="47"/>
        <v>100</v>
      </c>
      <c r="IS58" s="453">
        <f t="shared" si="47"/>
        <v>100</v>
      </c>
      <c r="IT58" s="453">
        <f t="shared" si="47"/>
        <v>100</v>
      </c>
      <c r="IU58" s="453">
        <f t="shared" si="47"/>
        <v>100</v>
      </c>
      <c r="IV58" s="453">
        <f t="shared" si="47"/>
        <v>100</v>
      </c>
      <c r="IX58" s="323">
        <f>IX53/IX46*1000</f>
        <v>0.11335175155056786</v>
      </c>
    </row>
    <row r="59" spans="1:258">
      <c r="A59" s="319">
        <v>1</v>
      </c>
      <c r="B59" s="583" t="s">
        <v>461</v>
      </c>
      <c r="C59" s="583"/>
      <c r="D59" s="328" t="s">
        <v>452</v>
      </c>
      <c r="E59" s="457">
        <f>E45/E56</f>
        <v>0.95</v>
      </c>
      <c r="F59" s="457">
        <f t="shared" ref="F59:BQ59" si="48">F45/F56</f>
        <v>0.95</v>
      </c>
      <c r="G59" s="457">
        <f t="shared" si="48"/>
        <v>0.95</v>
      </c>
      <c r="H59" s="457">
        <f t="shared" si="48"/>
        <v>0.95</v>
      </c>
      <c r="I59" s="457">
        <f t="shared" si="48"/>
        <v>0.95</v>
      </c>
      <c r="J59" s="457">
        <f t="shared" si="48"/>
        <v>0.95</v>
      </c>
      <c r="K59" s="457">
        <f t="shared" si="48"/>
        <v>0.95</v>
      </c>
      <c r="L59" s="457">
        <f t="shared" si="48"/>
        <v>0.95</v>
      </c>
      <c r="M59" s="457">
        <f t="shared" si="48"/>
        <v>0.95</v>
      </c>
      <c r="N59" s="457">
        <f t="shared" si="48"/>
        <v>0.95</v>
      </c>
      <c r="O59" s="457">
        <f t="shared" si="48"/>
        <v>0.95</v>
      </c>
      <c r="P59" s="457">
        <f t="shared" si="48"/>
        <v>0.95</v>
      </c>
      <c r="Q59" s="457">
        <f t="shared" si="48"/>
        <v>0.95</v>
      </c>
      <c r="R59" s="457">
        <f t="shared" si="48"/>
        <v>0.95</v>
      </c>
      <c r="S59" s="457">
        <f t="shared" si="48"/>
        <v>0.95</v>
      </c>
      <c r="T59" s="457">
        <f t="shared" si="48"/>
        <v>0.95</v>
      </c>
      <c r="U59" s="457">
        <f t="shared" si="48"/>
        <v>0.95</v>
      </c>
      <c r="V59" s="457">
        <f t="shared" si="48"/>
        <v>0.95</v>
      </c>
      <c r="W59" s="457">
        <f t="shared" si="48"/>
        <v>0.95</v>
      </c>
      <c r="X59" s="457">
        <f t="shared" si="48"/>
        <v>0.95</v>
      </c>
      <c r="Y59" s="457">
        <f t="shared" si="48"/>
        <v>0.95</v>
      </c>
      <c r="Z59" s="457">
        <f t="shared" si="48"/>
        <v>0.95</v>
      </c>
      <c r="AA59" s="457">
        <f t="shared" si="48"/>
        <v>0.95</v>
      </c>
      <c r="AB59" s="457">
        <f t="shared" si="48"/>
        <v>0.95</v>
      </c>
      <c r="AC59" s="457">
        <f t="shared" si="48"/>
        <v>0.95</v>
      </c>
      <c r="AD59" s="457">
        <f t="shared" si="48"/>
        <v>0.95</v>
      </c>
      <c r="AE59" s="457">
        <f t="shared" si="48"/>
        <v>0.95</v>
      </c>
      <c r="AF59" s="457">
        <f t="shared" si="48"/>
        <v>0.95</v>
      </c>
      <c r="AG59" s="457">
        <f t="shared" si="48"/>
        <v>0.95</v>
      </c>
      <c r="AH59" s="457">
        <f t="shared" si="48"/>
        <v>0.95</v>
      </c>
      <c r="AI59" s="457">
        <f t="shared" si="48"/>
        <v>0.95</v>
      </c>
      <c r="AJ59" s="457">
        <f t="shared" si="48"/>
        <v>0.95</v>
      </c>
      <c r="AK59" s="457">
        <f t="shared" si="48"/>
        <v>0.95</v>
      </c>
      <c r="AL59" s="457">
        <f t="shared" si="48"/>
        <v>0.95</v>
      </c>
      <c r="AM59" s="457">
        <f t="shared" si="48"/>
        <v>0.95</v>
      </c>
      <c r="AN59" s="457">
        <f t="shared" si="48"/>
        <v>0.95</v>
      </c>
      <c r="AO59" s="457">
        <f t="shared" si="48"/>
        <v>0</v>
      </c>
      <c r="AP59" s="457">
        <f t="shared" si="48"/>
        <v>0</v>
      </c>
      <c r="AQ59" s="457">
        <f t="shared" si="48"/>
        <v>0</v>
      </c>
      <c r="AR59" s="457">
        <f t="shared" si="48"/>
        <v>0</v>
      </c>
      <c r="AS59" s="457">
        <f t="shared" si="48"/>
        <v>0</v>
      </c>
      <c r="AT59" s="457">
        <f t="shared" si="48"/>
        <v>0</v>
      </c>
      <c r="AU59" s="457">
        <f t="shared" si="48"/>
        <v>0</v>
      </c>
      <c r="AV59" s="457">
        <f t="shared" si="48"/>
        <v>0</v>
      </c>
      <c r="AW59" s="457">
        <f t="shared" si="48"/>
        <v>0</v>
      </c>
      <c r="AX59" s="457">
        <f t="shared" si="48"/>
        <v>0</v>
      </c>
      <c r="AY59" s="457">
        <f t="shared" si="48"/>
        <v>0</v>
      </c>
      <c r="AZ59" s="457">
        <f t="shared" si="48"/>
        <v>0</v>
      </c>
      <c r="BA59" s="457">
        <f t="shared" si="48"/>
        <v>0</v>
      </c>
      <c r="BB59" s="457">
        <f t="shared" si="48"/>
        <v>0</v>
      </c>
      <c r="BC59" s="457">
        <f t="shared" si="48"/>
        <v>0</v>
      </c>
      <c r="BD59" s="457">
        <f t="shared" si="48"/>
        <v>0</v>
      </c>
      <c r="BE59" s="457">
        <f t="shared" si="48"/>
        <v>0</v>
      </c>
      <c r="BF59" s="457">
        <f t="shared" si="48"/>
        <v>0</v>
      </c>
      <c r="BG59" s="457">
        <f t="shared" si="48"/>
        <v>0</v>
      </c>
      <c r="BH59" s="457">
        <f t="shared" si="48"/>
        <v>0</v>
      </c>
      <c r="BI59" s="457">
        <f t="shared" si="48"/>
        <v>0</v>
      </c>
      <c r="BJ59" s="457">
        <f t="shared" si="48"/>
        <v>0</v>
      </c>
      <c r="BK59" s="457">
        <f t="shared" si="48"/>
        <v>0</v>
      </c>
      <c r="BL59" s="457">
        <f t="shared" si="48"/>
        <v>0</v>
      </c>
      <c r="BM59" s="457">
        <f t="shared" si="48"/>
        <v>0</v>
      </c>
      <c r="BN59" s="457">
        <f t="shared" si="48"/>
        <v>0</v>
      </c>
      <c r="BO59" s="457">
        <f t="shared" si="48"/>
        <v>0</v>
      </c>
      <c r="BP59" s="457">
        <f t="shared" si="48"/>
        <v>0</v>
      </c>
      <c r="BQ59" s="457">
        <f t="shared" si="48"/>
        <v>0</v>
      </c>
      <c r="BR59" s="457">
        <f t="shared" ref="BR59:EC59" si="49">BR45/BR56</f>
        <v>0</v>
      </c>
      <c r="BS59" s="457">
        <f t="shared" si="49"/>
        <v>0</v>
      </c>
      <c r="BT59" s="457">
        <f t="shared" si="49"/>
        <v>0</v>
      </c>
      <c r="BU59" s="457">
        <f t="shared" si="49"/>
        <v>0</v>
      </c>
      <c r="BV59" s="457">
        <f t="shared" si="49"/>
        <v>0</v>
      </c>
      <c r="BW59" s="457">
        <f t="shared" si="49"/>
        <v>0</v>
      </c>
      <c r="BX59" s="457">
        <f t="shared" si="49"/>
        <v>0</v>
      </c>
      <c r="BY59" s="457">
        <f t="shared" si="49"/>
        <v>0</v>
      </c>
      <c r="BZ59" s="457">
        <f t="shared" si="49"/>
        <v>0</v>
      </c>
      <c r="CA59" s="457">
        <f t="shared" si="49"/>
        <v>0</v>
      </c>
      <c r="CB59" s="457">
        <f t="shared" si="49"/>
        <v>0</v>
      </c>
      <c r="CC59" s="457">
        <f t="shared" si="49"/>
        <v>0</v>
      </c>
      <c r="CD59" s="457">
        <f t="shared" si="49"/>
        <v>0</v>
      </c>
      <c r="CE59" s="457">
        <f t="shared" si="49"/>
        <v>0</v>
      </c>
      <c r="CF59" s="457">
        <f t="shared" si="49"/>
        <v>0</v>
      </c>
      <c r="CG59" s="457">
        <f t="shared" si="49"/>
        <v>0</v>
      </c>
      <c r="CH59" s="457">
        <f t="shared" si="49"/>
        <v>0</v>
      </c>
      <c r="CI59" s="457">
        <f t="shared" si="49"/>
        <v>0</v>
      </c>
      <c r="CJ59" s="457">
        <f t="shared" si="49"/>
        <v>0</v>
      </c>
      <c r="CK59" s="457">
        <f t="shared" si="49"/>
        <v>0</v>
      </c>
      <c r="CL59" s="457">
        <f t="shared" si="49"/>
        <v>0</v>
      </c>
      <c r="CM59" s="457">
        <f t="shared" si="49"/>
        <v>0</v>
      </c>
      <c r="CN59" s="457">
        <f t="shared" si="49"/>
        <v>0</v>
      </c>
      <c r="CO59" s="457">
        <f t="shared" si="49"/>
        <v>0</v>
      </c>
      <c r="CP59" s="457">
        <f t="shared" si="49"/>
        <v>0</v>
      </c>
      <c r="CQ59" s="457">
        <f t="shared" si="49"/>
        <v>0</v>
      </c>
      <c r="CR59" s="457">
        <f t="shared" si="49"/>
        <v>0</v>
      </c>
      <c r="CS59" s="457">
        <f t="shared" si="49"/>
        <v>0</v>
      </c>
      <c r="CT59" s="457">
        <f t="shared" si="49"/>
        <v>0</v>
      </c>
      <c r="CU59" s="457">
        <f t="shared" si="49"/>
        <v>0</v>
      </c>
      <c r="CV59" s="457">
        <f t="shared" si="49"/>
        <v>0</v>
      </c>
      <c r="CW59" s="457">
        <f t="shared" si="49"/>
        <v>0</v>
      </c>
      <c r="CX59" s="457">
        <f t="shared" si="49"/>
        <v>0</v>
      </c>
      <c r="CY59" s="457">
        <f t="shared" si="49"/>
        <v>0</v>
      </c>
      <c r="CZ59" s="457">
        <f t="shared" si="49"/>
        <v>0</v>
      </c>
      <c r="DA59" s="457">
        <f t="shared" si="49"/>
        <v>0</v>
      </c>
      <c r="DB59" s="457">
        <f t="shared" si="49"/>
        <v>0</v>
      </c>
      <c r="DC59" s="457">
        <f t="shared" si="49"/>
        <v>0</v>
      </c>
      <c r="DD59" s="457">
        <f t="shared" si="49"/>
        <v>0</v>
      </c>
      <c r="DE59" s="457">
        <f t="shared" si="49"/>
        <v>0</v>
      </c>
      <c r="DF59" s="457">
        <f t="shared" si="49"/>
        <v>0</v>
      </c>
      <c r="DG59" s="457">
        <f t="shared" si="49"/>
        <v>0</v>
      </c>
      <c r="DH59" s="457">
        <f t="shared" si="49"/>
        <v>0</v>
      </c>
      <c r="DI59" s="457">
        <f t="shared" si="49"/>
        <v>0</v>
      </c>
      <c r="DJ59" s="457">
        <f t="shared" si="49"/>
        <v>0</v>
      </c>
      <c r="DK59" s="457">
        <f t="shared" si="49"/>
        <v>0</v>
      </c>
      <c r="DL59" s="457">
        <f t="shared" si="49"/>
        <v>0</v>
      </c>
      <c r="DM59" s="457">
        <f t="shared" si="49"/>
        <v>0</v>
      </c>
      <c r="DN59" s="457">
        <f t="shared" si="49"/>
        <v>0</v>
      </c>
      <c r="DO59" s="457">
        <f t="shared" si="49"/>
        <v>0</v>
      </c>
      <c r="DP59" s="457">
        <f t="shared" si="49"/>
        <v>0</v>
      </c>
      <c r="DQ59" s="457">
        <f t="shared" si="49"/>
        <v>0</v>
      </c>
      <c r="DR59" s="457">
        <f t="shared" si="49"/>
        <v>0</v>
      </c>
      <c r="DS59" s="457">
        <f t="shared" si="49"/>
        <v>0</v>
      </c>
      <c r="DT59" s="457">
        <f t="shared" si="49"/>
        <v>0</v>
      </c>
      <c r="DU59" s="457">
        <f t="shared" si="49"/>
        <v>0</v>
      </c>
      <c r="DV59" s="457">
        <f t="shared" si="49"/>
        <v>0</v>
      </c>
      <c r="DW59" s="457">
        <f t="shared" si="49"/>
        <v>0</v>
      </c>
      <c r="DX59" s="457">
        <f t="shared" si="49"/>
        <v>0</v>
      </c>
      <c r="DY59" s="457">
        <f t="shared" si="49"/>
        <v>0</v>
      </c>
      <c r="DZ59" s="457">
        <f t="shared" si="49"/>
        <v>0</v>
      </c>
      <c r="EA59" s="457">
        <f t="shared" si="49"/>
        <v>0</v>
      </c>
      <c r="EB59" s="457">
        <f t="shared" si="49"/>
        <v>0</v>
      </c>
      <c r="EC59" s="457">
        <f t="shared" si="49"/>
        <v>0</v>
      </c>
      <c r="ED59" s="457">
        <f t="shared" ref="ED59:GO59" si="50">ED45/ED56</f>
        <v>0</v>
      </c>
      <c r="EE59" s="457">
        <f t="shared" si="50"/>
        <v>0</v>
      </c>
      <c r="EF59" s="457">
        <f t="shared" si="50"/>
        <v>0</v>
      </c>
      <c r="EG59" s="457">
        <f t="shared" si="50"/>
        <v>0</v>
      </c>
      <c r="EH59" s="457">
        <f t="shared" si="50"/>
        <v>0</v>
      </c>
      <c r="EI59" s="457">
        <f t="shared" si="50"/>
        <v>0</v>
      </c>
      <c r="EJ59" s="457">
        <f t="shared" si="50"/>
        <v>0</v>
      </c>
      <c r="EK59" s="457">
        <f t="shared" si="50"/>
        <v>0</v>
      </c>
      <c r="EL59" s="457">
        <f t="shared" si="50"/>
        <v>0</v>
      </c>
      <c r="EM59" s="457">
        <f t="shared" si="50"/>
        <v>0</v>
      </c>
      <c r="EN59" s="457">
        <f t="shared" si="50"/>
        <v>0</v>
      </c>
      <c r="EO59" s="457">
        <f t="shared" si="50"/>
        <v>0</v>
      </c>
      <c r="EP59" s="457">
        <f t="shared" si="50"/>
        <v>0</v>
      </c>
      <c r="EQ59" s="457">
        <f t="shared" si="50"/>
        <v>0</v>
      </c>
      <c r="ER59" s="457">
        <f t="shared" si="50"/>
        <v>0</v>
      </c>
      <c r="ES59" s="457">
        <f t="shared" si="50"/>
        <v>0</v>
      </c>
      <c r="ET59" s="457">
        <f t="shared" si="50"/>
        <v>0</v>
      </c>
      <c r="EU59" s="457">
        <f t="shared" si="50"/>
        <v>0</v>
      </c>
      <c r="EV59" s="457">
        <f t="shared" si="50"/>
        <v>0</v>
      </c>
      <c r="EW59" s="457">
        <f t="shared" si="50"/>
        <v>0</v>
      </c>
      <c r="EX59" s="457">
        <f t="shared" si="50"/>
        <v>0</v>
      </c>
      <c r="EY59" s="457">
        <f t="shared" si="50"/>
        <v>0</v>
      </c>
      <c r="EZ59" s="457">
        <f t="shared" si="50"/>
        <v>0</v>
      </c>
      <c r="FA59" s="457">
        <f t="shared" si="50"/>
        <v>0</v>
      </c>
      <c r="FB59" s="457">
        <f t="shared" si="50"/>
        <v>0</v>
      </c>
      <c r="FC59" s="457">
        <f t="shared" si="50"/>
        <v>0</v>
      </c>
      <c r="FD59" s="457">
        <f t="shared" si="50"/>
        <v>0</v>
      </c>
      <c r="FE59" s="457">
        <f t="shared" si="50"/>
        <v>0</v>
      </c>
      <c r="FF59" s="457">
        <f t="shared" si="50"/>
        <v>0</v>
      </c>
      <c r="FG59" s="457">
        <f t="shared" si="50"/>
        <v>0</v>
      </c>
      <c r="FH59" s="457">
        <f t="shared" si="50"/>
        <v>0</v>
      </c>
      <c r="FI59" s="457">
        <f t="shared" si="50"/>
        <v>0</v>
      </c>
      <c r="FJ59" s="457">
        <f t="shared" si="50"/>
        <v>0</v>
      </c>
      <c r="FK59" s="457">
        <f t="shared" si="50"/>
        <v>0</v>
      </c>
      <c r="FL59" s="457">
        <f t="shared" si="50"/>
        <v>0</v>
      </c>
      <c r="FM59" s="457">
        <f t="shared" si="50"/>
        <v>0</v>
      </c>
      <c r="FN59" s="457">
        <f t="shared" si="50"/>
        <v>0</v>
      </c>
      <c r="FO59" s="457">
        <f t="shared" si="50"/>
        <v>0</v>
      </c>
      <c r="FP59" s="457">
        <f t="shared" si="50"/>
        <v>0</v>
      </c>
      <c r="FQ59" s="457">
        <f t="shared" si="50"/>
        <v>0</v>
      </c>
      <c r="FR59" s="457">
        <f t="shared" si="50"/>
        <v>0</v>
      </c>
      <c r="FS59" s="457">
        <f t="shared" si="50"/>
        <v>0</v>
      </c>
      <c r="FT59" s="457">
        <f t="shared" si="50"/>
        <v>0</v>
      </c>
      <c r="FU59" s="457">
        <f t="shared" si="50"/>
        <v>0</v>
      </c>
      <c r="FV59" s="457">
        <f t="shared" si="50"/>
        <v>0</v>
      </c>
      <c r="FW59" s="457">
        <f t="shared" si="50"/>
        <v>0</v>
      </c>
      <c r="FX59" s="457">
        <f t="shared" si="50"/>
        <v>0</v>
      </c>
      <c r="FY59" s="457">
        <f t="shared" si="50"/>
        <v>0</v>
      </c>
      <c r="FZ59" s="457">
        <f t="shared" si="50"/>
        <v>0</v>
      </c>
      <c r="GA59" s="457">
        <f t="shared" si="50"/>
        <v>0</v>
      </c>
      <c r="GB59" s="457">
        <f t="shared" si="50"/>
        <v>0</v>
      </c>
      <c r="GC59" s="457">
        <f t="shared" si="50"/>
        <v>0</v>
      </c>
      <c r="GD59" s="457">
        <f t="shared" si="50"/>
        <v>0</v>
      </c>
      <c r="GE59" s="457">
        <f t="shared" si="50"/>
        <v>0</v>
      </c>
      <c r="GF59" s="457">
        <f t="shared" si="50"/>
        <v>0</v>
      </c>
      <c r="GG59" s="457">
        <f t="shared" si="50"/>
        <v>0</v>
      </c>
      <c r="GH59" s="457">
        <f t="shared" si="50"/>
        <v>0</v>
      </c>
      <c r="GI59" s="457">
        <f t="shared" si="50"/>
        <v>0</v>
      </c>
      <c r="GJ59" s="457">
        <f t="shared" si="50"/>
        <v>0</v>
      </c>
      <c r="GK59" s="457">
        <f t="shared" si="50"/>
        <v>0</v>
      </c>
      <c r="GL59" s="457">
        <f t="shared" si="50"/>
        <v>0</v>
      </c>
      <c r="GM59" s="457">
        <f t="shared" si="50"/>
        <v>0</v>
      </c>
      <c r="GN59" s="457">
        <f t="shared" si="50"/>
        <v>0</v>
      </c>
      <c r="GO59" s="457">
        <f t="shared" si="50"/>
        <v>0</v>
      </c>
      <c r="GP59" s="457">
        <f t="shared" ref="GP59:IV59" si="51">GP45/GP56</f>
        <v>0</v>
      </c>
      <c r="GQ59" s="457">
        <f t="shared" si="51"/>
        <v>0</v>
      </c>
      <c r="GR59" s="457">
        <f t="shared" si="51"/>
        <v>0</v>
      </c>
      <c r="GS59" s="457">
        <f t="shared" si="51"/>
        <v>0</v>
      </c>
      <c r="GT59" s="457">
        <f t="shared" si="51"/>
        <v>0</v>
      </c>
      <c r="GU59" s="457">
        <f t="shared" si="51"/>
        <v>0</v>
      </c>
      <c r="GV59" s="457">
        <f t="shared" si="51"/>
        <v>0</v>
      </c>
      <c r="GW59" s="457">
        <f t="shared" si="51"/>
        <v>0</v>
      </c>
      <c r="GX59" s="457">
        <f t="shared" si="51"/>
        <v>0</v>
      </c>
      <c r="GY59" s="457">
        <f t="shared" si="51"/>
        <v>0</v>
      </c>
      <c r="GZ59" s="457">
        <f t="shared" si="51"/>
        <v>0</v>
      </c>
      <c r="HA59" s="457">
        <f t="shared" si="51"/>
        <v>0</v>
      </c>
      <c r="HB59" s="457">
        <f t="shared" si="51"/>
        <v>0</v>
      </c>
      <c r="HC59" s="457">
        <f t="shared" si="51"/>
        <v>0</v>
      </c>
      <c r="HD59" s="457">
        <f t="shared" si="51"/>
        <v>0</v>
      </c>
      <c r="HE59" s="457">
        <f t="shared" si="51"/>
        <v>0</v>
      </c>
      <c r="HF59" s="457">
        <f t="shared" si="51"/>
        <v>0</v>
      </c>
      <c r="HG59" s="457">
        <f t="shared" si="51"/>
        <v>0</v>
      </c>
      <c r="HH59" s="457">
        <f t="shared" si="51"/>
        <v>0</v>
      </c>
      <c r="HI59" s="457">
        <f t="shared" si="51"/>
        <v>0</v>
      </c>
      <c r="HJ59" s="457">
        <f t="shared" si="51"/>
        <v>0</v>
      </c>
      <c r="HK59" s="457">
        <f t="shared" si="51"/>
        <v>0</v>
      </c>
      <c r="HL59" s="457">
        <f t="shared" si="51"/>
        <v>0</v>
      </c>
      <c r="HM59" s="457">
        <f t="shared" si="51"/>
        <v>0</v>
      </c>
      <c r="HN59" s="457">
        <f t="shared" si="51"/>
        <v>0</v>
      </c>
      <c r="HO59" s="457">
        <f t="shared" si="51"/>
        <v>0</v>
      </c>
      <c r="HP59" s="457">
        <f t="shared" si="51"/>
        <v>0</v>
      </c>
      <c r="HQ59" s="457">
        <f t="shared" si="51"/>
        <v>0</v>
      </c>
      <c r="HR59" s="457">
        <f t="shared" si="51"/>
        <v>0</v>
      </c>
      <c r="HS59" s="457">
        <f t="shared" si="51"/>
        <v>0</v>
      </c>
      <c r="HT59" s="457">
        <f t="shared" si="51"/>
        <v>0</v>
      </c>
      <c r="HU59" s="457">
        <f t="shared" si="51"/>
        <v>0</v>
      </c>
      <c r="HV59" s="457">
        <f t="shared" si="51"/>
        <v>0</v>
      </c>
      <c r="HW59" s="457">
        <f t="shared" si="51"/>
        <v>0</v>
      </c>
      <c r="HX59" s="457">
        <f t="shared" si="51"/>
        <v>0</v>
      </c>
      <c r="HY59" s="457">
        <f t="shared" si="51"/>
        <v>0</v>
      </c>
      <c r="HZ59" s="457">
        <f t="shared" si="51"/>
        <v>0</v>
      </c>
      <c r="IA59" s="457">
        <f t="shared" si="51"/>
        <v>0</v>
      </c>
      <c r="IB59" s="457">
        <f t="shared" si="51"/>
        <v>0</v>
      </c>
      <c r="IC59" s="457">
        <f t="shared" si="51"/>
        <v>0</v>
      </c>
      <c r="ID59" s="457">
        <f t="shared" si="51"/>
        <v>0</v>
      </c>
      <c r="IE59" s="457">
        <f t="shared" si="51"/>
        <v>0</v>
      </c>
      <c r="IF59" s="457">
        <f t="shared" si="51"/>
        <v>0</v>
      </c>
      <c r="IG59" s="457">
        <f t="shared" si="51"/>
        <v>0</v>
      </c>
      <c r="IH59" s="457">
        <f t="shared" si="51"/>
        <v>0</v>
      </c>
      <c r="II59" s="457">
        <f t="shared" si="51"/>
        <v>0</v>
      </c>
      <c r="IJ59" s="457">
        <f t="shared" si="51"/>
        <v>0</v>
      </c>
      <c r="IK59" s="457">
        <f t="shared" si="51"/>
        <v>0</v>
      </c>
      <c r="IL59" s="457">
        <f t="shared" si="51"/>
        <v>0</v>
      </c>
      <c r="IM59" s="457">
        <f t="shared" si="51"/>
        <v>0</v>
      </c>
      <c r="IN59" s="457">
        <f t="shared" si="51"/>
        <v>0</v>
      </c>
      <c r="IO59" s="457">
        <f t="shared" si="51"/>
        <v>0</v>
      </c>
      <c r="IP59" s="457">
        <f t="shared" si="51"/>
        <v>0</v>
      </c>
      <c r="IQ59" s="457">
        <f t="shared" si="51"/>
        <v>0</v>
      </c>
      <c r="IR59" s="457">
        <f t="shared" si="51"/>
        <v>0</v>
      </c>
      <c r="IS59" s="457">
        <f t="shared" si="51"/>
        <v>0</v>
      </c>
      <c r="IT59" s="457">
        <f t="shared" si="51"/>
        <v>0</v>
      </c>
      <c r="IU59" s="457">
        <f t="shared" si="51"/>
        <v>0</v>
      </c>
      <c r="IV59" s="457">
        <f t="shared" si="51"/>
        <v>0</v>
      </c>
      <c r="IX59" s="467">
        <f>IX45/IX56</f>
        <v>0.14180070883315166</v>
      </c>
    </row>
    <row r="60" spans="1:258">
      <c r="A60" s="319">
        <v>2</v>
      </c>
      <c r="B60" s="575" t="s">
        <v>462</v>
      </c>
      <c r="C60" s="575"/>
      <c r="D60" s="324" t="s">
        <v>452</v>
      </c>
      <c r="E60" s="324">
        <f>E46/E56</f>
        <v>0</v>
      </c>
      <c r="F60" s="324">
        <f>F46/F56</f>
        <v>0</v>
      </c>
      <c r="G60" s="324">
        <f t="shared" ref="G60:BR60" si="52">G46/G56</f>
        <v>0</v>
      </c>
      <c r="H60" s="324">
        <f t="shared" si="52"/>
        <v>0</v>
      </c>
      <c r="I60" s="324">
        <f t="shared" si="52"/>
        <v>0</v>
      </c>
      <c r="J60" s="324">
        <f t="shared" si="52"/>
        <v>0</v>
      </c>
      <c r="K60" s="324">
        <f t="shared" si="52"/>
        <v>0</v>
      </c>
      <c r="L60" s="324">
        <f t="shared" si="52"/>
        <v>0</v>
      </c>
      <c r="M60" s="324">
        <f t="shared" si="52"/>
        <v>0</v>
      </c>
      <c r="N60" s="324">
        <f t="shared" si="52"/>
        <v>0</v>
      </c>
      <c r="O60" s="324">
        <f t="shared" si="52"/>
        <v>0</v>
      </c>
      <c r="P60" s="324">
        <f t="shared" si="52"/>
        <v>0</v>
      </c>
      <c r="Q60" s="324">
        <f t="shared" si="52"/>
        <v>0</v>
      </c>
      <c r="R60" s="324">
        <f t="shared" si="52"/>
        <v>0</v>
      </c>
      <c r="S60" s="324">
        <f t="shared" si="52"/>
        <v>0</v>
      </c>
      <c r="T60" s="324">
        <f t="shared" si="52"/>
        <v>0</v>
      </c>
      <c r="U60" s="324">
        <f t="shared" si="52"/>
        <v>0</v>
      </c>
      <c r="V60" s="324">
        <f t="shared" si="52"/>
        <v>0</v>
      </c>
      <c r="W60" s="324">
        <f t="shared" si="52"/>
        <v>0</v>
      </c>
      <c r="X60" s="324">
        <f t="shared" si="52"/>
        <v>0</v>
      </c>
      <c r="Y60" s="324">
        <f t="shared" si="52"/>
        <v>0</v>
      </c>
      <c r="Z60" s="324">
        <f t="shared" si="52"/>
        <v>0</v>
      </c>
      <c r="AA60" s="324">
        <f t="shared" si="52"/>
        <v>0</v>
      </c>
      <c r="AB60" s="324">
        <f t="shared" si="52"/>
        <v>0</v>
      </c>
      <c r="AC60" s="324">
        <f t="shared" si="52"/>
        <v>0</v>
      </c>
      <c r="AD60" s="324">
        <f t="shared" si="52"/>
        <v>0</v>
      </c>
      <c r="AE60" s="324">
        <f t="shared" si="52"/>
        <v>0</v>
      </c>
      <c r="AF60" s="324">
        <f t="shared" si="52"/>
        <v>0</v>
      </c>
      <c r="AG60" s="324">
        <f t="shared" si="52"/>
        <v>0</v>
      </c>
      <c r="AH60" s="324">
        <f t="shared" si="52"/>
        <v>0</v>
      </c>
      <c r="AI60" s="324">
        <f t="shared" si="52"/>
        <v>0</v>
      </c>
      <c r="AJ60" s="324">
        <f t="shared" si="52"/>
        <v>0</v>
      </c>
      <c r="AK60" s="324">
        <f t="shared" si="52"/>
        <v>0</v>
      </c>
      <c r="AL60" s="324">
        <f t="shared" si="52"/>
        <v>0</v>
      </c>
      <c r="AM60" s="324">
        <f t="shared" si="52"/>
        <v>0</v>
      </c>
      <c r="AN60" s="324">
        <f t="shared" si="52"/>
        <v>0</v>
      </c>
      <c r="AO60" s="324">
        <f t="shared" si="52"/>
        <v>0.95</v>
      </c>
      <c r="AP60" s="324">
        <f t="shared" si="52"/>
        <v>0.95</v>
      </c>
      <c r="AQ60" s="324">
        <f t="shared" si="52"/>
        <v>0.95</v>
      </c>
      <c r="AR60" s="324">
        <f t="shared" si="52"/>
        <v>0.95</v>
      </c>
      <c r="AS60" s="324">
        <f t="shared" si="52"/>
        <v>0.95</v>
      </c>
      <c r="AT60" s="324">
        <f t="shared" si="52"/>
        <v>0.95</v>
      </c>
      <c r="AU60" s="324">
        <f t="shared" si="52"/>
        <v>0.95</v>
      </c>
      <c r="AV60" s="324">
        <f t="shared" si="52"/>
        <v>0.95</v>
      </c>
      <c r="AW60" s="324">
        <f t="shared" si="52"/>
        <v>0.95</v>
      </c>
      <c r="AX60" s="324">
        <f t="shared" si="52"/>
        <v>0.95</v>
      </c>
      <c r="AY60" s="324">
        <f t="shared" si="52"/>
        <v>0.95</v>
      </c>
      <c r="AZ60" s="324">
        <f t="shared" si="52"/>
        <v>0.95</v>
      </c>
      <c r="BA60" s="324">
        <f t="shared" si="52"/>
        <v>0.95</v>
      </c>
      <c r="BB60" s="324">
        <f t="shared" si="52"/>
        <v>0.95</v>
      </c>
      <c r="BC60" s="324">
        <f t="shared" si="52"/>
        <v>0.95</v>
      </c>
      <c r="BD60" s="324">
        <f t="shared" si="52"/>
        <v>0.95</v>
      </c>
      <c r="BE60" s="324">
        <f t="shared" si="52"/>
        <v>0.95</v>
      </c>
      <c r="BF60" s="324">
        <f t="shared" si="52"/>
        <v>0.95</v>
      </c>
      <c r="BG60" s="324">
        <f t="shared" si="52"/>
        <v>0.95</v>
      </c>
      <c r="BH60" s="324">
        <f t="shared" si="52"/>
        <v>0.95</v>
      </c>
      <c r="BI60" s="324">
        <f t="shared" si="52"/>
        <v>0.95</v>
      </c>
      <c r="BJ60" s="324">
        <f t="shared" si="52"/>
        <v>0.95</v>
      </c>
      <c r="BK60" s="324">
        <f t="shared" si="52"/>
        <v>0.95</v>
      </c>
      <c r="BL60" s="324">
        <f t="shared" si="52"/>
        <v>0.95</v>
      </c>
      <c r="BM60" s="324">
        <f t="shared" si="52"/>
        <v>0.95</v>
      </c>
      <c r="BN60" s="324">
        <f t="shared" si="52"/>
        <v>0.95</v>
      </c>
      <c r="BO60" s="324">
        <f t="shared" si="52"/>
        <v>0.95</v>
      </c>
      <c r="BP60" s="324">
        <f t="shared" si="52"/>
        <v>0.95</v>
      </c>
      <c r="BQ60" s="324">
        <f t="shared" si="52"/>
        <v>0.95</v>
      </c>
      <c r="BR60" s="324">
        <f t="shared" si="52"/>
        <v>0.95</v>
      </c>
      <c r="BS60" s="324">
        <f t="shared" ref="BS60:ED60" si="53">BS46/BS56</f>
        <v>0.95</v>
      </c>
      <c r="BT60" s="324">
        <f t="shared" si="53"/>
        <v>0.95</v>
      </c>
      <c r="BU60" s="324">
        <f t="shared" si="53"/>
        <v>0.95</v>
      </c>
      <c r="BV60" s="324">
        <f t="shared" si="53"/>
        <v>0.95</v>
      </c>
      <c r="BW60" s="324">
        <f t="shared" si="53"/>
        <v>0.95</v>
      </c>
      <c r="BX60" s="324">
        <f t="shared" si="53"/>
        <v>0.95</v>
      </c>
      <c r="BY60" s="324">
        <f t="shared" si="53"/>
        <v>0.95</v>
      </c>
      <c r="BZ60" s="324">
        <f t="shared" si="53"/>
        <v>0.95</v>
      </c>
      <c r="CA60" s="324">
        <f t="shared" si="53"/>
        <v>0.95</v>
      </c>
      <c r="CB60" s="324">
        <f t="shared" si="53"/>
        <v>0.95</v>
      </c>
      <c r="CC60" s="324">
        <f t="shared" si="53"/>
        <v>0.95</v>
      </c>
      <c r="CD60" s="324">
        <f t="shared" si="53"/>
        <v>0.95</v>
      </c>
      <c r="CE60" s="324">
        <f t="shared" si="53"/>
        <v>0.95</v>
      </c>
      <c r="CF60" s="324">
        <f t="shared" si="53"/>
        <v>0.95</v>
      </c>
      <c r="CG60" s="324">
        <f t="shared" si="53"/>
        <v>0.95</v>
      </c>
      <c r="CH60" s="324">
        <f t="shared" si="53"/>
        <v>0.95</v>
      </c>
      <c r="CI60" s="324">
        <f t="shared" si="53"/>
        <v>0.95</v>
      </c>
      <c r="CJ60" s="324">
        <f t="shared" si="53"/>
        <v>0.95</v>
      </c>
      <c r="CK60" s="324">
        <f t="shared" si="53"/>
        <v>0.95</v>
      </c>
      <c r="CL60" s="324">
        <f t="shared" si="53"/>
        <v>0.95</v>
      </c>
      <c r="CM60" s="324">
        <f t="shared" si="53"/>
        <v>0.95</v>
      </c>
      <c r="CN60" s="324">
        <f t="shared" si="53"/>
        <v>0.95</v>
      </c>
      <c r="CO60" s="324">
        <f t="shared" si="53"/>
        <v>0.95</v>
      </c>
      <c r="CP60" s="324">
        <f t="shared" si="53"/>
        <v>0.95</v>
      </c>
      <c r="CQ60" s="324">
        <f t="shared" si="53"/>
        <v>0.95</v>
      </c>
      <c r="CR60" s="324">
        <f t="shared" si="53"/>
        <v>0.95</v>
      </c>
      <c r="CS60" s="324">
        <f t="shared" si="53"/>
        <v>0.95</v>
      </c>
      <c r="CT60" s="324">
        <f t="shared" si="53"/>
        <v>0.95</v>
      </c>
      <c r="CU60" s="324">
        <f t="shared" si="53"/>
        <v>0.95</v>
      </c>
      <c r="CV60" s="324">
        <f t="shared" si="53"/>
        <v>0.95</v>
      </c>
      <c r="CW60" s="324">
        <f t="shared" si="53"/>
        <v>0.95</v>
      </c>
      <c r="CX60" s="324">
        <f t="shared" si="53"/>
        <v>0.95</v>
      </c>
      <c r="CY60" s="324">
        <f t="shared" si="53"/>
        <v>0.95</v>
      </c>
      <c r="CZ60" s="324">
        <f t="shared" si="53"/>
        <v>0.95</v>
      </c>
      <c r="DA60" s="324">
        <f t="shared" si="53"/>
        <v>0.95</v>
      </c>
      <c r="DB60" s="324">
        <f t="shared" si="53"/>
        <v>0.95</v>
      </c>
      <c r="DC60" s="324">
        <f t="shared" si="53"/>
        <v>0.95</v>
      </c>
      <c r="DD60" s="324">
        <f t="shared" si="53"/>
        <v>0.95</v>
      </c>
      <c r="DE60" s="324">
        <f t="shared" si="53"/>
        <v>0.95</v>
      </c>
      <c r="DF60" s="324">
        <f t="shared" si="53"/>
        <v>0.95</v>
      </c>
      <c r="DG60" s="324">
        <f t="shared" si="53"/>
        <v>0.95</v>
      </c>
      <c r="DH60" s="324">
        <f t="shared" si="53"/>
        <v>0.95</v>
      </c>
      <c r="DI60" s="324">
        <f t="shared" si="53"/>
        <v>0.95</v>
      </c>
      <c r="DJ60" s="324">
        <f t="shared" si="53"/>
        <v>0.95</v>
      </c>
      <c r="DK60" s="324">
        <f t="shared" si="53"/>
        <v>0.95</v>
      </c>
      <c r="DL60" s="324">
        <f t="shared" si="53"/>
        <v>0.95</v>
      </c>
      <c r="DM60" s="324">
        <f t="shared" si="53"/>
        <v>0.95</v>
      </c>
      <c r="DN60" s="324">
        <f t="shared" si="53"/>
        <v>0.95</v>
      </c>
      <c r="DO60" s="324">
        <f t="shared" si="53"/>
        <v>0.95</v>
      </c>
      <c r="DP60" s="324">
        <f t="shared" si="53"/>
        <v>0.95</v>
      </c>
      <c r="DQ60" s="324">
        <f t="shared" si="53"/>
        <v>0.95</v>
      </c>
      <c r="DR60" s="324">
        <f t="shared" si="53"/>
        <v>0.95</v>
      </c>
      <c r="DS60" s="324">
        <f t="shared" si="53"/>
        <v>0.95</v>
      </c>
      <c r="DT60" s="324">
        <f t="shared" si="53"/>
        <v>0.95</v>
      </c>
      <c r="DU60" s="324">
        <f t="shared" si="53"/>
        <v>0.95</v>
      </c>
      <c r="DV60" s="324">
        <f t="shared" si="53"/>
        <v>0.95</v>
      </c>
      <c r="DW60" s="324">
        <f t="shared" si="53"/>
        <v>0.95</v>
      </c>
      <c r="DX60" s="324">
        <f t="shared" si="53"/>
        <v>0.95</v>
      </c>
      <c r="DY60" s="324">
        <f t="shared" si="53"/>
        <v>0.95</v>
      </c>
      <c r="DZ60" s="324">
        <f t="shared" si="53"/>
        <v>0.95</v>
      </c>
      <c r="EA60" s="324">
        <f t="shared" si="53"/>
        <v>0.95</v>
      </c>
      <c r="EB60" s="324">
        <f t="shared" si="53"/>
        <v>0.95</v>
      </c>
      <c r="EC60" s="324">
        <f t="shared" si="53"/>
        <v>0.95</v>
      </c>
      <c r="ED60" s="324">
        <f t="shared" si="53"/>
        <v>0.95</v>
      </c>
      <c r="EE60" s="324">
        <f t="shared" ref="EE60:GP60" si="54">EE46/EE56</f>
        <v>0.95</v>
      </c>
      <c r="EF60" s="324">
        <f t="shared" si="54"/>
        <v>0.95</v>
      </c>
      <c r="EG60" s="324">
        <f t="shared" si="54"/>
        <v>0.95</v>
      </c>
      <c r="EH60" s="324">
        <f t="shared" si="54"/>
        <v>0.95</v>
      </c>
      <c r="EI60" s="324">
        <f t="shared" si="54"/>
        <v>0.95</v>
      </c>
      <c r="EJ60" s="324">
        <f t="shared" si="54"/>
        <v>0.95</v>
      </c>
      <c r="EK60" s="324">
        <f t="shared" si="54"/>
        <v>0.95</v>
      </c>
      <c r="EL60" s="324">
        <f t="shared" si="54"/>
        <v>0.95</v>
      </c>
      <c r="EM60" s="324">
        <f t="shared" si="54"/>
        <v>0.95</v>
      </c>
      <c r="EN60" s="324">
        <f t="shared" si="54"/>
        <v>0.95</v>
      </c>
      <c r="EO60" s="324">
        <f t="shared" si="54"/>
        <v>0.95</v>
      </c>
      <c r="EP60" s="324">
        <f t="shared" si="54"/>
        <v>0.95</v>
      </c>
      <c r="EQ60" s="324">
        <f t="shared" si="54"/>
        <v>0.95</v>
      </c>
      <c r="ER60" s="324">
        <f t="shared" si="54"/>
        <v>0.95</v>
      </c>
      <c r="ES60" s="324">
        <f t="shared" si="54"/>
        <v>0.95</v>
      </c>
      <c r="ET60" s="324">
        <f t="shared" si="54"/>
        <v>0.95</v>
      </c>
      <c r="EU60" s="324">
        <f t="shared" si="54"/>
        <v>0.95</v>
      </c>
      <c r="EV60" s="324">
        <f t="shared" si="54"/>
        <v>0.95</v>
      </c>
      <c r="EW60" s="324">
        <f t="shared" si="54"/>
        <v>0.95</v>
      </c>
      <c r="EX60" s="324">
        <f t="shared" si="54"/>
        <v>0.95</v>
      </c>
      <c r="EY60" s="324">
        <f t="shared" si="54"/>
        <v>0.95</v>
      </c>
      <c r="EZ60" s="324">
        <f t="shared" si="54"/>
        <v>0.95</v>
      </c>
      <c r="FA60" s="324">
        <f t="shared" si="54"/>
        <v>0.95</v>
      </c>
      <c r="FB60" s="324">
        <f t="shared" si="54"/>
        <v>0.95</v>
      </c>
      <c r="FC60" s="324">
        <f t="shared" si="54"/>
        <v>0.95</v>
      </c>
      <c r="FD60" s="324">
        <f t="shared" si="54"/>
        <v>0.95</v>
      </c>
      <c r="FE60" s="324">
        <f t="shared" si="54"/>
        <v>0.95</v>
      </c>
      <c r="FF60" s="324">
        <f t="shared" si="54"/>
        <v>0.95</v>
      </c>
      <c r="FG60" s="324">
        <f t="shared" si="54"/>
        <v>0.95</v>
      </c>
      <c r="FH60" s="324">
        <f t="shared" si="54"/>
        <v>0.95</v>
      </c>
      <c r="FI60" s="324">
        <f t="shared" si="54"/>
        <v>0.95</v>
      </c>
      <c r="FJ60" s="324">
        <f t="shared" si="54"/>
        <v>0.95</v>
      </c>
      <c r="FK60" s="324">
        <f t="shared" si="54"/>
        <v>0.95</v>
      </c>
      <c r="FL60" s="324">
        <f t="shared" si="54"/>
        <v>0.95</v>
      </c>
      <c r="FM60" s="324">
        <f t="shared" si="54"/>
        <v>0.95</v>
      </c>
      <c r="FN60" s="324">
        <f t="shared" si="54"/>
        <v>0.95</v>
      </c>
      <c r="FO60" s="324">
        <f t="shared" si="54"/>
        <v>0.95</v>
      </c>
      <c r="FP60" s="324">
        <f t="shared" si="54"/>
        <v>0.95</v>
      </c>
      <c r="FQ60" s="324">
        <f t="shared" si="54"/>
        <v>0.95</v>
      </c>
      <c r="FR60" s="324">
        <f t="shared" si="54"/>
        <v>0.95</v>
      </c>
      <c r="FS60" s="324">
        <f t="shared" si="54"/>
        <v>0.95</v>
      </c>
      <c r="FT60" s="324">
        <f t="shared" si="54"/>
        <v>0.95</v>
      </c>
      <c r="FU60" s="324">
        <f t="shared" si="54"/>
        <v>0.95</v>
      </c>
      <c r="FV60" s="324">
        <f t="shared" si="54"/>
        <v>0.95</v>
      </c>
      <c r="FW60" s="324">
        <f t="shared" si="54"/>
        <v>0.95</v>
      </c>
      <c r="FX60" s="324">
        <f t="shared" si="54"/>
        <v>0.95</v>
      </c>
      <c r="FY60" s="324">
        <f t="shared" si="54"/>
        <v>0.95</v>
      </c>
      <c r="FZ60" s="324">
        <f t="shared" si="54"/>
        <v>0.95</v>
      </c>
      <c r="GA60" s="324">
        <f t="shared" si="54"/>
        <v>0.95</v>
      </c>
      <c r="GB60" s="324">
        <f t="shared" si="54"/>
        <v>0.95</v>
      </c>
      <c r="GC60" s="324">
        <f t="shared" si="54"/>
        <v>0.95</v>
      </c>
      <c r="GD60" s="324">
        <f t="shared" si="54"/>
        <v>0.95</v>
      </c>
      <c r="GE60" s="324">
        <f t="shared" si="54"/>
        <v>0.95</v>
      </c>
      <c r="GF60" s="324">
        <f t="shared" si="54"/>
        <v>0.95</v>
      </c>
      <c r="GG60" s="324">
        <f t="shared" si="54"/>
        <v>0.95</v>
      </c>
      <c r="GH60" s="324">
        <f t="shared" si="54"/>
        <v>0.95</v>
      </c>
      <c r="GI60" s="324">
        <f t="shared" si="54"/>
        <v>0.95</v>
      </c>
      <c r="GJ60" s="324">
        <f t="shared" si="54"/>
        <v>0.95</v>
      </c>
      <c r="GK60" s="324">
        <f t="shared" si="54"/>
        <v>0.95</v>
      </c>
      <c r="GL60" s="324">
        <f t="shared" si="54"/>
        <v>0.95</v>
      </c>
      <c r="GM60" s="324">
        <f t="shared" si="54"/>
        <v>0.95</v>
      </c>
      <c r="GN60" s="324">
        <f t="shared" si="54"/>
        <v>0.95</v>
      </c>
      <c r="GO60" s="324">
        <f t="shared" si="54"/>
        <v>0.95</v>
      </c>
      <c r="GP60" s="324">
        <f t="shared" si="54"/>
        <v>0.95</v>
      </c>
      <c r="GQ60" s="324">
        <f t="shared" ref="GQ60:IV60" si="55">GQ46/GQ56</f>
        <v>0.95</v>
      </c>
      <c r="GR60" s="324">
        <f t="shared" si="55"/>
        <v>0.95</v>
      </c>
      <c r="GS60" s="324">
        <f t="shared" si="55"/>
        <v>0.95</v>
      </c>
      <c r="GT60" s="324">
        <f t="shared" si="55"/>
        <v>0.95</v>
      </c>
      <c r="GU60" s="324">
        <f t="shared" si="55"/>
        <v>0.95</v>
      </c>
      <c r="GV60" s="324">
        <f t="shared" si="55"/>
        <v>0.95</v>
      </c>
      <c r="GW60" s="324">
        <f t="shared" si="55"/>
        <v>0.95</v>
      </c>
      <c r="GX60" s="324">
        <f t="shared" si="55"/>
        <v>0.95</v>
      </c>
      <c r="GY60" s="324">
        <f t="shared" si="55"/>
        <v>0.95</v>
      </c>
      <c r="GZ60" s="324">
        <f t="shared" si="55"/>
        <v>0.95</v>
      </c>
      <c r="HA60" s="324">
        <f t="shared" si="55"/>
        <v>0.95</v>
      </c>
      <c r="HB60" s="324">
        <f t="shared" si="55"/>
        <v>0.95</v>
      </c>
      <c r="HC60" s="324">
        <f t="shared" si="55"/>
        <v>0.95</v>
      </c>
      <c r="HD60" s="324">
        <f t="shared" si="55"/>
        <v>0.95</v>
      </c>
      <c r="HE60" s="324">
        <f t="shared" si="55"/>
        <v>0.95</v>
      </c>
      <c r="HF60" s="324">
        <f t="shared" si="55"/>
        <v>0.95</v>
      </c>
      <c r="HG60" s="324">
        <f t="shared" si="55"/>
        <v>0.95</v>
      </c>
      <c r="HH60" s="324">
        <f t="shared" si="55"/>
        <v>0.95</v>
      </c>
      <c r="HI60" s="324">
        <f t="shared" si="55"/>
        <v>0.95</v>
      </c>
      <c r="HJ60" s="324">
        <f t="shared" si="55"/>
        <v>0.95</v>
      </c>
      <c r="HK60" s="324">
        <f t="shared" si="55"/>
        <v>0.95</v>
      </c>
      <c r="HL60" s="324">
        <f t="shared" si="55"/>
        <v>0.95</v>
      </c>
      <c r="HM60" s="324">
        <f t="shared" si="55"/>
        <v>0.95</v>
      </c>
      <c r="HN60" s="324">
        <f t="shared" si="55"/>
        <v>0.95</v>
      </c>
      <c r="HO60" s="324">
        <f t="shared" si="55"/>
        <v>0.95</v>
      </c>
      <c r="HP60" s="324">
        <f t="shared" si="55"/>
        <v>0.95</v>
      </c>
      <c r="HQ60" s="324">
        <f t="shared" si="55"/>
        <v>0.95</v>
      </c>
      <c r="HR60" s="324">
        <f t="shared" si="55"/>
        <v>0.95</v>
      </c>
      <c r="HS60" s="324">
        <f t="shared" si="55"/>
        <v>0.95</v>
      </c>
      <c r="HT60" s="324">
        <f t="shared" si="55"/>
        <v>0.95</v>
      </c>
      <c r="HU60" s="324">
        <f t="shared" si="55"/>
        <v>0.95</v>
      </c>
      <c r="HV60" s="324">
        <f t="shared" si="55"/>
        <v>0.95</v>
      </c>
      <c r="HW60" s="324">
        <f t="shared" si="55"/>
        <v>0.95</v>
      </c>
      <c r="HX60" s="324">
        <f t="shared" si="55"/>
        <v>0.95</v>
      </c>
      <c r="HY60" s="324">
        <f t="shared" si="55"/>
        <v>0.95</v>
      </c>
      <c r="HZ60" s="324">
        <f t="shared" si="55"/>
        <v>0.95</v>
      </c>
      <c r="IA60" s="324">
        <f t="shared" si="55"/>
        <v>0.95</v>
      </c>
      <c r="IB60" s="324">
        <f t="shared" si="55"/>
        <v>0.95</v>
      </c>
      <c r="IC60" s="324">
        <f t="shared" si="55"/>
        <v>0.95</v>
      </c>
      <c r="ID60" s="324">
        <f t="shared" si="55"/>
        <v>0.95</v>
      </c>
      <c r="IE60" s="324">
        <f t="shared" si="55"/>
        <v>0.95</v>
      </c>
      <c r="IF60" s="324">
        <f t="shared" si="55"/>
        <v>0.95</v>
      </c>
      <c r="IG60" s="324">
        <f t="shared" si="55"/>
        <v>0.95</v>
      </c>
      <c r="IH60" s="324">
        <f t="shared" si="55"/>
        <v>0.95</v>
      </c>
      <c r="II60" s="324">
        <f t="shared" si="55"/>
        <v>0.95</v>
      </c>
      <c r="IJ60" s="324">
        <f t="shared" si="55"/>
        <v>0.95</v>
      </c>
      <c r="IK60" s="324">
        <f t="shared" si="55"/>
        <v>0.95</v>
      </c>
      <c r="IL60" s="324">
        <f t="shared" si="55"/>
        <v>0.95</v>
      </c>
      <c r="IM60" s="324">
        <f t="shared" si="55"/>
        <v>0.95</v>
      </c>
      <c r="IN60" s="324">
        <f t="shared" si="55"/>
        <v>0.95</v>
      </c>
      <c r="IO60" s="324">
        <f t="shared" si="55"/>
        <v>0.95</v>
      </c>
      <c r="IP60" s="324">
        <f t="shared" si="55"/>
        <v>0.95</v>
      </c>
      <c r="IQ60" s="324">
        <f t="shared" si="55"/>
        <v>0.95</v>
      </c>
      <c r="IR60" s="324">
        <f t="shared" si="55"/>
        <v>0.95</v>
      </c>
      <c r="IS60" s="324">
        <f t="shared" si="55"/>
        <v>0.95</v>
      </c>
      <c r="IT60" s="324">
        <f t="shared" si="55"/>
        <v>0.95</v>
      </c>
      <c r="IU60" s="324">
        <f t="shared" si="55"/>
        <v>0.95</v>
      </c>
      <c r="IV60" s="324">
        <f t="shared" si="55"/>
        <v>0.95</v>
      </c>
      <c r="IX60" s="467">
        <f>IX46/IX56</f>
        <v>0.80819929116684674</v>
      </c>
    </row>
    <row r="61" spans="1:258">
      <c r="F61" s="290"/>
      <c r="G61" s="290"/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  <c r="AI61" s="290"/>
      <c r="AJ61" s="290"/>
      <c r="AK61" s="290"/>
      <c r="AL61" s="290"/>
      <c r="AM61" s="290"/>
      <c r="AN61" s="290"/>
      <c r="AO61" s="290"/>
      <c r="AP61" s="290"/>
      <c r="AQ61" s="290"/>
      <c r="AR61" s="290"/>
      <c r="AS61" s="290"/>
      <c r="AT61" s="290"/>
      <c r="AU61" s="290"/>
      <c r="AV61" s="290"/>
      <c r="AW61" s="290"/>
      <c r="AX61" s="290"/>
      <c r="AY61" s="290"/>
      <c r="AZ61" s="290"/>
      <c r="BA61" s="290"/>
      <c r="BB61" s="290"/>
      <c r="BC61" s="290"/>
      <c r="BD61" s="290"/>
      <c r="BE61" s="290"/>
      <c r="BF61" s="290"/>
      <c r="BG61" s="290"/>
      <c r="BH61" s="290"/>
      <c r="BI61" s="290"/>
      <c r="BJ61" s="290"/>
      <c r="BK61" s="290"/>
      <c r="BL61" s="290"/>
      <c r="BM61" s="290"/>
      <c r="BN61" s="290"/>
      <c r="BO61" s="290"/>
      <c r="BP61" s="290"/>
      <c r="BQ61" s="290"/>
      <c r="BR61" s="290"/>
      <c r="BS61" s="290"/>
      <c r="BT61" s="290"/>
      <c r="BU61" s="290"/>
      <c r="BV61" s="290"/>
      <c r="BW61" s="290"/>
      <c r="BX61" s="290"/>
      <c r="BY61" s="290"/>
      <c r="BZ61" s="290"/>
      <c r="CA61" s="290"/>
      <c r="CB61" s="290"/>
      <c r="CC61" s="290"/>
      <c r="CD61" s="290"/>
      <c r="CE61" s="290"/>
      <c r="CF61" s="290"/>
      <c r="CG61" s="290"/>
      <c r="CH61" s="290"/>
      <c r="CI61" s="290"/>
      <c r="CJ61" s="290"/>
      <c r="CK61" s="290"/>
      <c r="CL61" s="290"/>
      <c r="CM61" s="290"/>
      <c r="CN61" s="290"/>
      <c r="CO61" s="290"/>
      <c r="CP61" s="290"/>
      <c r="CQ61" s="290"/>
      <c r="CR61" s="290"/>
      <c r="CS61" s="290"/>
      <c r="CT61" s="290"/>
      <c r="CU61" s="290"/>
      <c r="CV61" s="290"/>
      <c r="CW61" s="290"/>
      <c r="CX61" s="290"/>
      <c r="CY61" s="290"/>
      <c r="CZ61" s="290"/>
      <c r="DA61" s="290"/>
      <c r="DB61" s="290"/>
      <c r="DC61" s="290"/>
      <c r="DD61" s="290"/>
      <c r="DE61" s="290"/>
      <c r="DF61" s="290"/>
      <c r="DG61" s="290"/>
      <c r="DH61" s="290"/>
      <c r="DI61" s="290"/>
      <c r="DJ61" s="290"/>
      <c r="DK61" s="290"/>
      <c r="DL61" s="290"/>
      <c r="DM61" s="290"/>
      <c r="DN61" s="290"/>
      <c r="DO61" s="290"/>
      <c r="DP61" s="290"/>
      <c r="DQ61" s="290"/>
      <c r="DR61" s="290"/>
      <c r="DS61" s="290"/>
      <c r="DT61" s="290"/>
      <c r="DU61" s="290"/>
      <c r="DV61" s="290"/>
      <c r="DW61" s="290"/>
      <c r="DX61" s="290"/>
      <c r="DY61" s="290"/>
      <c r="DZ61" s="290"/>
      <c r="EA61" s="290"/>
      <c r="EB61" s="290"/>
      <c r="EC61" s="290"/>
      <c r="ED61" s="290"/>
      <c r="EE61" s="290"/>
      <c r="EF61" s="290"/>
      <c r="EG61" s="290"/>
      <c r="EH61" s="290"/>
      <c r="EI61" s="290"/>
      <c r="EJ61" s="290"/>
      <c r="EK61" s="290"/>
      <c r="EL61" s="290"/>
      <c r="EM61" s="290"/>
      <c r="EN61" s="290"/>
      <c r="EO61" s="290"/>
      <c r="EP61" s="290"/>
      <c r="EQ61" s="290"/>
      <c r="ER61" s="290"/>
      <c r="ES61" s="290"/>
      <c r="ET61" s="290"/>
      <c r="EU61" s="290"/>
      <c r="EV61" s="290"/>
      <c r="EW61" s="290"/>
      <c r="EX61" s="290"/>
      <c r="EY61" s="290"/>
      <c r="EZ61" s="290"/>
      <c r="FA61" s="290"/>
      <c r="FB61" s="290"/>
      <c r="FC61" s="290"/>
      <c r="FD61" s="290"/>
      <c r="FE61" s="290"/>
      <c r="FF61" s="290"/>
      <c r="FG61" s="290"/>
      <c r="FH61" s="290"/>
      <c r="FI61" s="290"/>
      <c r="FJ61" s="290"/>
      <c r="FK61" s="290"/>
      <c r="FL61" s="290"/>
      <c r="FM61" s="290"/>
      <c r="FN61" s="290"/>
      <c r="FO61" s="290"/>
      <c r="FP61" s="290"/>
      <c r="FQ61" s="290"/>
      <c r="FR61" s="290"/>
      <c r="FS61" s="290"/>
      <c r="FT61" s="290"/>
      <c r="FU61" s="290"/>
      <c r="FV61" s="290"/>
      <c r="FW61" s="290"/>
      <c r="FX61" s="290"/>
      <c r="FY61" s="290"/>
      <c r="FZ61" s="290"/>
      <c r="GA61" s="290"/>
      <c r="GB61" s="290"/>
      <c r="GC61" s="290"/>
      <c r="GD61" s="290"/>
      <c r="GE61" s="290"/>
      <c r="GF61" s="290"/>
      <c r="GG61" s="290"/>
      <c r="GH61" s="290"/>
      <c r="GI61" s="290"/>
      <c r="GJ61" s="290"/>
      <c r="GK61" s="290"/>
      <c r="GL61" s="290"/>
      <c r="GM61" s="290"/>
      <c r="GN61" s="290"/>
      <c r="GO61" s="290"/>
      <c r="GP61" s="290"/>
      <c r="GQ61" s="290"/>
      <c r="GR61" s="290"/>
      <c r="GS61" s="290"/>
      <c r="GT61" s="290"/>
      <c r="GU61" s="290"/>
      <c r="GV61" s="290"/>
      <c r="GW61" s="290"/>
      <c r="GX61" s="290"/>
      <c r="GY61" s="290"/>
      <c r="GZ61" s="290"/>
      <c r="HA61" s="290"/>
      <c r="HB61" s="290"/>
      <c r="HC61" s="290"/>
      <c r="HD61" s="290"/>
      <c r="HE61" s="290"/>
      <c r="HF61" s="290"/>
      <c r="HG61" s="290"/>
      <c r="HH61" s="290"/>
      <c r="HI61" s="290"/>
      <c r="HJ61" s="290"/>
      <c r="HK61" s="290"/>
      <c r="HL61" s="290"/>
      <c r="HM61" s="290"/>
      <c r="HN61" s="290"/>
      <c r="HO61" s="290"/>
      <c r="HP61" s="290"/>
      <c r="HQ61" s="290"/>
      <c r="HR61" s="290"/>
      <c r="HS61" s="290"/>
      <c r="HT61" s="290"/>
      <c r="HU61" s="290"/>
      <c r="HV61" s="290"/>
      <c r="HW61" s="290"/>
      <c r="HX61" s="290"/>
      <c r="HY61" s="290"/>
      <c r="HZ61" s="290"/>
      <c r="IA61" s="290"/>
      <c r="IB61" s="290"/>
      <c r="IC61" s="290"/>
      <c r="ID61" s="290"/>
      <c r="IE61" s="290"/>
      <c r="IF61" s="290"/>
      <c r="IG61" s="290"/>
      <c r="IH61" s="290"/>
      <c r="II61" s="290"/>
      <c r="IJ61" s="290"/>
      <c r="IK61" s="290"/>
      <c r="IL61" s="290"/>
      <c r="IM61" s="290"/>
      <c r="IN61" s="290"/>
      <c r="IO61" s="290"/>
      <c r="IP61" s="290"/>
      <c r="IQ61" s="290"/>
      <c r="IR61" s="290"/>
      <c r="IS61" s="290"/>
      <c r="IT61" s="290"/>
      <c r="IU61" s="290"/>
      <c r="IV61" s="290"/>
    </row>
    <row r="62" spans="1:258">
      <c r="A62" s="319">
        <v>1</v>
      </c>
      <c r="B62" s="575" t="s">
        <v>302</v>
      </c>
      <c r="C62" s="575"/>
      <c r="D62" s="323" t="s">
        <v>457</v>
      </c>
      <c r="E62" s="452">
        <f>F34</f>
        <v>400</v>
      </c>
      <c r="F62" s="452">
        <f>E62</f>
        <v>400</v>
      </c>
      <c r="G62" s="452">
        <f t="shared" ref="G62:BR62" si="56">F62</f>
        <v>400</v>
      </c>
      <c r="H62" s="452">
        <f t="shared" si="56"/>
        <v>400</v>
      </c>
      <c r="I62" s="452">
        <f t="shared" si="56"/>
        <v>400</v>
      </c>
      <c r="J62" s="452">
        <f t="shared" si="56"/>
        <v>400</v>
      </c>
      <c r="K62" s="452">
        <f t="shared" si="56"/>
        <v>400</v>
      </c>
      <c r="L62" s="452">
        <f t="shared" si="56"/>
        <v>400</v>
      </c>
      <c r="M62" s="452">
        <f t="shared" si="56"/>
        <v>400</v>
      </c>
      <c r="N62" s="452">
        <f t="shared" si="56"/>
        <v>400</v>
      </c>
      <c r="O62" s="452">
        <f t="shared" si="56"/>
        <v>400</v>
      </c>
      <c r="P62" s="452">
        <f t="shared" si="56"/>
        <v>400</v>
      </c>
      <c r="Q62" s="452">
        <f t="shared" si="56"/>
        <v>400</v>
      </c>
      <c r="R62" s="452">
        <f t="shared" si="56"/>
        <v>400</v>
      </c>
      <c r="S62" s="452">
        <f t="shared" si="56"/>
        <v>400</v>
      </c>
      <c r="T62" s="452">
        <f t="shared" si="56"/>
        <v>400</v>
      </c>
      <c r="U62" s="452">
        <f t="shared" si="56"/>
        <v>400</v>
      </c>
      <c r="V62" s="452">
        <f t="shared" si="56"/>
        <v>400</v>
      </c>
      <c r="W62" s="452">
        <f t="shared" si="56"/>
        <v>400</v>
      </c>
      <c r="X62" s="452">
        <f t="shared" si="56"/>
        <v>400</v>
      </c>
      <c r="Y62" s="452">
        <f t="shared" si="56"/>
        <v>400</v>
      </c>
      <c r="Z62" s="452">
        <f t="shared" si="56"/>
        <v>400</v>
      </c>
      <c r="AA62" s="452">
        <f t="shared" si="56"/>
        <v>400</v>
      </c>
      <c r="AB62" s="452">
        <f t="shared" si="56"/>
        <v>400</v>
      </c>
      <c r="AC62" s="452">
        <f t="shared" si="56"/>
        <v>400</v>
      </c>
      <c r="AD62" s="452">
        <f t="shared" si="56"/>
        <v>400</v>
      </c>
      <c r="AE62" s="452">
        <f t="shared" si="56"/>
        <v>400</v>
      </c>
      <c r="AF62" s="452">
        <f t="shared" si="56"/>
        <v>400</v>
      </c>
      <c r="AG62" s="452">
        <f t="shared" si="56"/>
        <v>400</v>
      </c>
      <c r="AH62" s="452">
        <f t="shared" si="56"/>
        <v>400</v>
      </c>
      <c r="AI62" s="452">
        <f t="shared" si="56"/>
        <v>400</v>
      </c>
      <c r="AJ62" s="452">
        <f t="shared" si="56"/>
        <v>400</v>
      </c>
      <c r="AK62" s="452">
        <f t="shared" si="56"/>
        <v>400</v>
      </c>
      <c r="AL62" s="452">
        <f t="shared" si="56"/>
        <v>400</v>
      </c>
      <c r="AM62" s="452">
        <f t="shared" si="56"/>
        <v>400</v>
      </c>
      <c r="AN62" s="452">
        <f t="shared" si="56"/>
        <v>400</v>
      </c>
      <c r="AO62" s="452">
        <f t="shared" si="56"/>
        <v>400</v>
      </c>
      <c r="AP62" s="452">
        <f t="shared" si="56"/>
        <v>400</v>
      </c>
      <c r="AQ62" s="452">
        <f t="shared" si="56"/>
        <v>400</v>
      </c>
      <c r="AR62" s="452">
        <f t="shared" si="56"/>
        <v>400</v>
      </c>
      <c r="AS62" s="452">
        <f t="shared" si="56"/>
        <v>400</v>
      </c>
      <c r="AT62" s="452">
        <f t="shared" si="56"/>
        <v>400</v>
      </c>
      <c r="AU62" s="452">
        <f t="shared" si="56"/>
        <v>400</v>
      </c>
      <c r="AV62" s="452">
        <f t="shared" si="56"/>
        <v>400</v>
      </c>
      <c r="AW62" s="452">
        <f t="shared" si="56"/>
        <v>400</v>
      </c>
      <c r="AX62" s="452">
        <f t="shared" si="56"/>
        <v>400</v>
      </c>
      <c r="AY62" s="452">
        <f t="shared" si="56"/>
        <v>400</v>
      </c>
      <c r="AZ62" s="452">
        <f t="shared" si="56"/>
        <v>400</v>
      </c>
      <c r="BA62" s="452">
        <f t="shared" si="56"/>
        <v>400</v>
      </c>
      <c r="BB62" s="452">
        <f t="shared" si="56"/>
        <v>400</v>
      </c>
      <c r="BC62" s="452">
        <f t="shared" si="56"/>
        <v>400</v>
      </c>
      <c r="BD62" s="452">
        <f t="shared" si="56"/>
        <v>400</v>
      </c>
      <c r="BE62" s="452">
        <f t="shared" si="56"/>
        <v>400</v>
      </c>
      <c r="BF62" s="452">
        <f t="shared" si="56"/>
        <v>400</v>
      </c>
      <c r="BG62" s="452">
        <f t="shared" si="56"/>
        <v>400</v>
      </c>
      <c r="BH62" s="452">
        <f t="shared" si="56"/>
        <v>400</v>
      </c>
      <c r="BI62" s="452">
        <f t="shared" si="56"/>
        <v>400</v>
      </c>
      <c r="BJ62" s="452">
        <f t="shared" si="56"/>
        <v>400</v>
      </c>
      <c r="BK62" s="452">
        <f t="shared" si="56"/>
        <v>400</v>
      </c>
      <c r="BL62" s="452">
        <f t="shared" si="56"/>
        <v>400</v>
      </c>
      <c r="BM62" s="452">
        <f t="shared" si="56"/>
        <v>400</v>
      </c>
      <c r="BN62" s="452">
        <f t="shared" si="56"/>
        <v>400</v>
      </c>
      <c r="BO62" s="452">
        <f t="shared" si="56"/>
        <v>400</v>
      </c>
      <c r="BP62" s="452">
        <f t="shared" si="56"/>
        <v>400</v>
      </c>
      <c r="BQ62" s="452">
        <f t="shared" si="56"/>
        <v>400</v>
      </c>
      <c r="BR62" s="452">
        <f t="shared" si="56"/>
        <v>400</v>
      </c>
      <c r="BS62" s="452">
        <f t="shared" ref="BS62:ED62" si="57">BR62</f>
        <v>400</v>
      </c>
      <c r="BT62" s="452">
        <f t="shared" si="57"/>
        <v>400</v>
      </c>
      <c r="BU62" s="452">
        <f t="shared" si="57"/>
        <v>400</v>
      </c>
      <c r="BV62" s="452">
        <f t="shared" si="57"/>
        <v>400</v>
      </c>
      <c r="BW62" s="452">
        <f t="shared" si="57"/>
        <v>400</v>
      </c>
      <c r="BX62" s="452">
        <f t="shared" si="57"/>
        <v>400</v>
      </c>
      <c r="BY62" s="452">
        <f t="shared" si="57"/>
        <v>400</v>
      </c>
      <c r="BZ62" s="452">
        <f t="shared" si="57"/>
        <v>400</v>
      </c>
      <c r="CA62" s="452">
        <f t="shared" si="57"/>
        <v>400</v>
      </c>
      <c r="CB62" s="452">
        <f t="shared" si="57"/>
        <v>400</v>
      </c>
      <c r="CC62" s="452">
        <f t="shared" si="57"/>
        <v>400</v>
      </c>
      <c r="CD62" s="452">
        <f t="shared" si="57"/>
        <v>400</v>
      </c>
      <c r="CE62" s="452">
        <f t="shared" si="57"/>
        <v>400</v>
      </c>
      <c r="CF62" s="452">
        <f t="shared" si="57"/>
        <v>400</v>
      </c>
      <c r="CG62" s="452">
        <f t="shared" si="57"/>
        <v>400</v>
      </c>
      <c r="CH62" s="452">
        <f t="shared" si="57"/>
        <v>400</v>
      </c>
      <c r="CI62" s="452">
        <f t="shared" si="57"/>
        <v>400</v>
      </c>
      <c r="CJ62" s="452">
        <f t="shared" si="57"/>
        <v>400</v>
      </c>
      <c r="CK62" s="452">
        <f t="shared" si="57"/>
        <v>400</v>
      </c>
      <c r="CL62" s="452">
        <f t="shared" si="57"/>
        <v>400</v>
      </c>
      <c r="CM62" s="452">
        <f t="shared" si="57"/>
        <v>400</v>
      </c>
      <c r="CN62" s="452">
        <f t="shared" si="57"/>
        <v>400</v>
      </c>
      <c r="CO62" s="452">
        <f t="shared" si="57"/>
        <v>400</v>
      </c>
      <c r="CP62" s="452">
        <f t="shared" si="57"/>
        <v>400</v>
      </c>
      <c r="CQ62" s="452">
        <f t="shared" si="57"/>
        <v>400</v>
      </c>
      <c r="CR62" s="452">
        <f t="shared" si="57"/>
        <v>400</v>
      </c>
      <c r="CS62" s="452">
        <f t="shared" si="57"/>
        <v>400</v>
      </c>
      <c r="CT62" s="452">
        <f t="shared" si="57"/>
        <v>400</v>
      </c>
      <c r="CU62" s="452">
        <f t="shared" si="57"/>
        <v>400</v>
      </c>
      <c r="CV62" s="452">
        <f t="shared" si="57"/>
        <v>400</v>
      </c>
      <c r="CW62" s="452">
        <f t="shared" si="57"/>
        <v>400</v>
      </c>
      <c r="CX62" s="452">
        <f t="shared" si="57"/>
        <v>400</v>
      </c>
      <c r="CY62" s="452">
        <f t="shared" si="57"/>
        <v>400</v>
      </c>
      <c r="CZ62" s="452">
        <f t="shared" si="57"/>
        <v>400</v>
      </c>
      <c r="DA62" s="452">
        <f t="shared" si="57"/>
        <v>400</v>
      </c>
      <c r="DB62" s="452">
        <f t="shared" si="57"/>
        <v>400</v>
      </c>
      <c r="DC62" s="452">
        <f t="shared" si="57"/>
        <v>400</v>
      </c>
      <c r="DD62" s="452">
        <f t="shared" si="57"/>
        <v>400</v>
      </c>
      <c r="DE62" s="452">
        <f t="shared" si="57"/>
        <v>400</v>
      </c>
      <c r="DF62" s="452">
        <f t="shared" si="57"/>
        <v>400</v>
      </c>
      <c r="DG62" s="452">
        <f t="shared" si="57"/>
        <v>400</v>
      </c>
      <c r="DH62" s="452">
        <f t="shared" si="57"/>
        <v>400</v>
      </c>
      <c r="DI62" s="452">
        <f t="shared" si="57"/>
        <v>400</v>
      </c>
      <c r="DJ62" s="452">
        <f t="shared" si="57"/>
        <v>400</v>
      </c>
      <c r="DK62" s="452">
        <f t="shared" si="57"/>
        <v>400</v>
      </c>
      <c r="DL62" s="452">
        <f t="shared" si="57"/>
        <v>400</v>
      </c>
      <c r="DM62" s="452">
        <f t="shared" si="57"/>
        <v>400</v>
      </c>
      <c r="DN62" s="452">
        <f t="shared" si="57"/>
        <v>400</v>
      </c>
      <c r="DO62" s="452">
        <f t="shared" si="57"/>
        <v>400</v>
      </c>
      <c r="DP62" s="452">
        <f t="shared" si="57"/>
        <v>400</v>
      </c>
      <c r="DQ62" s="452">
        <f t="shared" si="57"/>
        <v>400</v>
      </c>
      <c r="DR62" s="452">
        <f t="shared" si="57"/>
        <v>400</v>
      </c>
      <c r="DS62" s="452">
        <f t="shared" si="57"/>
        <v>400</v>
      </c>
      <c r="DT62" s="452">
        <f t="shared" si="57"/>
        <v>400</v>
      </c>
      <c r="DU62" s="452">
        <f t="shared" si="57"/>
        <v>400</v>
      </c>
      <c r="DV62" s="452">
        <f t="shared" si="57"/>
        <v>400</v>
      </c>
      <c r="DW62" s="452">
        <f t="shared" si="57"/>
        <v>400</v>
      </c>
      <c r="DX62" s="452">
        <f t="shared" si="57"/>
        <v>400</v>
      </c>
      <c r="DY62" s="452">
        <f t="shared" si="57"/>
        <v>400</v>
      </c>
      <c r="DZ62" s="452">
        <f t="shared" si="57"/>
        <v>400</v>
      </c>
      <c r="EA62" s="452">
        <f t="shared" si="57"/>
        <v>400</v>
      </c>
      <c r="EB62" s="452">
        <f t="shared" si="57"/>
        <v>400</v>
      </c>
      <c r="EC62" s="452">
        <f t="shared" si="57"/>
        <v>400</v>
      </c>
      <c r="ED62" s="452">
        <f t="shared" si="57"/>
        <v>400</v>
      </c>
      <c r="EE62" s="452">
        <f t="shared" ref="EE62:GP62" si="58">ED62</f>
        <v>400</v>
      </c>
      <c r="EF62" s="452">
        <f t="shared" si="58"/>
        <v>400</v>
      </c>
      <c r="EG62" s="452">
        <f t="shared" si="58"/>
        <v>400</v>
      </c>
      <c r="EH62" s="452">
        <f t="shared" si="58"/>
        <v>400</v>
      </c>
      <c r="EI62" s="452">
        <f t="shared" si="58"/>
        <v>400</v>
      </c>
      <c r="EJ62" s="452">
        <f t="shared" si="58"/>
        <v>400</v>
      </c>
      <c r="EK62" s="452">
        <f t="shared" si="58"/>
        <v>400</v>
      </c>
      <c r="EL62" s="452">
        <f t="shared" si="58"/>
        <v>400</v>
      </c>
      <c r="EM62" s="452">
        <f t="shared" si="58"/>
        <v>400</v>
      </c>
      <c r="EN62" s="452">
        <f t="shared" si="58"/>
        <v>400</v>
      </c>
      <c r="EO62" s="452">
        <f t="shared" si="58"/>
        <v>400</v>
      </c>
      <c r="EP62" s="452">
        <f t="shared" si="58"/>
        <v>400</v>
      </c>
      <c r="EQ62" s="452">
        <f t="shared" si="58"/>
        <v>400</v>
      </c>
      <c r="ER62" s="452">
        <f t="shared" si="58"/>
        <v>400</v>
      </c>
      <c r="ES62" s="452">
        <f t="shared" si="58"/>
        <v>400</v>
      </c>
      <c r="ET62" s="452">
        <f t="shared" si="58"/>
        <v>400</v>
      </c>
      <c r="EU62" s="452">
        <f t="shared" si="58"/>
        <v>400</v>
      </c>
      <c r="EV62" s="452">
        <f t="shared" si="58"/>
        <v>400</v>
      </c>
      <c r="EW62" s="452">
        <f t="shared" si="58"/>
        <v>400</v>
      </c>
      <c r="EX62" s="452">
        <f t="shared" si="58"/>
        <v>400</v>
      </c>
      <c r="EY62" s="452">
        <f t="shared" si="58"/>
        <v>400</v>
      </c>
      <c r="EZ62" s="452">
        <f t="shared" si="58"/>
        <v>400</v>
      </c>
      <c r="FA62" s="452">
        <f t="shared" si="58"/>
        <v>400</v>
      </c>
      <c r="FB62" s="452">
        <f t="shared" si="58"/>
        <v>400</v>
      </c>
      <c r="FC62" s="452">
        <f t="shared" si="58"/>
        <v>400</v>
      </c>
      <c r="FD62" s="452">
        <f t="shared" si="58"/>
        <v>400</v>
      </c>
      <c r="FE62" s="452">
        <f t="shared" si="58"/>
        <v>400</v>
      </c>
      <c r="FF62" s="452">
        <f t="shared" si="58"/>
        <v>400</v>
      </c>
      <c r="FG62" s="452">
        <f t="shared" si="58"/>
        <v>400</v>
      </c>
      <c r="FH62" s="452">
        <f t="shared" si="58"/>
        <v>400</v>
      </c>
      <c r="FI62" s="452">
        <f t="shared" si="58"/>
        <v>400</v>
      </c>
      <c r="FJ62" s="452">
        <f t="shared" si="58"/>
        <v>400</v>
      </c>
      <c r="FK62" s="452">
        <f t="shared" si="58"/>
        <v>400</v>
      </c>
      <c r="FL62" s="452">
        <f t="shared" si="58"/>
        <v>400</v>
      </c>
      <c r="FM62" s="452">
        <f t="shared" si="58"/>
        <v>400</v>
      </c>
      <c r="FN62" s="452">
        <f t="shared" si="58"/>
        <v>400</v>
      </c>
      <c r="FO62" s="452">
        <f t="shared" si="58"/>
        <v>400</v>
      </c>
      <c r="FP62" s="452">
        <f t="shared" si="58"/>
        <v>400</v>
      </c>
      <c r="FQ62" s="452">
        <f t="shared" si="58"/>
        <v>400</v>
      </c>
      <c r="FR62" s="452">
        <f t="shared" si="58"/>
        <v>400</v>
      </c>
      <c r="FS62" s="452">
        <f t="shared" si="58"/>
        <v>400</v>
      </c>
      <c r="FT62" s="452">
        <f t="shared" si="58"/>
        <v>400</v>
      </c>
      <c r="FU62" s="452">
        <f t="shared" si="58"/>
        <v>400</v>
      </c>
      <c r="FV62" s="452">
        <f t="shared" si="58"/>
        <v>400</v>
      </c>
      <c r="FW62" s="452">
        <f t="shared" si="58"/>
        <v>400</v>
      </c>
      <c r="FX62" s="452">
        <f t="shared" si="58"/>
        <v>400</v>
      </c>
      <c r="FY62" s="452">
        <f t="shared" si="58"/>
        <v>400</v>
      </c>
      <c r="FZ62" s="452">
        <f t="shared" si="58"/>
        <v>400</v>
      </c>
      <c r="GA62" s="452">
        <f t="shared" si="58"/>
        <v>400</v>
      </c>
      <c r="GB62" s="452">
        <f t="shared" si="58"/>
        <v>400</v>
      </c>
      <c r="GC62" s="452">
        <f t="shared" si="58"/>
        <v>400</v>
      </c>
      <c r="GD62" s="452">
        <f t="shared" si="58"/>
        <v>400</v>
      </c>
      <c r="GE62" s="452">
        <f t="shared" si="58"/>
        <v>400</v>
      </c>
      <c r="GF62" s="452">
        <f t="shared" si="58"/>
        <v>400</v>
      </c>
      <c r="GG62" s="452">
        <f t="shared" si="58"/>
        <v>400</v>
      </c>
      <c r="GH62" s="452">
        <f t="shared" si="58"/>
        <v>400</v>
      </c>
      <c r="GI62" s="452">
        <f t="shared" si="58"/>
        <v>400</v>
      </c>
      <c r="GJ62" s="452">
        <f t="shared" si="58"/>
        <v>400</v>
      </c>
      <c r="GK62" s="452">
        <f t="shared" si="58"/>
        <v>400</v>
      </c>
      <c r="GL62" s="452">
        <f t="shared" si="58"/>
        <v>400</v>
      </c>
      <c r="GM62" s="452">
        <f t="shared" si="58"/>
        <v>400</v>
      </c>
      <c r="GN62" s="452">
        <f t="shared" si="58"/>
        <v>400</v>
      </c>
      <c r="GO62" s="452">
        <f t="shared" si="58"/>
        <v>400</v>
      </c>
      <c r="GP62" s="452">
        <f t="shared" si="58"/>
        <v>400</v>
      </c>
      <c r="GQ62" s="452">
        <f t="shared" ref="GQ62:IV62" si="59">GP62</f>
        <v>400</v>
      </c>
      <c r="GR62" s="452">
        <f t="shared" si="59"/>
        <v>400</v>
      </c>
      <c r="GS62" s="452">
        <f t="shared" si="59"/>
        <v>400</v>
      </c>
      <c r="GT62" s="452">
        <f t="shared" si="59"/>
        <v>400</v>
      </c>
      <c r="GU62" s="452">
        <f t="shared" si="59"/>
        <v>400</v>
      </c>
      <c r="GV62" s="452">
        <f t="shared" si="59"/>
        <v>400</v>
      </c>
      <c r="GW62" s="452">
        <f t="shared" si="59"/>
        <v>400</v>
      </c>
      <c r="GX62" s="452">
        <f t="shared" si="59"/>
        <v>400</v>
      </c>
      <c r="GY62" s="452">
        <f t="shared" si="59"/>
        <v>400</v>
      </c>
      <c r="GZ62" s="452">
        <f t="shared" si="59"/>
        <v>400</v>
      </c>
      <c r="HA62" s="452">
        <f t="shared" si="59"/>
        <v>400</v>
      </c>
      <c r="HB62" s="452">
        <f t="shared" si="59"/>
        <v>400</v>
      </c>
      <c r="HC62" s="452">
        <f t="shared" si="59"/>
        <v>400</v>
      </c>
      <c r="HD62" s="452">
        <f t="shared" si="59"/>
        <v>400</v>
      </c>
      <c r="HE62" s="452">
        <f t="shared" si="59"/>
        <v>400</v>
      </c>
      <c r="HF62" s="452">
        <f t="shared" si="59"/>
        <v>400</v>
      </c>
      <c r="HG62" s="452">
        <f t="shared" si="59"/>
        <v>400</v>
      </c>
      <c r="HH62" s="452">
        <f t="shared" si="59"/>
        <v>400</v>
      </c>
      <c r="HI62" s="452">
        <f t="shared" si="59"/>
        <v>400</v>
      </c>
      <c r="HJ62" s="452">
        <f t="shared" si="59"/>
        <v>400</v>
      </c>
      <c r="HK62" s="452">
        <f t="shared" si="59"/>
        <v>400</v>
      </c>
      <c r="HL62" s="452">
        <f t="shared" si="59"/>
        <v>400</v>
      </c>
      <c r="HM62" s="452">
        <f t="shared" si="59"/>
        <v>400</v>
      </c>
      <c r="HN62" s="452">
        <f t="shared" si="59"/>
        <v>400</v>
      </c>
      <c r="HO62" s="452">
        <f t="shared" si="59"/>
        <v>400</v>
      </c>
      <c r="HP62" s="452">
        <f t="shared" si="59"/>
        <v>400</v>
      </c>
      <c r="HQ62" s="452">
        <f t="shared" si="59"/>
        <v>400</v>
      </c>
      <c r="HR62" s="452">
        <f t="shared" si="59"/>
        <v>400</v>
      </c>
      <c r="HS62" s="452">
        <f t="shared" si="59"/>
        <v>400</v>
      </c>
      <c r="HT62" s="452">
        <f t="shared" si="59"/>
        <v>400</v>
      </c>
      <c r="HU62" s="452">
        <f t="shared" si="59"/>
        <v>400</v>
      </c>
      <c r="HV62" s="452">
        <f t="shared" si="59"/>
        <v>400</v>
      </c>
      <c r="HW62" s="452">
        <f t="shared" si="59"/>
        <v>400</v>
      </c>
      <c r="HX62" s="452">
        <f t="shared" si="59"/>
        <v>400</v>
      </c>
      <c r="HY62" s="452">
        <f t="shared" si="59"/>
        <v>400</v>
      </c>
      <c r="HZ62" s="452">
        <f t="shared" si="59"/>
        <v>400</v>
      </c>
      <c r="IA62" s="452">
        <f t="shared" si="59"/>
        <v>400</v>
      </c>
      <c r="IB62" s="452">
        <f t="shared" si="59"/>
        <v>400</v>
      </c>
      <c r="IC62" s="452">
        <f t="shared" si="59"/>
        <v>400</v>
      </c>
      <c r="ID62" s="452">
        <f t="shared" si="59"/>
        <v>400</v>
      </c>
      <c r="IE62" s="452">
        <f t="shared" si="59"/>
        <v>400</v>
      </c>
      <c r="IF62" s="452">
        <f t="shared" si="59"/>
        <v>400</v>
      </c>
      <c r="IG62" s="452">
        <f t="shared" si="59"/>
        <v>400</v>
      </c>
      <c r="IH62" s="452">
        <f t="shared" si="59"/>
        <v>400</v>
      </c>
      <c r="II62" s="452">
        <f t="shared" si="59"/>
        <v>400</v>
      </c>
      <c r="IJ62" s="452">
        <f t="shared" si="59"/>
        <v>400</v>
      </c>
      <c r="IK62" s="452">
        <f t="shared" si="59"/>
        <v>400</v>
      </c>
      <c r="IL62" s="452">
        <f t="shared" si="59"/>
        <v>400</v>
      </c>
      <c r="IM62" s="452">
        <f t="shared" si="59"/>
        <v>400</v>
      </c>
      <c r="IN62" s="452">
        <f t="shared" si="59"/>
        <v>400</v>
      </c>
      <c r="IO62" s="452">
        <f t="shared" si="59"/>
        <v>400</v>
      </c>
      <c r="IP62" s="452">
        <f t="shared" si="59"/>
        <v>400</v>
      </c>
      <c r="IQ62" s="452">
        <f t="shared" si="59"/>
        <v>400</v>
      </c>
      <c r="IR62" s="452">
        <f t="shared" si="59"/>
        <v>400</v>
      </c>
      <c r="IS62" s="452">
        <f t="shared" si="59"/>
        <v>400</v>
      </c>
      <c r="IT62" s="452">
        <f t="shared" si="59"/>
        <v>400</v>
      </c>
      <c r="IU62" s="452">
        <f t="shared" si="59"/>
        <v>400</v>
      </c>
      <c r="IV62" s="452">
        <f t="shared" si="59"/>
        <v>400</v>
      </c>
      <c r="IX62" s="323"/>
    </row>
    <row r="63" spans="1:258">
      <c r="A63" s="319">
        <v>1</v>
      </c>
      <c r="B63" s="583" t="s">
        <v>456</v>
      </c>
      <c r="C63" s="583"/>
      <c r="D63" s="328" t="s">
        <v>455</v>
      </c>
      <c r="E63" s="456">
        <f t="shared" ref="E63:BP63" si="60">E52*E62</f>
        <v>0</v>
      </c>
      <c r="F63" s="456">
        <f t="shared" si="60"/>
        <v>638.4</v>
      </c>
      <c r="G63" s="456">
        <f t="shared" si="60"/>
        <v>671.45999999999992</v>
      </c>
      <c r="H63" s="456">
        <f t="shared" si="60"/>
        <v>617.30999999999995</v>
      </c>
      <c r="I63" s="456">
        <f t="shared" si="60"/>
        <v>605.99264999999991</v>
      </c>
      <c r="J63" s="456">
        <f t="shared" si="60"/>
        <v>557.12227499999995</v>
      </c>
      <c r="K63" s="456">
        <f t="shared" si="60"/>
        <v>546.90836662499987</v>
      </c>
      <c r="L63" s="456">
        <f t="shared" si="60"/>
        <v>519.56294829374997</v>
      </c>
      <c r="M63" s="456">
        <f t="shared" si="60"/>
        <v>477.66271052812488</v>
      </c>
      <c r="N63" s="456">
        <f t="shared" si="60"/>
        <v>468.90556083510927</v>
      </c>
      <c r="O63" s="456">
        <f t="shared" si="60"/>
        <v>431.09059625163269</v>
      </c>
      <c r="P63" s="456">
        <f t="shared" si="60"/>
        <v>423.18726865368615</v>
      </c>
      <c r="Q63" s="456">
        <f t="shared" si="60"/>
        <v>402.02790522100179</v>
      </c>
      <c r="R63" s="456">
        <f t="shared" si="60"/>
        <v>344.96587996382732</v>
      </c>
      <c r="S63" s="456">
        <f t="shared" si="60"/>
        <v>362.83018446195405</v>
      </c>
      <c r="T63" s="456">
        <f t="shared" si="60"/>
        <v>333.56968571502227</v>
      </c>
      <c r="U63" s="456">
        <f t="shared" si="60"/>
        <v>327.45424147691358</v>
      </c>
      <c r="V63" s="456">
        <f t="shared" si="60"/>
        <v>301.04664135780763</v>
      </c>
      <c r="W63" s="456">
        <f t="shared" si="60"/>
        <v>295.52745293291451</v>
      </c>
      <c r="X63" s="456">
        <f t="shared" si="60"/>
        <v>280.75108028626869</v>
      </c>
      <c r="Y63" s="456">
        <f t="shared" si="60"/>
        <v>258.10986413415031</v>
      </c>
      <c r="Z63" s="456">
        <f t="shared" si="60"/>
        <v>253.37784995835747</v>
      </c>
      <c r="AA63" s="456">
        <f t="shared" si="60"/>
        <v>232.94415238107064</v>
      </c>
      <c r="AB63" s="456">
        <f t="shared" si="60"/>
        <v>228.67350958741764</v>
      </c>
      <c r="AC63" s="456">
        <f t="shared" si="60"/>
        <v>217.23983410804672</v>
      </c>
      <c r="AD63" s="456">
        <f t="shared" si="60"/>
        <v>186.40579313787234</v>
      </c>
      <c r="AE63" s="456">
        <f t="shared" si="60"/>
        <v>196.05895028251214</v>
      </c>
      <c r="AF63" s="456">
        <f t="shared" si="60"/>
        <v>180.24774461456761</v>
      </c>
      <c r="AG63" s="456">
        <f t="shared" si="60"/>
        <v>176.9432026299672</v>
      </c>
      <c r="AH63" s="456">
        <f t="shared" si="60"/>
        <v>162.67358951464726</v>
      </c>
      <c r="AI63" s="456">
        <f t="shared" si="60"/>
        <v>159.69124037354538</v>
      </c>
      <c r="AJ63" s="456">
        <f t="shared" si="60"/>
        <v>151.7066783548681</v>
      </c>
      <c r="AK63" s="456">
        <f t="shared" si="60"/>
        <v>139.47226881012065</v>
      </c>
      <c r="AL63" s="456">
        <f t="shared" si="60"/>
        <v>136.91527721526847</v>
      </c>
      <c r="AM63" s="456">
        <f t="shared" si="60"/>
        <v>125.87372260113392</v>
      </c>
      <c r="AN63" s="456">
        <f t="shared" si="60"/>
        <v>123.56603768677978</v>
      </c>
      <c r="AO63" s="456">
        <f t="shared" si="60"/>
        <v>0</v>
      </c>
      <c r="AP63" s="456">
        <f t="shared" si="60"/>
        <v>0</v>
      </c>
      <c r="AQ63" s="456">
        <f t="shared" si="60"/>
        <v>0</v>
      </c>
      <c r="AR63" s="456">
        <f t="shared" si="60"/>
        <v>0</v>
      </c>
      <c r="AS63" s="456">
        <f t="shared" si="60"/>
        <v>0</v>
      </c>
      <c r="AT63" s="456">
        <f t="shared" si="60"/>
        <v>0</v>
      </c>
      <c r="AU63" s="456">
        <f t="shared" si="60"/>
        <v>0</v>
      </c>
      <c r="AV63" s="456">
        <f t="shared" si="60"/>
        <v>0</v>
      </c>
      <c r="AW63" s="456">
        <f t="shared" si="60"/>
        <v>0</v>
      </c>
      <c r="AX63" s="456">
        <f t="shared" si="60"/>
        <v>0</v>
      </c>
      <c r="AY63" s="456">
        <f t="shared" si="60"/>
        <v>0</v>
      </c>
      <c r="AZ63" s="456">
        <f t="shared" si="60"/>
        <v>0</v>
      </c>
      <c r="BA63" s="456">
        <f t="shared" si="60"/>
        <v>0</v>
      </c>
      <c r="BB63" s="456">
        <f t="shared" si="60"/>
        <v>0</v>
      </c>
      <c r="BC63" s="456">
        <f t="shared" si="60"/>
        <v>0</v>
      </c>
      <c r="BD63" s="456">
        <f t="shared" si="60"/>
        <v>0</v>
      </c>
      <c r="BE63" s="456">
        <f t="shared" si="60"/>
        <v>0</v>
      </c>
      <c r="BF63" s="456">
        <f t="shared" si="60"/>
        <v>0</v>
      </c>
      <c r="BG63" s="456">
        <f t="shared" si="60"/>
        <v>0</v>
      </c>
      <c r="BH63" s="456">
        <f t="shared" si="60"/>
        <v>0</v>
      </c>
      <c r="BI63" s="456">
        <f t="shared" si="60"/>
        <v>0</v>
      </c>
      <c r="BJ63" s="456">
        <f t="shared" si="60"/>
        <v>0</v>
      </c>
      <c r="BK63" s="456">
        <f t="shared" si="60"/>
        <v>0</v>
      </c>
      <c r="BL63" s="456">
        <f t="shared" si="60"/>
        <v>0</v>
      </c>
      <c r="BM63" s="456">
        <f t="shared" si="60"/>
        <v>0</v>
      </c>
      <c r="BN63" s="456">
        <f t="shared" si="60"/>
        <v>0</v>
      </c>
      <c r="BO63" s="456">
        <f t="shared" si="60"/>
        <v>0</v>
      </c>
      <c r="BP63" s="456">
        <f t="shared" si="60"/>
        <v>0</v>
      </c>
      <c r="BQ63" s="456">
        <f t="shared" ref="BQ63:EB63" si="61">BQ52*BQ62</f>
        <v>0</v>
      </c>
      <c r="BR63" s="456">
        <f t="shared" si="61"/>
        <v>0</v>
      </c>
      <c r="BS63" s="456">
        <f t="shared" si="61"/>
        <v>0</v>
      </c>
      <c r="BT63" s="456">
        <f t="shared" si="61"/>
        <v>0</v>
      </c>
      <c r="BU63" s="456">
        <f t="shared" si="61"/>
        <v>0</v>
      </c>
      <c r="BV63" s="456">
        <f t="shared" si="61"/>
        <v>0</v>
      </c>
      <c r="BW63" s="456">
        <f t="shared" si="61"/>
        <v>0</v>
      </c>
      <c r="BX63" s="456">
        <f t="shared" si="61"/>
        <v>0</v>
      </c>
      <c r="BY63" s="456">
        <f t="shared" si="61"/>
        <v>0</v>
      </c>
      <c r="BZ63" s="456">
        <f t="shared" si="61"/>
        <v>0</v>
      </c>
      <c r="CA63" s="456">
        <f t="shared" si="61"/>
        <v>0</v>
      </c>
      <c r="CB63" s="456">
        <f t="shared" si="61"/>
        <v>0</v>
      </c>
      <c r="CC63" s="456">
        <f t="shared" si="61"/>
        <v>0</v>
      </c>
      <c r="CD63" s="456">
        <f t="shared" si="61"/>
        <v>0</v>
      </c>
      <c r="CE63" s="456">
        <f t="shared" si="61"/>
        <v>0</v>
      </c>
      <c r="CF63" s="456">
        <f t="shared" si="61"/>
        <v>0</v>
      </c>
      <c r="CG63" s="456">
        <f t="shared" si="61"/>
        <v>0</v>
      </c>
      <c r="CH63" s="456">
        <f t="shared" si="61"/>
        <v>0</v>
      </c>
      <c r="CI63" s="456">
        <f t="shared" si="61"/>
        <v>0</v>
      </c>
      <c r="CJ63" s="456">
        <f t="shared" si="61"/>
        <v>0</v>
      </c>
      <c r="CK63" s="456">
        <f t="shared" si="61"/>
        <v>0</v>
      </c>
      <c r="CL63" s="456">
        <f t="shared" si="61"/>
        <v>0</v>
      </c>
      <c r="CM63" s="456">
        <f t="shared" si="61"/>
        <v>0</v>
      </c>
      <c r="CN63" s="456">
        <f t="shared" si="61"/>
        <v>0</v>
      </c>
      <c r="CO63" s="456">
        <f t="shared" si="61"/>
        <v>0</v>
      </c>
      <c r="CP63" s="456">
        <f t="shared" si="61"/>
        <v>0</v>
      </c>
      <c r="CQ63" s="456">
        <f t="shared" si="61"/>
        <v>0</v>
      </c>
      <c r="CR63" s="456">
        <f t="shared" si="61"/>
        <v>0</v>
      </c>
      <c r="CS63" s="456">
        <f t="shared" si="61"/>
        <v>0</v>
      </c>
      <c r="CT63" s="456">
        <f t="shared" si="61"/>
        <v>0</v>
      </c>
      <c r="CU63" s="456">
        <f t="shared" si="61"/>
        <v>0</v>
      </c>
      <c r="CV63" s="456">
        <f t="shared" si="61"/>
        <v>0</v>
      </c>
      <c r="CW63" s="456">
        <f t="shared" si="61"/>
        <v>0</v>
      </c>
      <c r="CX63" s="456">
        <f t="shared" si="61"/>
        <v>0</v>
      </c>
      <c r="CY63" s="456">
        <f t="shared" si="61"/>
        <v>0</v>
      </c>
      <c r="CZ63" s="456">
        <f t="shared" si="61"/>
        <v>0</v>
      </c>
      <c r="DA63" s="456">
        <f t="shared" si="61"/>
        <v>0</v>
      </c>
      <c r="DB63" s="456">
        <f t="shared" si="61"/>
        <v>0</v>
      </c>
      <c r="DC63" s="456">
        <f t="shared" si="61"/>
        <v>0</v>
      </c>
      <c r="DD63" s="456">
        <f t="shared" si="61"/>
        <v>0</v>
      </c>
      <c r="DE63" s="456">
        <f t="shared" si="61"/>
        <v>0</v>
      </c>
      <c r="DF63" s="456">
        <f t="shared" si="61"/>
        <v>0</v>
      </c>
      <c r="DG63" s="456">
        <f t="shared" si="61"/>
        <v>0</v>
      </c>
      <c r="DH63" s="456">
        <f t="shared" si="61"/>
        <v>0</v>
      </c>
      <c r="DI63" s="456">
        <f t="shared" si="61"/>
        <v>0</v>
      </c>
      <c r="DJ63" s="456">
        <f t="shared" si="61"/>
        <v>0</v>
      </c>
      <c r="DK63" s="456">
        <f t="shared" si="61"/>
        <v>0</v>
      </c>
      <c r="DL63" s="456">
        <f t="shared" si="61"/>
        <v>0</v>
      </c>
      <c r="DM63" s="456">
        <f t="shared" si="61"/>
        <v>0</v>
      </c>
      <c r="DN63" s="456">
        <f t="shared" si="61"/>
        <v>0</v>
      </c>
      <c r="DO63" s="456">
        <f t="shared" si="61"/>
        <v>0</v>
      </c>
      <c r="DP63" s="456">
        <f t="shared" si="61"/>
        <v>0</v>
      </c>
      <c r="DQ63" s="456">
        <f t="shared" si="61"/>
        <v>0</v>
      </c>
      <c r="DR63" s="456">
        <f t="shared" si="61"/>
        <v>0</v>
      </c>
      <c r="DS63" s="456">
        <f t="shared" si="61"/>
        <v>0</v>
      </c>
      <c r="DT63" s="456">
        <f t="shared" si="61"/>
        <v>0</v>
      </c>
      <c r="DU63" s="456">
        <f t="shared" si="61"/>
        <v>0</v>
      </c>
      <c r="DV63" s="456">
        <f t="shared" si="61"/>
        <v>0</v>
      </c>
      <c r="DW63" s="456">
        <f t="shared" si="61"/>
        <v>0</v>
      </c>
      <c r="DX63" s="456">
        <f t="shared" si="61"/>
        <v>0</v>
      </c>
      <c r="DY63" s="456">
        <f t="shared" si="61"/>
        <v>0</v>
      </c>
      <c r="DZ63" s="456">
        <f t="shared" si="61"/>
        <v>0</v>
      </c>
      <c r="EA63" s="456">
        <f t="shared" si="61"/>
        <v>0</v>
      </c>
      <c r="EB63" s="456">
        <f t="shared" si="61"/>
        <v>0</v>
      </c>
      <c r="EC63" s="456">
        <f t="shared" ref="EC63:GN63" si="62">EC52*EC62</f>
        <v>0</v>
      </c>
      <c r="ED63" s="456">
        <f t="shared" si="62"/>
        <v>0</v>
      </c>
      <c r="EE63" s="456">
        <f t="shared" si="62"/>
        <v>0</v>
      </c>
      <c r="EF63" s="456">
        <f t="shared" si="62"/>
        <v>0</v>
      </c>
      <c r="EG63" s="456">
        <f t="shared" si="62"/>
        <v>0</v>
      </c>
      <c r="EH63" s="456">
        <f t="shared" si="62"/>
        <v>0</v>
      </c>
      <c r="EI63" s="456">
        <f t="shared" si="62"/>
        <v>0</v>
      </c>
      <c r="EJ63" s="456">
        <f t="shared" si="62"/>
        <v>0</v>
      </c>
      <c r="EK63" s="456">
        <f t="shared" si="62"/>
        <v>0</v>
      </c>
      <c r="EL63" s="456">
        <f t="shared" si="62"/>
        <v>0</v>
      </c>
      <c r="EM63" s="456">
        <f t="shared" si="62"/>
        <v>0</v>
      </c>
      <c r="EN63" s="456">
        <f t="shared" si="62"/>
        <v>0</v>
      </c>
      <c r="EO63" s="456">
        <f t="shared" si="62"/>
        <v>0</v>
      </c>
      <c r="EP63" s="456">
        <f t="shared" si="62"/>
        <v>0</v>
      </c>
      <c r="EQ63" s="456">
        <f t="shared" si="62"/>
        <v>0</v>
      </c>
      <c r="ER63" s="456">
        <f t="shared" si="62"/>
        <v>0</v>
      </c>
      <c r="ES63" s="456">
        <f t="shared" si="62"/>
        <v>0</v>
      </c>
      <c r="ET63" s="456">
        <f t="shared" si="62"/>
        <v>0</v>
      </c>
      <c r="EU63" s="456">
        <f t="shared" si="62"/>
        <v>0</v>
      </c>
      <c r="EV63" s="456">
        <f t="shared" si="62"/>
        <v>0</v>
      </c>
      <c r="EW63" s="456">
        <f t="shared" si="62"/>
        <v>0</v>
      </c>
      <c r="EX63" s="456">
        <f t="shared" si="62"/>
        <v>0</v>
      </c>
      <c r="EY63" s="456">
        <f t="shared" si="62"/>
        <v>0</v>
      </c>
      <c r="EZ63" s="456">
        <f t="shared" si="62"/>
        <v>0</v>
      </c>
      <c r="FA63" s="456">
        <f t="shared" si="62"/>
        <v>0</v>
      </c>
      <c r="FB63" s="456">
        <f t="shared" si="62"/>
        <v>0</v>
      </c>
      <c r="FC63" s="456">
        <f t="shared" si="62"/>
        <v>0</v>
      </c>
      <c r="FD63" s="456">
        <f t="shared" si="62"/>
        <v>0</v>
      </c>
      <c r="FE63" s="456">
        <f t="shared" si="62"/>
        <v>0</v>
      </c>
      <c r="FF63" s="456">
        <f t="shared" si="62"/>
        <v>0</v>
      </c>
      <c r="FG63" s="456">
        <f t="shared" si="62"/>
        <v>0</v>
      </c>
      <c r="FH63" s="456">
        <f t="shared" si="62"/>
        <v>0</v>
      </c>
      <c r="FI63" s="456">
        <f t="shared" si="62"/>
        <v>0</v>
      </c>
      <c r="FJ63" s="456">
        <f t="shared" si="62"/>
        <v>0</v>
      </c>
      <c r="FK63" s="456">
        <f t="shared" si="62"/>
        <v>0</v>
      </c>
      <c r="FL63" s="456">
        <f t="shared" si="62"/>
        <v>0</v>
      </c>
      <c r="FM63" s="456">
        <f t="shared" si="62"/>
        <v>0</v>
      </c>
      <c r="FN63" s="456">
        <f t="shared" si="62"/>
        <v>0</v>
      </c>
      <c r="FO63" s="456">
        <f t="shared" si="62"/>
        <v>0</v>
      </c>
      <c r="FP63" s="456">
        <f t="shared" si="62"/>
        <v>0</v>
      </c>
      <c r="FQ63" s="456">
        <f t="shared" si="62"/>
        <v>0</v>
      </c>
      <c r="FR63" s="456">
        <f t="shared" si="62"/>
        <v>0</v>
      </c>
      <c r="FS63" s="456">
        <f t="shared" si="62"/>
        <v>0</v>
      </c>
      <c r="FT63" s="456">
        <f t="shared" si="62"/>
        <v>0</v>
      </c>
      <c r="FU63" s="456">
        <f t="shared" si="62"/>
        <v>0</v>
      </c>
      <c r="FV63" s="456">
        <f t="shared" si="62"/>
        <v>0</v>
      </c>
      <c r="FW63" s="456">
        <f t="shared" si="62"/>
        <v>0</v>
      </c>
      <c r="FX63" s="456">
        <f t="shared" si="62"/>
        <v>0</v>
      </c>
      <c r="FY63" s="456">
        <f t="shared" si="62"/>
        <v>0</v>
      </c>
      <c r="FZ63" s="456">
        <f t="shared" si="62"/>
        <v>0</v>
      </c>
      <c r="GA63" s="456">
        <f t="shared" si="62"/>
        <v>0</v>
      </c>
      <c r="GB63" s="456">
        <f t="shared" si="62"/>
        <v>0</v>
      </c>
      <c r="GC63" s="456">
        <f t="shared" si="62"/>
        <v>0</v>
      </c>
      <c r="GD63" s="456">
        <f t="shared" si="62"/>
        <v>0</v>
      </c>
      <c r="GE63" s="456">
        <f t="shared" si="62"/>
        <v>0</v>
      </c>
      <c r="GF63" s="456">
        <f t="shared" si="62"/>
        <v>0</v>
      </c>
      <c r="GG63" s="456">
        <f t="shared" si="62"/>
        <v>0</v>
      </c>
      <c r="GH63" s="456">
        <f t="shared" si="62"/>
        <v>0</v>
      </c>
      <c r="GI63" s="456">
        <f t="shared" si="62"/>
        <v>0</v>
      </c>
      <c r="GJ63" s="456">
        <f t="shared" si="62"/>
        <v>0</v>
      </c>
      <c r="GK63" s="456">
        <f t="shared" si="62"/>
        <v>0</v>
      </c>
      <c r="GL63" s="456">
        <f t="shared" si="62"/>
        <v>0</v>
      </c>
      <c r="GM63" s="456">
        <f t="shared" si="62"/>
        <v>0</v>
      </c>
      <c r="GN63" s="456">
        <f t="shared" si="62"/>
        <v>0</v>
      </c>
      <c r="GO63" s="456">
        <f t="shared" ref="GO63:IV63" si="63">GO52*GO62</f>
        <v>0</v>
      </c>
      <c r="GP63" s="456">
        <f t="shared" si="63"/>
        <v>0</v>
      </c>
      <c r="GQ63" s="456">
        <f t="shared" si="63"/>
        <v>0</v>
      </c>
      <c r="GR63" s="456">
        <f t="shared" si="63"/>
        <v>0</v>
      </c>
      <c r="GS63" s="456">
        <f t="shared" si="63"/>
        <v>0</v>
      </c>
      <c r="GT63" s="456">
        <f t="shared" si="63"/>
        <v>0</v>
      </c>
      <c r="GU63" s="456">
        <f t="shared" si="63"/>
        <v>0</v>
      </c>
      <c r="GV63" s="456">
        <f t="shared" si="63"/>
        <v>0</v>
      </c>
      <c r="GW63" s="456">
        <f t="shared" si="63"/>
        <v>0</v>
      </c>
      <c r="GX63" s="456">
        <f t="shared" si="63"/>
        <v>0</v>
      </c>
      <c r="GY63" s="456">
        <f t="shared" si="63"/>
        <v>0</v>
      </c>
      <c r="GZ63" s="456">
        <f t="shared" si="63"/>
        <v>0</v>
      </c>
      <c r="HA63" s="456">
        <f t="shared" si="63"/>
        <v>0</v>
      </c>
      <c r="HB63" s="456">
        <f t="shared" si="63"/>
        <v>0</v>
      </c>
      <c r="HC63" s="456">
        <f t="shared" si="63"/>
        <v>0</v>
      </c>
      <c r="HD63" s="456">
        <f t="shared" si="63"/>
        <v>0</v>
      </c>
      <c r="HE63" s="456">
        <f t="shared" si="63"/>
        <v>0</v>
      </c>
      <c r="HF63" s="456">
        <f t="shared" si="63"/>
        <v>0</v>
      </c>
      <c r="HG63" s="456">
        <f t="shared" si="63"/>
        <v>0</v>
      </c>
      <c r="HH63" s="456">
        <f t="shared" si="63"/>
        <v>0</v>
      </c>
      <c r="HI63" s="456">
        <f t="shared" si="63"/>
        <v>0</v>
      </c>
      <c r="HJ63" s="456">
        <f t="shared" si="63"/>
        <v>0</v>
      </c>
      <c r="HK63" s="456">
        <f t="shared" si="63"/>
        <v>0</v>
      </c>
      <c r="HL63" s="456">
        <f t="shared" si="63"/>
        <v>0</v>
      </c>
      <c r="HM63" s="456">
        <f t="shared" si="63"/>
        <v>0</v>
      </c>
      <c r="HN63" s="456">
        <f t="shared" si="63"/>
        <v>0</v>
      </c>
      <c r="HO63" s="456">
        <f t="shared" si="63"/>
        <v>0</v>
      </c>
      <c r="HP63" s="456">
        <f t="shared" si="63"/>
        <v>0</v>
      </c>
      <c r="HQ63" s="456">
        <f t="shared" si="63"/>
        <v>0</v>
      </c>
      <c r="HR63" s="456">
        <f t="shared" si="63"/>
        <v>0</v>
      </c>
      <c r="HS63" s="456">
        <f t="shared" si="63"/>
        <v>0</v>
      </c>
      <c r="HT63" s="456">
        <f t="shared" si="63"/>
        <v>0</v>
      </c>
      <c r="HU63" s="456">
        <f t="shared" si="63"/>
        <v>0</v>
      </c>
      <c r="HV63" s="456">
        <f t="shared" si="63"/>
        <v>0</v>
      </c>
      <c r="HW63" s="456">
        <f t="shared" si="63"/>
        <v>0</v>
      </c>
      <c r="HX63" s="456">
        <f t="shared" si="63"/>
        <v>0</v>
      </c>
      <c r="HY63" s="456">
        <f t="shared" si="63"/>
        <v>0</v>
      </c>
      <c r="HZ63" s="456">
        <f t="shared" si="63"/>
        <v>0</v>
      </c>
      <c r="IA63" s="456">
        <f t="shared" si="63"/>
        <v>0</v>
      </c>
      <c r="IB63" s="456">
        <f t="shared" si="63"/>
        <v>0</v>
      </c>
      <c r="IC63" s="456">
        <f t="shared" si="63"/>
        <v>0</v>
      </c>
      <c r="ID63" s="456">
        <f t="shared" si="63"/>
        <v>0</v>
      </c>
      <c r="IE63" s="456">
        <f t="shared" si="63"/>
        <v>0</v>
      </c>
      <c r="IF63" s="456">
        <f t="shared" si="63"/>
        <v>0</v>
      </c>
      <c r="IG63" s="456">
        <f t="shared" si="63"/>
        <v>0</v>
      </c>
      <c r="IH63" s="456">
        <f t="shared" si="63"/>
        <v>0</v>
      </c>
      <c r="II63" s="456">
        <f t="shared" si="63"/>
        <v>0</v>
      </c>
      <c r="IJ63" s="456">
        <f t="shared" si="63"/>
        <v>0</v>
      </c>
      <c r="IK63" s="456">
        <f t="shared" si="63"/>
        <v>0</v>
      </c>
      <c r="IL63" s="456">
        <f t="shared" si="63"/>
        <v>0</v>
      </c>
      <c r="IM63" s="456">
        <f t="shared" si="63"/>
        <v>0</v>
      </c>
      <c r="IN63" s="456">
        <f t="shared" si="63"/>
        <v>0</v>
      </c>
      <c r="IO63" s="456">
        <f t="shared" si="63"/>
        <v>0</v>
      </c>
      <c r="IP63" s="456">
        <f t="shared" si="63"/>
        <v>0</v>
      </c>
      <c r="IQ63" s="456">
        <f t="shared" si="63"/>
        <v>0</v>
      </c>
      <c r="IR63" s="456">
        <f t="shared" si="63"/>
        <v>0</v>
      </c>
      <c r="IS63" s="456">
        <f t="shared" si="63"/>
        <v>0</v>
      </c>
      <c r="IT63" s="456">
        <f t="shared" si="63"/>
        <v>0</v>
      </c>
      <c r="IU63" s="456">
        <f t="shared" si="63"/>
        <v>0</v>
      </c>
      <c r="IV63" s="456">
        <f t="shared" si="63"/>
        <v>0</v>
      </c>
      <c r="IX63" s="323">
        <f>SUM(E63:IK63)</f>
        <v>11535.675162993339</v>
      </c>
    </row>
    <row r="64" spans="1:258">
      <c r="A64" s="319">
        <v>4</v>
      </c>
      <c r="B64" s="575" t="s">
        <v>458</v>
      </c>
      <c r="C64" s="575"/>
      <c r="D64" s="326" t="s">
        <v>455</v>
      </c>
      <c r="E64" s="325"/>
      <c r="F64" s="325"/>
      <c r="G64" s="325"/>
      <c r="H64" s="325"/>
      <c r="I64" s="325"/>
      <c r="J64" s="325"/>
      <c r="K64" s="325"/>
      <c r="L64" s="325"/>
      <c r="M64" s="325"/>
      <c r="N64" s="325"/>
      <c r="O64" s="325"/>
      <c r="P64" s="325"/>
      <c r="Q64" s="325"/>
      <c r="R64" s="325"/>
      <c r="S64" s="325"/>
      <c r="T64" s="325"/>
      <c r="U64" s="325"/>
      <c r="V64" s="325"/>
      <c r="W64" s="325"/>
      <c r="X64" s="325"/>
      <c r="Y64" s="325"/>
      <c r="Z64" s="325"/>
      <c r="AA64" s="325"/>
      <c r="AB64" s="325"/>
      <c r="AC64" s="325"/>
      <c r="AD64" s="325"/>
      <c r="AE64" s="325"/>
      <c r="AF64" s="325"/>
      <c r="AG64" s="325"/>
      <c r="AH64" s="325"/>
      <c r="AI64" s="325"/>
      <c r="AJ64" s="325"/>
      <c r="AK64" s="325"/>
      <c r="AL64" s="325"/>
      <c r="AM64" s="325"/>
      <c r="AN64" s="325"/>
      <c r="AO64" s="325"/>
      <c r="AP64" s="325"/>
      <c r="AQ64" s="325"/>
      <c r="AR64" s="325"/>
      <c r="AS64" s="325"/>
      <c r="AT64" s="325"/>
      <c r="AU64" s="325"/>
      <c r="AV64" s="325"/>
      <c r="AW64" s="325"/>
      <c r="AX64" s="325"/>
      <c r="AY64" s="325"/>
      <c r="AZ64" s="325"/>
      <c r="BA64" s="325"/>
      <c r="BB64" s="325"/>
      <c r="BC64" s="325"/>
      <c r="BD64" s="325"/>
      <c r="BE64" s="325"/>
      <c r="BF64" s="325"/>
      <c r="BG64" s="325"/>
      <c r="BH64" s="325"/>
      <c r="BI64" s="325"/>
      <c r="BJ64" s="325"/>
      <c r="BK64" s="325"/>
      <c r="BL64" s="325"/>
      <c r="BM64" s="325"/>
      <c r="BN64" s="325"/>
      <c r="BO64" s="325"/>
      <c r="BP64" s="325"/>
      <c r="BQ64" s="325"/>
      <c r="BR64" s="325"/>
      <c r="BS64" s="325"/>
      <c r="BT64" s="325"/>
      <c r="BU64" s="325"/>
      <c r="BV64" s="325"/>
      <c r="BW64" s="325"/>
      <c r="BX64" s="325"/>
      <c r="BY64" s="325"/>
      <c r="BZ64" s="325"/>
      <c r="CA64" s="325"/>
      <c r="CB64" s="325"/>
      <c r="CC64" s="325"/>
      <c r="CD64" s="325"/>
      <c r="CE64" s="325"/>
      <c r="CF64" s="325"/>
      <c r="CG64" s="325"/>
      <c r="CH64" s="325"/>
      <c r="CI64" s="325"/>
      <c r="CJ64" s="325"/>
      <c r="CK64" s="325"/>
      <c r="CL64" s="325"/>
      <c r="CM64" s="325"/>
      <c r="CN64" s="325"/>
      <c r="CO64" s="325"/>
      <c r="CP64" s="325"/>
      <c r="CQ64" s="325"/>
      <c r="CR64" s="325"/>
      <c r="CS64" s="325"/>
      <c r="CT64" s="325"/>
      <c r="CU64" s="325"/>
      <c r="CV64" s="325"/>
      <c r="CW64" s="325"/>
      <c r="CX64" s="325"/>
      <c r="CY64" s="325"/>
      <c r="CZ64" s="325"/>
      <c r="DA64" s="325"/>
      <c r="DB64" s="325"/>
      <c r="DC64" s="325"/>
      <c r="DD64" s="325"/>
      <c r="DE64" s="325"/>
      <c r="DF64" s="325"/>
      <c r="DG64" s="325"/>
      <c r="DH64" s="325"/>
      <c r="DI64" s="325"/>
      <c r="DJ64" s="325"/>
      <c r="DK64" s="325"/>
      <c r="DL64" s="325"/>
      <c r="DM64" s="325"/>
      <c r="DN64" s="325"/>
      <c r="DO64" s="325"/>
      <c r="DP64" s="325"/>
      <c r="DQ64" s="325"/>
      <c r="DR64" s="325"/>
      <c r="DS64" s="325"/>
      <c r="DT64" s="325"/>
      <c r="DU64" s="325"/>
      <c r="DV64" s="325"/>
      <c r="DW64" s="325"/>
      <c r="DX64" s="325"/>
      <c r="DY64" s="325"/>
      <c r="DZ64" s="325"/>
      <c r="EA64" s="325"/>
      <c r="EB64" s="325"/>
      <c r="EC64" s="325"/>
      <c r="ED64" s="325"/>
      <c r="EE64" s="325"/>
      <c r="EF64" s="325"/>
      <c r="EG64" s="325"/>
      <c r="EH64" s="325"/>
      <c r="EI64" s="325"/>
      <c r="EJ64" s="325"/>
      <c r="EK64" s="325"/>
      <c r="EL64" s="325"/>
      <c r="EM64" s="325"/>
      <c r="EN64" s="325"/>
      <c r="EO64" s="325"/>
      <c r="EP64" s="325"/>
      <c r="EQ64" s="325"/>
      <c r="ER64" s="325"/>
      <c r="ES64" s="325"/>
      <c r="ET64" s="325"/>
      <c r="EU64" s="325"/>
      <c r="EV64" s="325"/>
      <c r="EW64" s="325"/>
      <c r="EX64" s="325"/>
      <c r="EY64" s="325"/>
      <c r="EZ64" s="325"/>
      <c r="FA64" s="325"/>
      <c r="FB64" s="325"/>
      <c r="FC64" s="325"/>
      <c r="FD64" s="325"/>
      <c r="FE64" s="325"/>
      <c r="FF64" s="325"/>
      <c r="FG64" s="325"/>
      <c r="FH64" s="325"/>
      <c r="FI64" s="325"/>
      <c r="FJ64" s="325"/>
      <c r="FK64" s="325"/>
      <c r="FL64" s="325"/>
      <c r="FM64" s="325"/>
      <c r="FN64" s="325"/>
      <c r="FO64" s="325"/>
      <c r="FP64" s="325"/>
      <c r="FQ64" s="325"/>
      <c r="FR64" s="325"/>
      <c r="FS64" s="325"/>
      <c r="FT64" s="325"/>
      <c r="FU64" s="325"/>
      <c r="FV64" s="325"/>
      <c r="FW64" s="325"/>
      <c r="FX64" s="325"/>
      <c r="FY64" s="325"/>
      <c r="FZ64" s="325"/>
      <c r="GA64" s="325"/>
      <c r="GB64" s="325"/>
      <c r="GC64" s="325"/>
      <c r="GD64" s="325"/>
      <c r="GE64" s="325"/>
      <c r="GF64" s="325"/>
      <c r="GG64" s="325"/>
      <c r="GH64" s="325"/>
      <c r="GI64" s="325"/>
      <c r="GJ64" s="325"/>
      <c r="GK64" s="325"/>
      <c r="GL64" s="325"/>
      <c r="GM64" s="325"/>
      <c r="GN64" s="325"/>
      <c r="GO64" s="325"/>
      <c r="GP64" s="325"/>
      <c r="GQ64" s="325"/>
      <c r="GR64" s="325"/>
      <c r="GS64" s="325"/>
      <c r="GT64" s="325"/>
      <c r="GU64" s="325"/>
      <c r="GV64" s="325"/>
      <c r="GW64" s="325"/>
      <c r="GX64" s="325"/>
      <c r="GY64" s="325"/>
      <c r="GZ64" s="325"/>
      <c r="HA64" s="325"/>
      <c r="HB64" s="325"/>
      <c r="HC64" s="325"/>
      <c r="HD64" s="325"/>
      <c r="HE64" s="325"/>
      <c r="HF64" s="325"/>
      <c r="HG64" s="325"/>
      <c r="HH64" s="325"/>
      <c r="HI64" s="325"/>
      <c r="HJ64" s="325"/>
      <c r="HK64" s="325"/>
      <c r="HL64" s="325"/>
      <c r="HM64" s="325"/>
      <c r="HN64" s="325"/>
      <c r="HO64" s="325"/>
      <c r="HP64" s="325"/>
      <c r="HQ64" s="325"/>
      <c r="HR64" s="325"/>
      <c r="HS64" s="325"/>
      <c r="HT64" s="325"/>
      <c r="HU64" s="325"/>
      <c r="HV64" s="325"/>
      <c r="HW64" s="325"/>
      <c r="HX64" s="325"/>
      <c r="HY64" s="325"/>
      <c r="HZ64" s="325"/>
      <c r="IA64" s="325"/>
      <c r="IB64" s="325"/>
      <c r="IC64" s="325"/>
      <c r="ID64" s="325"/>
      <c r="IE64" s="325"/>
      <c r="IF64" s="325"/>
      <c r="IG64" s="325"/>
      <c r="IH64" s="325"/>
      <c r="II64" s="325"/>
      <c r="IJ64" s="325"/>
      <c r="IK64" s="325"/>
      <c r="IL64" s="325"/>
      <c r="IM64" s="325"/>
      <c r="IN64" s="325"/>
      <c r="IO64" s="325"/>
      <c r="IP64" s="325"/>
      <c r="IQ64" s="325"/>
      <c r="IR64" s="325"/>
      <c r="IS64" s="325"/>
      <c r="IT64" s="325"/>
      <c r="IU64" s="325"/>
      <c r="IV64" s="325"/>
      <c r="IX64" s="325">
        <f>SUM(E64:IK64)</f>
        <v>0</v>
      </c>
    </row>
    <row r="65" spans="1:1">
      <c r="A65" s="264" t="s">
        <v>464</v>
      </c>
    </row>
  </sheetData>
  <mergeCells count="25">
    <mergeCell ref="B64:C64"/>
    <mergeCell ref="B59:C59"/>
    <mergeCell ref="B60:C60"/>
    <mergeCell ref="B46:C46"/>
    <mergeCell ref="B56:C56"/>
    <mergeCell ref="B57:C57"/>
    <mergeCell ref="B62:C62"/>
    <mergeCell ref="B63:C63"/>
    <mergeCell ref="B52:C52"/>
    <mergeCell ref="B53:C53"/>
    <mergeCell ref="B54:C54"/>
    <mergeCell ref="B55:C55"/>
    <mergeCell ref="B47:C47"/>
    <mergeCell ref="B48:C48"/>
    <mergeCell ref="B49:C49"/>
    <mergeCell ref="B50:C50"/>
    <mergeCell ref="B58:C58"/>
    <mergeCell ref="B51:C51"/>
    <mergeCell ref="N18:Y18"/>
    <mergeCell ref="B18:M18"/>
    <mergeCell ref="B28:B30"/>
    <mergeCell ref="C28:C29"/>
    <mergeCell ref="B45:C45"/>
    <mergeCell ref="D23:E23"/>
    <mergeCell ref="D24:E24"/>
  </mergeCells>
  <dataValidations count="4">
    <dataValidation type="list" allowBlank="1" showInputMessage="1" showErrorMessage="1" sqref="D24:E24">
      <formula1>$AH$21:$AH$27</formula1>
    </dataValidation>
    <dataValidation type="list" allowBlank="1" showInputMessage="1" showErrorMessage="1" sqref="D23:E23">
      <formula1>$AG$21:$AG$29</formula1>
    </dataValidation>
    <dataValidation type="list" allowBlank="1" showInputMessage="1" showErrorMessage="1" sqref="D22">
      <formula1>$AF$21:$AF$35</formula1>
    </dataValidation>
    <dataValidation type="list" allowBlank="1" showInputMessage="1" showErrorMessage="1" sqref="G22">
      <formula1>$AF$21:$AF$36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0">
    <tabColor rgb="FF92D050"/>
  </sheetPr>
  <dimension ref="B2:AN27"/>
  <sheetViews>
    <sheetView topLeftCell="A15" workbookViewId="0">
      <selection activeCell="O20" sqref="O20"/>
    </sheetView>
  </sheetViews>
  <sheetFormatPr defaultRowHeight="15"/>
  <cols>
    <col min="2" max="2" width="48.85546875" bestFit="1" customWidth="1"/>
    <col min="3" max="3" width="11.7109375" bestFit="1" customWidth="1"/>
    <col min="4" max="15" width="10" bestFit="1" customWidth="1"/>
    <col min="16" max="39" width="11.42578125" bestFit="1" customWidth="1"/>
  </cols>
  <sheetData>
    <row r="2" spans="2:40">
      <c r="B2" s="308" t="s">
        <v>271</v>
      </c>
      <c r="C2" s="584" t="s">
        <v>279</v>
      </c>
      <c r="D2" s="584"/>
      <c r="E2" t="s">
        <v>436</v>
      </c>
    </row>
    <row r="4" spans="2:40" ht="18.75">
      <c r="B4" s="309"/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  <c r="Y4">
        <v>11</v>
      </c>
      <c r="Z4">
        <v>12</v>
      </c>
      <c r="AA4">
        <v>13</v>
      </c>
      <c r="AB4">
        <v>14</v>
      </c>
      <c r="AC4">
        <v>15</v>
      </c>
      <c r="AD4">
        <v>16</v>
      </c>
      <c r="AE4">
        <v>17</v>
      </c>
      <c r="AF4">
        <v>18</v>
      </c>
      <c r="AG4">
        <v>19</v>
      </c>
      <c r="AH4">
        <v>20</v>
      </c>
      <c r="AI4">
        <v>21</v>
      </c>
      <c r="AJ4">
        <v>22</v>
      </c>
      <c r="AK4">
        <v>23</v>
      </c>
      <c r="AL4">
        <v>24</v>
      </c>
      <c r="AM4">
        <v>25</v>
      </c>
    </row>
    <row r="5" spans="2:40">
      <c r="C5" s="1" t="s">
        <v>371</v>
      </c>
      <c r="D5" s="585">
        <v>2013</v>
      </c>
      <c r="E5" s="586"/>
      <c r="F5" s="586"/>
      <c r="G5" s="586"/>
      <c r="H5" s="586"/>
      <c r="I5" s="586"/>
      <c r="J5" s="586"/>
      <c r="K5" s="586"/>
      <c r="L5" s="586"/>
      <c r="M5" s="586"/>
      <c r="N5" s="586"/>
      <c r="O5" s="587"/>
      <c r="P5" s="310">
        <v>2014</v>
      </c>
      <c r="Q5" s="310">
        <v>2015</v>
      </c>
      <c r="R5" s="310">
        <v>2016</v>
      </c>
      <c r="S5" s="310">
        <v>2017</v>
      </c>
      <c r="T5" s="310">
        <v>2018</v>
      </c>
      <c r="U5" s="310">
        <v>2019</v>
      </c>
      <c r="V5" s="310">
        <v>2020</v>
      </c>
      <c r="W5" s="310">
        <v>2021</v>
      </c>
      <c r="X5" s="310">
        <v>2022</v>
      </c>
      <c r="Y5" s="310">
        <v>2023</v>
      </c>
      <c r="Z5" s="310">
        <v>2024</v>
      </c>
      <c r="AA5" s="310">
        <v>2025</v>
      </c>
      <c r="AB5" s="310">
        <v>2026</v>
      </c>
      <c r="AC5" s="310">
        <v>2027</v>
      </c>
      <c r="AD5" s="310">
        <v>2028</v>
      </c>
      <c r="AE5" s="310">
        <v>2029</v>
      </c>
      <c r="AF5" s="310">
        <v>2030</v>
      </c>
      <c r="AG5" s="310">
        <v>2031</v>
      </c>
      <c r="AH5" s="310">
        <v>2032</v>
      </c>
      <c r="AI5" s="310">
        <v>2033</v>
      </c>
      <c r="AJ5" s="310">
        <v>2034</v>
      </c>
      <c r="AK5" s="310">
        <v>2035</v>
      </c>
      <c r="AL5" s="310">
        <v>2036</v>
      </c>
      <c r="AM5" s="310">
        <v>2037</v>
      </c>
      <c r="AN5" t="s">
        <v>435</v>
      </c>
    </row>
    <row r="6" spans="2:40">
      <c r="C6" s="228"/>
      <c r="D6" s="310" t="s">
        <v>258</v>
      </c>
      <c r="E6" s="310" t="s">
        <v>259</v>
      </c>
      <c r="F6" s="310" t="s">
        <v>260</v>
      </c>
      <c r="G6" s="310" t="s">
        <v>261</v>
      </c>
      <c r="H6" s="310" t="s">
        <v>262</v>
      </c>
      <c r="I6" s="310" t="s">
        <v>263</v>
      </c>
      <c r="J6" s="310" t="s">
        <v>264</v>
      </c>
      <c r="K6" s="310" t="s">
        <v>265</v>
      </c>
      <c r="L6" s="310" t="s">
        <v>266</v>
      </c>
      <c r="M6" s="310" t="s">
        <v>267</v>
      </c>
      <c r="N6" s="310" t="s">
        <v>268</v>
      </c>
      <c r="O6" s="310" t="s">
        <v>269</v>
      </c>
      <c r="P6" s="311"/>
      <c r="Q6" s="311"/>
      <c r="R6" s="311"/>
      <c r="S6" s="311"/>
      <c r="T6" s="311"/>
      <c r="U6" s="311"/>
      <c r="V6" s="311"/>
      <c r="W6" s="311"/>
      <c r="X6" s="311"/>
      <c r="Y6" s="311"/>
      <c r="Z6" s="311"/>
      <c r="AA6" s="311"/>
      <c r="AB6" s="311"/>
      <c r="AC6" s="311"/>
      <c r="AD6" s="311"/>
      <c r="AE6" s="311"/>
      <c r="AF6" s="311"/>
      <c r="AG6" s="311"/>
      <c r="AH6" s="311"/>
      <c r="AI6" s="311"/>
      <c r="AJ6" s="311"/>
      <c r="AK6" s="311"/>
      <c r="AL6" s="311"/>
      <c r="AM6" s="311"/>
    </row>
    <row r="7" spans="2:40" ht="18.75">
      <c r="B7" s="309" t="s">
        <v>422</v>
      </c>
      <c r="C7" s="228"/>
      <c r="D7" s="311"/>
      <c r="E7" s="311"/>
      <c r="F7" s="311"/>
      <c r="G7" s="311"/>
      <c r="H7" s="311"/>
      <c r="I7" s="311"/>
      <c r="J7" s="311"/>
      <c r="K7" s="311"/>
      <c r="L7" s="311"/>
      <c r="M7" s="311"/>
      <c r="N7" s="311"/>
      <c r="O7" s="311"/>
      <c r="P7" s="311"/>
      <c r="Q7" s="311"/>
      <c r="R7" s="311"/>
      <c r="S7" s="311"/>
      <c r="T7" s="311"/>
      <c r="U7" s="311"/>
      <c r="V7" s="311"/>
      <c r="W7" s="311"/>
      <c r="X7" s="311"/>
      <c r="Y7" s="311"/>
      <c r="Z7" s="311"/>
      <c r="AA7" s="311"/>
      <c r="AB7" s="311"/>
      <c r="AC7" s="311"/>
      <c r="AD7" s="311"/>
      <c r="AE7" s="311"/>
      <c r="AF7" s="311"/>
      <c r="AG7" s="311"/>
      <c r="AH7" s="311"/>
      <c r="AI7" s="311"/>
      <c r="AJ7" s="311"/>
      <c r="AK7" s="311"/>
      <c r="AL7" s="311"/>
      <c r="AM7" s="311"/>
    </row>
    <row r="8" spans="2:40" ht="6.75" customHeight="1" thickBot="1"/>
    <row r="9" spans="2:40">
      <c r="B9" s="312" t="s">
        <v>424</v>
      </c>
      <c r="C9" s="313" t="s">
        <v>423</v>
      </c>
      <c r="D9" s="329">
        <v>119.7272130976863</v>
      </c>
      <c r="E9" s="329">
        <v>126.60867893072198</v>
      </c>
      <c r="F9" s="329">
        <v>120.05042543094315</v>
      </c>
      <c r="G9" s="329">
        <v>122.64064788821419</v>
      </c>
      <c r="H9" s="329">
        <v>120.29156820795994</v>
      </c>
      <c r="I9" s="329">
        <v>121.95126920322448</v>
      </c>
      <c r="J9" s="329">
        <v>125.29503467826162</v>
      </c>
      <c r="K9" s="329">
        <v>125.05923742653231</v>
      </c>
      <c r="L9" s="329">
        <v>127.60815596528124</v>
      </c>
      <c r="M9" s="329">
        <v>125.84304656238261</v>
      </c>
      <c r="N9" s="329">
        <v>129.25584892353379</v>
      </c>
      <c r="O9" s="329">
        <v>127.61364629050743</v>
      </c>
      <c r="P9" s="329">
        <v>124.32304905159273</v>
      </c>
      <c r="Q9" s="329">
        <f>P9</f>
        <v>124.32304905159273</v>
      </c>
      <c r="R9" s="329">
        <f t="shared" ref="R9:AM12" si="0">Q9</f>
        <v>124.32304905159273</v>
      </c>
      <c r="S9" s="329">
        <f t="shared" si="0"/>
        <v>124.32304905159273</v>
      </c>
      <c r="T9" s="329">
        <f t="shared" si="0"/>
        <v>124.32304905159273</v>
      </c>
      <c r="U9" s="329">
        <f t="shared" si="0"/>
        <v>124.32304905159273</v>
      </c>
      <c r="V9" s="329">
        <f t="shared" si="0"/>
        <v>124.32304905159273</v>
      </c>
      <c r="W9" s="329">
        <f t="shared" si="0"/>
        <v>124.32304905159273</v>
      </c>
      <c r="X9" s="329">
        <f t="shared" si="0"/>
        <v>124.32304905159273</v>
      </c>
      <c r="Y9" s="329">
        <f t="shared" si="0"/>
        <v>124.32304905159273</v>
      </c>
      <c r="Z9" s="329">
        <f t="shared" si="0"/>
        <v>124.32304905159273</v>
      </c>
      <c r="AA9" s="329">
        <f t="shared" si="0"/>
        <v>124.32304905159273</v>
      </c>
      <c r="AB9" s="329">
        <f t="shared" si="0"/>
        <v>124.32304905159273</v>
      </c>
      <c r="AC9" s="329">
        <f t="shared" si="0"/>
        <v>124.32304905159273</v>
      </c>
      <c r="AD9" s="329">
        <f t="shared" si="0"/>
        <v>124.32304905159273</v>
      </c>
      <c r="AE9" s="329">
        <f t="shared" si="0"/>
        <v>124.32304905159273</v>
      </c>
      <c r="AF9" s="329">
        <f t="shared" si="0"/>
        <v>124.32304905159273</v>
      </c>
      <c r="AG9" s="329">
        <f t="shared" si="0"/>
        <v>124.32304905159273</v>
      </c>
      <c r="AH9" s="329">
        <f t="shared" si="0"/>
        <v>124.32304905159273</v>
      </c>
      <c r="AI9" s="329">
        <f t="shared" si="0"/>
        <v>124.32304905159273</v>
      </c>
      <c r="AJ9" s="329">
        <f t="shared" si="0"/>
        <v>124.32304905159273</v>
      </c>
      <c r="AK9" s="329">
        <f t="shared" si="0"/>
        <v>124.32304905159273</v>
      </c>
      <c r="AL9" s="329">
        <f t="shared" si="0"/>
        <v>124.32304905159273</v>
      </c>
      <c r="AM9" s="329">
        <f t="shared" si="0"/>
        <v>124.32304905159273</v>
      </c>
    </row>
    <row r="10" spans="2:40">
      <c r="B10" s="314" t="s">
        <v>427</v>
      </c>
      <c r="C10" s="1" t="s">
        <v>432</v>
      </c>
      <c r="D10" s="330">
        <v>34.532784466998095</v>
      </c>
      <c r="E10" s="330">
        <v>37.511137069892023</v>
      </c>
      <c r="F10" s="330">
        <v>36.065043875298628</v>
      </c>
      <c r="G10" s="330">
        <v>39.291866186741721</v>
      </c>
      <c r="H10" s="330">
        <v>34.759484879764429</v>
      </c>
      <c r="I10" s="330">
        <v>37.826805690531771</v>
      </c>
      <c r="J10" s="330">
        <v>40.137258911514692</v>
      </c>
      <c r="K10" s="330">
        <v>43.768087493066709</v>
      </c>
      <c r="L10" s="330">
        <v>41.882622689936532</v>
      </c>
      <c r="M10" s="330">
        <v>43.778573805387012</v>
      </c>
      <c r="N10" s="330">
        <v>44.916967164637988</v>
      </c>
      <c r="O10" s="330">
        <v>45.359359338442708</v>
      </c>
      <c r="P10" s="330">
        <v>40.020787475224267</v>
      </c>
      <c r="Q10" s="330">
        <f>P10</f>
        <v>40.020787475224267</v>
      </c>
      <c r="R10" s="330">
        <f t="shared" ref="R10:AF10" si="1">Q10</f>
        <v>40.020787475224267</v>
      </c>
      <c r="S10" s="330">
        <f t="shared" si="1"/>
        <v>40.020787475224267</v>
      </c>
      <c r="T10" s="330">
        <f t="shared" si="1"/>
        <v>40.020787475224267</v>
      </c>
      <c r="U10" s="330">
        <f t="shared" si="1"/>
        <v>40.020787475224267</v>
      </c>
      <c r="V10" s="330">
        <f t="shared" si="1"/>
        <v>40.020787475224267</v>
      </c>
      <c r="W10" s="330">
        <f t="shared" si="1"/>
        <v>40.020787475224267</v>
      </c>
      <c r="X10" s="330">
        <f t="shared" si="1"/>
        <v>40.020787475224267</v>
      </c>
      <c r="Y10" s="330">
        <f t="shared" si="1"/>
        <v>40.020787475224267</v>
      </c>
      <c r="Z10" s="330">
        <f t="shared" si="1"/>
        <v>40.020787475224267</v>
      </c>
      <c r="AA10" s="330">
        <f t="shared" si="1"/>
        <v>40.020787475224267</v>
      </c>
      <c r="AB10" s="330">
        <f t="shared" si="1"/>
        <v>40.020787475224267</v>
      </c>
      <c r="AC10" s="330">
        <f t="shared" si="1"/>
        <v>40.020787475224267</v>
      </c>
      <c r="AD10" s="330">
        <f t="shared" si="1"/>
        <v>40.020787475224267</v>
      </c>
      <c r="AE10" s="330">
        <f t="shared" si="1"/>
        <v>40.020787475224267</v>
      </c>
      <c r="AF10" s="330">
        <f t="shared" si="1"/>
        <v>40.020787475224267</v>
      </c>
      <c r="AG10" s="330">
        <f t="shared" si="0"/>
        <v>40.020787475224267</v>
      </c>
      <c r="AH10" s="330">
        <f t="shared" si="0"/>
        <v>40.020787475224267</v>
      </c>
      <c r="AI10" s="330">
        <f t="shared" si="0"/>
        <v>40.020787475224267</v>
      </c>
      <c r="AJ10" s="330">
        <f t="shared" si="0"/>
        <v>40.020787475224267</v>
      </c>
      <c r="AK10" s="330">
        <f t="shared" si="0"/>
        <v>40.020787475224267</v>
      </c>
      <c r="AL10" s="330">
        <f t="shared" si="0"/>
        <v>40.020787475224267</v>
      </c>
      <c r="AM10" s="330">
        <f t="shared" si="0"/>
        <v>40.020787475224267</v>
      </c>
    </row>
    <row r="11" spans="2:40">
      <c r="B11" s="314" t="s">
        <v>426</v>
      </c>
      <c r="C11" s="1" t="s">
        <v>423</v>
      </c>
      <c r="D11" s="330">
        <v>6.1827152285292417</v>
      </c>
      <c r="E11" s="330">
        <v>9.3913453448690785</v>
      </c>
      <c r="F11" s="330">
        <v>10.386270822991865</v>
      </c>
      <c r="G11" s="330">
        <v>10.895936892631996</v>
      </c>
      <c r="H11" s="330">
        <v>11.010043845318426</v>
      </c>
      <c r="I11" s="330">
        <v>11.057082882167826</v>
      </c>
      <c r="J11" s="330">
        <v>10.813999239788426</v>
      </c>
      <c r="K11" s="330">
        <v>10.329939491943646</v>
      </c>
      <c r="L11" s="330">
        <v>9.9548198649706148</v>
      </c>
      <c r="M11" s="330">
        <v>9.1368873417080678</v>
      </c>
      <c r="N11" s="330">
        <v>9.6099589645793646</v>
      </c>
      <c r="O11" s="330">
        <v>11.264372141922788</v>
      </c>
      <c r="P11" s="330">
        <v>10.007837281515028</v>
      </c>
      <c r="Q11" s="330">
        <f>P11</f>
        <v>10.007837281515028</v>
      </c>
      <c r="R11" s="330">
        <f t="shared" si="0"/>
        <v>10.007837281515028</v>
      </c>
      <c r="S11" s="330">
        <f t="shared" si="0"/>
        <v>10.007837281515028</v>
      </c>
      <c r="T11" s="330">
        <f t="shared" si="0"/>
        <v>10.007837281515028</v>
      </c>
      <c r="U11" s="330">
        <f t="shared" si="0"/>
        <v>10.007837281515028</v>
      </c>
      <c r="V11" s="330">
        <f t="shared" si="0"/>
        <v>10.007837281515028</v>
      </c>
      <c r="W11" s="330">
        <f t="shared" si="0"/>
        <v>10.007837281515028</v>
      </c>
      <c r="X11" s="330">
        <f t="shared" si="0"/>
        <v>10.007837281515028</v>
      </c>
      <c r="Y11" s="330">
        <f t="shared" si="0"/>
        <v>10.007837281515028</v>
      </c>
      <c r="Z11" s="330">
        <f t="shared" si="0"/>
        <v>10.007837281515028</v>
      </c>
      <c r="AA11" s="330">
        <f t="shared" si="0"/>
        <v>10.007837281515028</v>
      </c>
      <c r="AB11" s="330">
        <f t="shared" si="0"/>
        <v>10.007837281515028</v>
      </c>
      <c r="AC11" s="330">
        <f t="shared" si="0"/>
        <v>10.007837281515028</v>
      </c>
      <c r="AD11" s="330">
        <f t="shared" si="0"/>
        <v>10.007837281515028</v>
      </c>
      <c r="AE11" s="330">
        <f t="shared" si="0"/>
        <v>10.007837281515028</v>
      </c>
      <c r="AF11" s="330">
        <f t="shared" si="0"/>
        <v>10.007837281515028</v>
      </c>
      <c r="AG11" s="330">
        <f t="shared" si="0"/>
        <v>10.007837281515028</v>
      </c>
      <c r="AH11" s="330">
        <f t="shared" si="0"/>
        <v>10.007837281515028</v>
      </c>
      <c r="AI11" s="330">
        <f t="shared" si="0"/>
        <v>10.007837281515028</v>
      </c>
      <c r="AJ11" s="330">
        <f t="shared" si="0"/>
        <v>10.007837281515028</v>
      </c>
      <c r="AK11" s="330">
        <f t="shared" si="0"/>
        <v>10.007837281515028</v>
      </c>
      <c r="AL11" s="330">
        <f t="shared" si="0"/>
        <v>10.007837281515028</v>
      </c>
      <c r="AM11" s="330">
        <f t="shared" si="0"/>
        <v>10.007837281515028</v>
      </c>
    </row>
    <row r="12" spans="2:40">
      <c r="B12" s="314" t="s">
        <v>425</v>
      </c>
      <c r="C12" s="1" t="s">
        <v>423</v>
      </c>
      <c r="D12" s="330">
        <v>21.920621900181011</v>
      </c>
      <c r="E12" s="330">
        <v>21.906796710695339</v>
      </c>
      <c r="F12" s="330">
        <v>21.926684588292897</v>
      </c>
      <c r="G12" s="330">
        <v>21.922482502476459</v>
      </c>
      <c r="H12" s="330">
        <v>21.925195139352979</v>
      </c>
      <c r="I12" s="330">
        <v>21.792637439819913</v>
      </c>
      <c r="J12" s="330">
        <v>23.950359811186999</v>
      </c>
      <c r="K12" s="330">
        <v>23.946541406576308</v>
      </c>
      <c r="L12" s="330">
        <v>23.958208026044272</v>
      </c>
      <c r="M12" s="330">
        <v>23.95911458518902</v>
      </c>
      <c r="N12" s="330">
        <v>23.924235069772763</v>
      </c>
      <c r="O12" s="330">
        <v>23.929024856671344</v>
      </c>
      <c r="P12" s="330">
        <v>22.930875197492906</v>
      </c>
      <c r="Q12" s="330">
        <f>P12</f>
        <v>22.930875197492906</v>
      </c>
      <c r="R12" s="330">
        <f t="shared" si="0"/>
        <v>22.930875197492906</v>
      </c>
      <c r="S12" s="330">
        <f t="shared" si="0"/>
        <v>22.930875197492906</v>
      </c>
      <c r="T12" s="330">
        <f t="shared" si="0"/>
        <v>22.930875197492906</v>
      </c>
      <c r="U12" s="330">
        <f t="shared" si="0"/>
        <v>22.930875197492906</v>
      </c>
      <c r="V12" s="330">
        <f t="shared" si="0"/>
        <v>22.930875197492906</v>
      </c>
      <c r="W12" s="330">
        <f t="shared" si="0"/>
        <v>22.930875197492906</v>
      </c>
      <c r="X12" s="330">
        <f t="shared" si="0"/>
        <v>22.930875197492906</v>
      </c>
      <c r="Y12" s="330">
        <f t="shared" si="0"/>
        <v>22.930875197492906</v>
      </c>
      <c r="Z12" s="330">
        <f t="shared" si="0"/>
        <v>22.930875197492906</v>
      </c>
      <c r="AA12" s="330">
        <f t="shared" si="0"/>
        <v>22.930875197492906</v>
      </c>
      <c r="AB12" s="330">
        <f t="shared" si="0"/>
        <v>22.930875197492906</v>
      </c>
      <c r="AC12" s="330">
        <f t="shared" si="0"/>
        <v>22.930875197492906</v>
      </c>
      <c r="AD12" s="330">
        <f t="shared" si="0"/>
        <v>22.930875197492906</v>
      </c>
      <c r="AE12" s="330">
        <f t="shared" si="0"/>
        <v>22.930875197492906</v>
      </c>
      <c r="AF12" s="330">
        <f t="shared" si="0"/>
        <v>22.930875197492906</v>
      </c>
      <c r="AG12" s="330">
        <f t="shared" si="0"/>
        <v>22.930875197492906</v>
      </c>
      <c r="AH12" s="330">
        <f t="shared" si="0"/>
        <v>22.930875197492906</v>
      </c>
      <c r="AI12" s="330">
        <f t="shared" si="0"/>
        <v>22.930875197492906</v>
      </c>
      <c r="AJ12" s="330">
        <f t="shared" si="0"/>
        <v>22.930875197492906</v>
      </c>
      <c r="AK12" s="330">
        <f t="shared" si="0"/>
        <v>22.930875197492906</v>
      </c>
      <c r="AL12" s="330">
        <f t="shared" si="0"/>
        <v>22.930875197492906</v>
      </c>
      <c r="AM12" s="330">
        <f t="shared" si="0"/>
        <v>22.930875197492906</v>
      </c>
    </row>
    <row r="13" spans="2:40" ht="7.5" customHeight="1">
      <c r="B13" s="260"/>
      <c r="C13" s="228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1"/>
      <c r="U13" s="331"/>
      <c r="V13" s="331"/>
      <c r="W13" s="331"/>
      <c r="X13" s="331"/>
      <c r="Y13" s="331"/>
      <c r="Z13" s="331"/>
      <c r="AA13" s="331"/>
      <c r="AB13" s="331"/>
      <c r="AC13" s="331"/>
      <c r="AD13" s="331"/>
      <c r="AE13" s="331"/>
      <c r="AF13" s="331"/>
      <c r="AG13" s="331"/>
      <c r="AH13" s="331"/>
      <c r="AI13" s="331"/>
      <c r="AJ13" s="331"/>
      <c r="AK13" s="331"/>
      <c r="AL13" s="331"/>
      <c r="AM13" s="331"/>
    </row>
    <row r="14" spans="2:40">
      <c r="B14" s="314" t="s">
        <v>428</v>
      </c>
      <c r="C14" s="1" t="s">
        <v>434</v>
      </c>
      <c r="D14" s="330">
        <v>74.806977070531886</v>
      </c>
      <c r="E14" s="330">
        <v>81.445924314709131</v>
      </c>
      <c r="F14" s="330">
        <v>76.487462136352235</v>
      </c>
      <c r="G14" s="330">
        <v>79.747499797403918</v>
      </c>
      <c r="H14" s="330">
        <v>78.704906740889143</v>
      </c>
      <c r="I14" s="330">
        <v>77.678956168492206</v>
      </c>
      <c r="J14" s="330">
        <v>78.378988669488635</v>
      </c>
      <c r="K14" s="330">
        <v>77.242091856484464</v>
      </c>
      <c r="L14" s="330">
        <v>76.429232106487433</v>
      </c>
      <c r="M14" s="330">
        <v>73.133491416824654</v>
      </c>
      <c r="N14" s="330">
        <v>73.404208088380315</v>
      </c>
      <c r="O14" s="330">
        <v>77.939150642630096</v>
      </c>
      <c r="P14" s="330">
        <v>924.70917740893719</v>
      </c>
      <c r="Q14" s="330">
        <f t="shared" ref="Q14:AF15" si="2">P14</f>
        <v>924.70917740893719</v>
      </c>
      <c r="R14" s="330">
        <f t="shared" si="2"/>
        <v>924.70917740893719</v>
      </c>
      <c r="S14" s="330">
        <f t="shared" si="2"/>
        <v>924.70917740893719</v>
      </c>
      <c r="T14" s="330">
        <f t="shared" si="2"/>
        <v>924.70917740893719</v>
      </c>
      <c r="U14" s="330">
        <f t="shared" si="2"/>
        <v>924.70917740893719</v>
      </c>
      <c r="V14" s="330">
        <f t="shared" si="2"/>
        <v>924.70917740893719</v>
      </c>
      <c r="W14" s="330">
        <f t="shared" si="2"/>
        <v>924.70917740893719</v>
      </c>
      <c r="X14" s="330">
        <f t="shared" si="2"/>
        <v>924.70917740893719</v>
      </c>
      <c r="Y14" s="330">
        <f t="shared" si="2"/>
        <v>924.70917740893719</v>
      </c>
      <c r="Z14" s="330">
        <f t="shared" si="2"/>
        <v>924.70917740893719</v>
      </c>
      <c r="AA14" s="330">
        <f t="shared" si="2"/>
        <v>924.70917740893719</v>
      </c>
      <c r="AB14" s="330">
        <f t="shared" si="2"/>
        <v>924.70917740893719</v>
      </c>
      <c r="AC14" s="330">
        <f t="shared" si="2"/>
        <v>924.70917740893719</v>
      </c>
      <c r="AD14" s="330">
        <f t="shared" si="2"/>
        <v>924.70917740893719</v>
      </c>
      <c r="AE14" s="330">
        <f t="shared" si="2"/>
        <v>924.70917740893719</v>
      </c>
      <c r="AF14" s="330">
        <f t="shared" si="2"/>
        <v>924.70917740893719</v>
      </c>
      <c r="AG14" s="330">
        <f t="shared" ref="R14:AM15" si="3">AF14</f>
        <v>924.70917740893719</v>
      </c>
      <c r="AH14" s="330">
        <f t="shared" si="3"/>
        <v>924.70917740893719</v>
      </c>
      <c r="AI14" s="330">
        <f t="shared" si="3"/>
        <v>924.70917740893719</v>
      </c>
      <c r="AJ14" s="330">
        <f t="shared" si="3"/>
        <v>924.70917740893719</v>
      </c>
      <c r="AK14" s="330">
        <f t="shared" si="3"/>
        <v>924.70917740893719</v>
      </c>
      <c r="AL14" s="330">
        <f t="shared" si="3"/>
        <v>924.70917740893719</v>
      </c>
      <c r="AM14" s="330">
        <f t="shared" si="3"/>
        <v>924.70917740893719</v>
      </c>
    </row>
    <row r="15" spans="2:40">
      <c r="B15" s="314" t="s">
        <v>429</v>
      </c>
      <c r="C15" s="1" t="s">
        <v>434</v>
      </c>
      <c r="D15" s="330">
        <v>74.806977070531886</v>
      </c>
      <c r="E15" s="330">
        <v>81.445924314709131</v>
      </c>
      <c r="F15" s="330">
        <v>76.487462136352235</v>
      </c>
      <c r="G15" s="330">
        <v>79.747499797403918</v>
      </c>
      <c r="H15" s="330">
        <v>78.704906740889143</v>
      </c>
      <c r="I15" s="330">
        <v>77.678956168492206</v>
      </c>
      <c r="J15" s="330">
        <v>78.378988669488635</v>
      </c>
      <c r="K15" s="330">
        <v>77.242091856484464</v>
      </c>
      <c r="L15" s="330">
        <v>76.429232106487433</v>
      </c>
      <c r="M15" s="330">
        <v>73.133491416824654</v>
      </c>
      <c r="N15" s="330">
        <v>73.404208088380315</v>
      </c>
      <c r="O15" s="330">
        <v>77.939150642630096</v>
      </c>
      <c r="P15" s="330">
        <v>924.70917740893719</v>
      </c>
      <c r="Q15" s="330">
        <f t="shared" si="2"/>
        <v>924.70917740893719</v>
      </c>
      <c r="R15" s="330">
        <f t="shared" si="3"/>
        <v>924.70917740893719</v>
      </c>
      <c r="S15" s="330">
        <f t="shared" si="3"/>
        <v>924.70917740893719</v>
      </c>
      <c r="T15" s="330">
        <f t="shared" si="3"/>
        <v>924.70917740893719</v>
      </c>
      <c r="U15" s="330">
        <f t="shared" si="3"/>
        <v>924.70917740893719</v>
      </c>
      <c r="V15" s="330">
        <f t="shared" si="3"/>
        <v>924.70917740893719</v>
      </c>
      <c r="W15" s="330">
        <f t="shared" si="3"/>
        <v>924.70917740893719</v>
      </c>
      <c r="X15" s="330">
        <f t="shared" si="3"/>
        <v>924.70917740893719</v>
      </c>
      <c r="Y15" s="330">
        <f t="shared" si="3"/>
        <v>924.70917740893719</v>
      </c>
      <c r="Z15" s="330">
        <f t="shared" si="3"/>
        <v>924.70917740893719</v>
      </c>
      <c r="AA15" s="330">
        <f t="shared" si="3"/>
        <v>924.70917740893719</v>
      </c>
      <c r="AB15" s="330">
        <f t="shared" si="3"/>
        <v>924.70917740893719</v>
      </c>
      <c r="AC15" s="330">
        <f t="shared" si="3"/>
        <v>924.70917740893719</v>
      </c>
      <c r="AD15" s="330">
        <f t="shared" si="3"/>
        <v>924.70917740893719</v>
      </c>
      <c r="AE15" s="330">
        <f t="shared" si="3"/>
        <v>924.70917740893719</v>
      </c>
      <c r="AF15" s="330">
        <f t="shared" si="3"/>
        <v>924.70917740893719</v>
      </c>
      <c r="AG15" s="330">
        <f t="shared" si="3"/>
        <v>924.70917740893719</v>
      </c>
      <c r="AH15" s="330">
        <f t="shared" si="3"/>
        <v>924.70917740893719</v>
      </c>
      <c r="AI15" s="330">
        <f t="shared" si="3"/>
        <v>924.70917740893719</v>
      </c>
      <c r="AJ15" s="330">
        <f t="shared" si="3"/>
        <v>924.70917740893719</v>
      </c>
      <c r="AK15" s="330">
        <f t="shared" si="3"/>
        <v>924.70917740893719</v>
      </c>
      <c r="AL15" s="330">
        <f t="shared" si="3"/>
        <v>924.70917740893719</v>
      </c>
      <c r="AM15" s="330">
        <f t="shared" si="3"/>
        <v>924.70917740893719</v>
      </c>
    </row>
    <row r="16" spans="2:40" ht="6.75" customHeight="1">
      <c r="B16" s="260"/>
      <c r="C16" s="228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331"/>
      <c r="AJ16" s="331"/>
      <c r="AK16" s="331"/>
      <c r="AL16" s="331"/>
      <c r="AM16" s="331"/>
    </row>
    <row r="17" spans="2:39">
      <c r="B17" s="314" t="s">
        <v>430</v>
      </c>
      <c r="C17" s="1" t="s">
        <v>433</v>
      </c>
      <c r="D17" s="330">
        <v>13.447880025523871</v>
      </c>
      <c r="E17" s="330">
        <v>13.447880025523871</v>
      </c>
      <c r="F17" s="330">
        <v>13.447880025523871</v>
      </c>
      <c r="G17" s="330">
        <v>13.447880025523871</v>
      </c>
      <c r="H17" s="330">
        <v>13.447880025523871</v>
      </c>
      <c r="I17" s="330">
        <v>13.447880025523871</v>
      </c>
      <c r="J17" s="330">
        <v>13.447880025523871</v>
      </c>
      <c r="K17" s="330">
        <v>13.447880025523871</v>
      </c>
      <c r="L17" s="330">
        <v>13.447880025523871</v>
      </c>
      <c r="M17" s="330">
        <v>13.447880025523871</v>
      </c>
      <c r="N17" s="330">
        <v>13.447880025523871</v>
      </c>
      <c r="O17" s="330">
        <v>13.447880025523871</v>
      </c>
      <c r="P17" s="330">
        <v>13.447880025523871</v>
      </c>
      <c r="Q17" s="330">
        <f t="shared" ref="Q17:AF18" si="4">P17</f>
        <v>13.447880025523871</v>
      </c>
      <c r="R17" s="330">
        <f t="shared" si="4"/>
        <v>13.447880025523871</v>
      </c>
      <c r="S17" s="330">
        <f t="shared" si="4"/>
        <v>13.447880025523871</v>
      </c>
      <c r="T17" s="330">
        <f t="shared" si="4"/>
        <v>13.447880025523871</v>
      </c>
      <c r="U17" s="330">
        <f t="shared" si="4"/>
        <v>13.447880025523871</v>
      </c>
      <c r="V17" s="330">
        <f t="shared" si="4"/>
        <v>13.447880025523871</v>
      </c>
      <c r="W17" s="330">
        <f t="shared" si="4"/>
        <v>13.447880025523871</v>
      </c>
      <c r="X17" s="330">
        <f t="shared" si="4"/>
        <v>13.447880025523871</v>
      </c>
      <c r="Y17" s="330">
        <f t="shared" si="4"/>
        <v>13.447880025523871</v>
      </c>
      <c r="Z17" s="330">
        <f t="shared" si="4"/>
        <v>13.447880025523871</v>
      </c>
      <c r="AA17" s="330">
        <f t="shared" si="4"/>
        <v>13.447880025523871</v>
      </c>
      <c r="AB17" s="330">
        <f t="shared" si="4"/>
        <v>13.447880025523871</v>
      </c>
      <c r="AC17" s="330">
        <f t="shared" si="4"/>
        <v>13.447880025523871</v>
      </c>
      <c r="AD17" s="330">
        <f t="shared" si="4"/>
        <v>13.447880025523871</v>
      </c>
      <c r="AE17" s="330">
        <f t="shared" si="4"/>
        <v>13.447880025523871</v>
      </c>
      <c r="AF17" s="330">
        <f t="shared" si="4"/>
        <v>13.447880025523871</v>
      </c>
      <c r="AG17" s="330">
        <f t="shared" ref="R17:AM18" si="5">AF17</f>
        <v>13.447880025523871</v>
      </c>
      <c r="AH17" s="330">
        <f t="shared" si="5"/>
        <v>13.447880025523871</v>
      </c>
      <c r="AI17" s="330">
        <f t="shared" si="5"/>
        <v>13.447880025523871</v>
      </c>
      <c r="AJ17" s="330">
        <f t="shared" si="5"/>
        <v>13.447880025523871</v>
      </c>
      <c r="AK17" s="330">
        <f t="shared" si="5"/>
        <v>13.447880025523871</v>
      </c>
      <c r="AL17" s="330">
        <f t="shared" si="5"/>
        <v>13.447880025523871</v>
      </c>
      <c r="AM17" s="330">
        <f t="shared" si="5"/>
        <v>13.447880025523871</v>
      </c>
    </row>
    <row r="18" spans="2:39" ht="15.75" thickBot="1">
      <c r="B18" s="315" t="s">
        <v>431</v>
      </c>
      <c r="C18" s="297" t="s">
        <v>434</v>
      </c>
      <c r="D18" s="332">
        <v>3.1709432860274407</v>
      </c>
      <c r="E18" s="332">
        <v>3.1709432860274407</v>
      </c>
      <c r="F18" s="332">
        <v>3.1709432860274407</v>
      </c>
      <c r="G18" s="332">
        <v>3.1709432860274407</v>
      </c>
      <c r="H18" s="332">
        <v>3.1709432860274407</v>
      </c>
      <c r="I18" s="332">
        <v>3.1709432860274407</v>
      </c>
      <c r="J18" s="332">
        <v>3.1709432860274407</v>
      </c>
      <c r="K18" s="332">
        <v>3.1709432860274407</v>
      </c>
      <c r="L18" s="332">
        <v>3.1709432860274407</v>
      </c>
      <c r="M18" s="332">
        <v>3.1709432860274407</v>
      </c>
      <c r="N18" s="332">
        <v>3.1709432860274407</v>
      </c>
      <c r="O18" s="332">
        <v>3.1709432860274407</v>
      </c>
      <c r="P18" s="332">
        <v>38.051319432329286</v>
      </c>
      <c r="Q18" s="332">
        <f t="shared" si="4"/>
        <v>38.051319432329286</v>
      </c>
      <c r="R18" s="332">
        <f t="shared" si="5"/>
        <v>38.051319432329286</v>
      </c>
      <c r="S18" s="332">
        <f t="shared" si="5"/>
        <v>38.051319432329286</v>
      </c>
      <c r="T18" s="332">
        <f t="shared" si="5"/>
        <v>38.051319432329286</v>
      </c>
      <c r="U18" s="332">
        <f t="shared" si="5"/>
        <v>38.051319432329286</v>
      </c>
      <c r="V18" s="332">
        <f t="shared" si="5"/>
        <v>38.051319432329286</v>
      </c>
      <c r="W18" s="332">
        <f t="shared" si="5"/>
        <v>38.051319432329286</v>
      </c>
      <c r="X18" s="332">
        <f t="shared" si="5"/>
        <v>38.051319432329286</v>
      </c>
      <c r="Y18" s="332">
        <f t="shared" si="5"/>
        <v>38.051319432329286</v>
      </c>
      <c r="Z18" s="332">
        <f t="shared" si="5"/>
        <v>38.051319432329286</v>
      </c>
      <c r="AA18" s="332">
        <f t="shared" si="5"/>
        <v>38.051319432329286</v>
      </c>
      <c r="AB18" s="332">
        <f t="shared" si="5"/>
        <v>38.051319432329286</v>
      </c>
      <c r="AC18" s="332">
        <f t="shared" si="5"/>
        <v>38.051319432329286</v>
      </c>
      <c r="AD18" s="332">
        <f t="shared" si="5"/>
        <v>38.051319432329286</v>
      </c>
      <c r="AE18" s="332">
        <f t="shared" si="5"/>
        <v>38.051319432329286</v>
      </c>
      <c r="AF18" s="332">
        <f t="shared" si="5"/>
        <v>38.051319432329286</v>
      </c>
      <c r="AG18" s="332">
        <f t="shared" si="5"/>
        <v>38.051319432329286</v>
      </c>
      <c r="AH18" s="332">
        <f t="shared" si="5"/>
        <v>38.051319432329286</v>
      </c>
      <c r="AI18" s="332">
        <f t="shared" si="5"/>
        <v>38.051319432329286</v>
      </c>
      <c r="AJ18" s="332">
        <f t="shared" si="5"/>
        <v>38.051319432329286</v>
      </c>
      <c r="AK18" s="332">
        <f t="shared" si="5"/>
        <v>38.051319432329286</v>
      </c>
      <c r="AL18" s="332">
        <f t="shared" si="5"/>
        <v>38.051319432329286</v>
      </c>
      <c r="AM18" s="332">
        <f t="shared" si="5"/>
        <v>38.051319432329286</v>
      </c>
    </row>
    <row r="19" spans="2:39"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  <c r="U19" s="333"/>
      <c r="V19" s="333"/>
      <c r="W19" s="333"/>
      <c r="X19" s="333"/>
      <c r="Y19" s="333"/>
      <c r="Z19" s="333"/>
      <c r="AA19" s="333"/>
      <c r="AB19" s="333"/>
      <c r="AC19" s="333"/>
      <c r="AD19" s="333"/>
      <c r="AE19" s="333"/>
      <c r="AF19" s="333"/>
      <c r="AG19" s="333"/>
      <c r="AH19" s="333"/>
      <c r="AI19" s="333"/>
      <c r="AJ19" s="333"/>
      <c r="AK19" s="333"/>
      <c r="AL19" s="333"/>
      <c r="AM19" s="333"/>
    </row>
    <row r="20" spans="2:39">
      <c r="B20" s="1" t="s">
        <v>437</v>
      </c>
      <c r="C20" s="1" t="s">
        <v>438</v>
      </c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34"/>
      <c r="AB20" s="334"/>
      <c r="AC20" s="334"/>
      <c r="AD20" s="334"/>
      <c r="AE20" s="334"/>
      <c r="AF20" s="334"/>
      <c r="AG20" s="334"/>
      <c r="AH20" s="334"/>
      <c r="AI20" s="334"/>
      <c r="AJ20" s="334"/>
      <c r="AK20" s="334"/>
      <c r="AL20" s="334"/>
      <c r="AM20" s="334"/>
    </row>
    <row r="21" spans="2:39">
      <c r="D21" s="333"/>
      <c r="E21" s="333"/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  <c r="R21" s="333"/>
      <c r="S21" s="333"/>
      <c r="T21" s="333"/>
      <c r="U21" s="333"/>
      <c r="V21" s="333"/>
      <c r="W21" s="333"/>
      <c r="X21" s="333"/>
      <c r="Y21" s="333"/>
      <c r="Z21" s="333"/>
      <c r="AA21" s="333"/>
      <c r="AB21" s="333"/>
      <c r="AC21" s="333"/>
      <c r="AD21" s="333"/>
      <c r="AE21" s="333"/>
      <c r="AF21" s="333"/>
      <c r="AG21" s="333"/>
      <c r="AH21" s="333"/>
      <c r="AI21" s="333"/>
      <c r="AJ21" s="333"/>
      <c r="AK21" s="333"/>
      <c r="AL21" s="333"/>
      <c r="AM21" s="333"/>
    </row>
    <row r="22" spans="2:39" ht="18.75">
      <c r="B22" s="309" t="s">
        <v>463</v>
      </c>
      <c r="C22" s="228"/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  <c r="Q22" s="331"/>
      <c r="R22" s="331"/>
      <c r="S22" s="331"/>
      <c r="T22" s="331"/>
      <c r="U22" s="331"/>
      <c r="V22" s="331"/>
      <c r="W22" s="331"/>
      <c r="X22" s="331"/>
      <c r="Y22" s="331"/>
      <c r="Z22" s="331"/>
      <c r="AA22" s="331"/>
      <c r="AB22" s="331"/>
      <c r="AC22" s="331"/>
      <c r="AD22" s="331"/>
      <c r="AE22" s="331"/>
      <c r="AF22" s="331"/>
      <c r="AG22" s="331"/>
      <c r="AH22" s="331"/>
      <c r="AI22" s="331"/>
      <c r="AJ22" s="331"/>
      <c r="AK22" s="331"/>
      <c r="AL22" s="331"/>
      <c r="AM22" s="331"/>
    </row>
    <row r="23" spans="2:39" ht="6.75" customHeight="1"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333"/>
      <c r="Q23" s="333"/>
      <c r="R23" s="333"/>
      <c r="S23" s="333"/>
      <c r="T23" s="333"/>
      <c r="U23" s="333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333"/>
      <c r="AI23" s="333"/>
      <c r="AJ23" s="333"/>
      <c r="AK23" s="333"/>
      <c r="AL23" s="333"/>
      <c r="AM23" s="333"/>
    </row>
    <row r="24" spans="2:39">
      <c r="B24" s="1" t="s">
        <v>439</v>
      </c>
      <c r="C24" s="1" t="s">
        <v>438</v>
      </c>
      <c r="D24" s="330">
        <v>910.39757404405157</v>
      </c>
      <c r="E24" s="330">
        <v>910.39757404405157</v>
      </c>
      <c r="F24" s="330">
        <v>910.39757404405157</v>
      </c>
      <c r="G24" s="330">
        <v>910.39757404405157</v>
      </c>
      <c r="H24" s="330">
        <v>910.39757404405157</v>
      </c>
      <c r="I24" s="330">
        <v>910.39757404405157</v>
      </c>
      <c r="J24" s="330">
        <v>910.39757404405157</v>
      </c>
      <c r="K24" s="330">
        <v>910.39757404405157</v>
      </c>
      <c r="L24" s="330">
        <v>910.39757404405157</v>
      </c>
      <c r="M24" s="330">
        <v>910.39757404405157</v>
      </c>
      <c r="N24" s="330">
        <v>910.39757404405157</v>
      </c>
      <c r="O24" s="330">
        <v>910.39757404405157</v>
      </c>
      <c r="P24" s="330">
        <v>910.39757404405157</v>
      </c>
      <c r="Q24" s="330">
        <v>910.39757404405157</v>
      </c>
      <c r="R24" s="330">
        <v>910.39757404405157</v>
      </c>
      <c r="S24" s="330">
        <v>910.39757404405157</v>
      </c>
      <c r="T24" s="330">
        <v>910.39757404405157</v>
      </c>
      <c r="U24" s="330">
        <v>910.39757404405157</v>
      </c>
      <c r="V24" s="330">
        <v>910.39757404405157</v>
      </c>
      <c r="W24" s="330">
        <v>910.39757404405157</v>
      </c>
      <c r="X24" s="330">
        <v>910.39757404405157</v>
      </c>
      <c r="Y24" s="330">
        <v>910.39757404405157</v>
      </c>
      <c r="Z24" s="330">
        <v>910.39757404405157</v>
      </c>
      <c r="AA24" s="330">
        <v>910.39757404405157</v>
      </c>
      <c r="AB24" s="330">
        <v>910.39757404405157</v>
      </c>
      <c r="AC24" s="330">
        <v>910.39757404405157</v>
      </c>
      <c r="AD24" s="330">
        <v>910.39757404405157</v>
      </c>
      <c r="AE24" s="330">
        <v>910.39757404405157</v>
      </c>
      <c r="AF24" s="330">
        <v>910.39757404405157</v>
      </c>
      <c r="AG24" s="330">
        <v>910.39757404405157</v>
      </c>
      <c r="AH24" s="330">
        <v>910.39757404405157</v>
      </c>
      <c r="AI24" s="330">
        <v>910.39757404405157</v>
      </c>
      <c r="AJ24" s="330">
        <v>910.39757404405157</v>
      </c>
      <c r="AK24" s="330">
        <v>910.39757404405157</v>
      </c>
      <c r="AL24" s="330">
        <v>910.39757404405157</v>
      </c>
      <c r="AM24" s="330">
        <v>910.39757404405157</v>
      </c>
    </row>
    <row r="25" spans="2:39">
      <c r="B25" s="1" t="s">
        <v>441</v>
      </c>
      <c r="C25" s="1" t="s">
        <v>438</v>
      </c>
      <c r="D25" s="330">
        <v>2849.8558636020007</v>
      </c>
      <c r="E25" s="330">
        <v>2849.8558636020007</v>
      </c>
      <c r="F25" s="330">
        <v>2849.8558636020007</v>
      </c>
      <c r="G25" s="330">
        <v>2849.8558636020007</v>
      </c>
      <c r="H25" s="330">
        <v>2849.8558636020007</v>
      </c>
      <c r="I25" s="330">
        <v>2849.8558636020007</v>
      </c>
      <c r="J25" s="330">
        <v>2849.8558636020007</v>
      </c>
      <c r="K25" s="330">
        <v>2849.8558636020007</v>
      </c>
      <c r="L25" s="330">
        <v>2849.8558636020007</v>
      </c>
      <c r="M25" s="330">
        <v>2849.8558636020007</v>
      </c>
      <c r="N25" s="330">
        <v>2849.8558636020007</v>
      </c>
      <c r="O25" s="330">
        <v>2849.8558636020007</v>
      </c>
      <c r="P25" s="330">
        <v>2849.8558636020007</v>
      </c>
      <c r="Q25" s="330">
        <v>2849.8558636020007</v>
      </c>
      <c r="R25" s="330">
        <v>2849.8558636020007</v>
      </c>
      <c r="S25" s="330">
        <v>2849.8558636020007</v>
      </c>
      <c r="T25" s="330">
        <v>2849.8558636020007</v>
      </c>
      <c r="U25" s="330">
        <v>2849.8558636020007</v>
      </c>
      <c r="V25" s="330">
        <v>2849.8558636020007</v>
      </c>
      <c r="W25" s="330">
        <v>2849.8558636020007</v>
      </c>
      <c r="X25" s="330">
        <v>2849.8558636020007</v>
      </c>
      <c r="Y25" s="330">
        <v>2849.8558636020007</v>
      </c>
      <c r="Z25" s="330">
        <v>2849.8558636020007</v>
      </c>
      <c r="AA25" s="330">
        <v>2849.8558636020007</v>
      </c>
      <c r="AB25" s="330">
        <v>2849.8558636020007</v>
      </c>
      <c r="AC25" s="330">
        <v>2849.8558636020007</v>
      </c>
      <c r="AD25" s="330">
        <v>2849.8558636020007</v>
      </c>
      <c r="AE25" s="330">
        <v>2849.8558636020007</v>
      </c>
      <c r="AF25" s="330">
        <v>2849.8558636020007</v>
      </c>
      <c r="AG25" s="330">
        <v>2849.8558636020007</v>
      </c>
      <c r="AH25" s="330">
        <v>2849.8558636020007</v>
      </c>
      <c r="AI25" s="330">
        <v>2849.8558636020007</v>
      </c>
      <c r="AJ25" s="330">
        <v>2849.8558636020007</v>
      </c>
      <c r="AK25" s="330">
        <v>2849.8558636020007</v>
      </c>
      <c r="AL25" s="330">
        <v>2849.8558636020007</v>
      </c>
      <c r="AM25" s="330">
        <v>2849.8558636020007</v>
      </c>
    </row>
    <row r="26" spans="2:39">
      <c r="B26" s="1" t="s">
        <v>440</v>
      </c>
      <c r="C26" s="1" t="s">
        <v>438</v>
      </c>
      <c r="D26" s="330">
        <v>948.29551413494141</v>
      </c>
      <c r="E26" s="330">
        <v>948.29551413494141</v>
      </c>
      <c r="F26" s="330">
        <v>948.29551413494141</v>
      </c>
      <c r="G26" s="330">
        <v>948.29551413494141</v>
      </c>
      <c r="H26" s="330">
        <v>948.29551413494141</v>
      </c>
      <c r="I26" s="330">
        <v>948.29551413494141</v>
      </c>
      <c r="J26" s="330">
        <v>948.29551413494141</v>
      </c>
      <c r="K26" s="330">
        <v>948.29551413494141</v>
      </c>
      <c r="L26" s="330">
        <v>948.29551413494141</v>
      </c>
      <c r="M26" s="330">
        <v>948.29551413494141</v>
      </c>
      <c r="N26" s="330">
        <v>948.29551413494141</v>
      </c>
      <c r="O26" s="330">
        <v>948.29551413494141</v>
      </c>
      <c r="P26" s="330">
        <v>948.29551413494141</v>
      </c>
      <c r="Q26" s="330">
        <v>948.29551413494141</v>
      </c>
      <c r="R26" s="330">
        <v>948.29551413494141</v>
      </c>
      <c r="S26" s="330">
        <v>948.29551413494141</v>
      </c>
      <c r="T26" s="330">
        <v>948.29551413494141</v>
      </c>
      <c r="U26" s="330">
        <v>948.29551413494141</v>
      </c>
      <c r="V26" s="330">
        <v>948.29551413494141</v>
      </c>
      <c r="W26" s="330">
        <v>948.29551413494141</v>
      </c>
      <c r="X26" s="330">
        <v>948.29551413494141</v>
      </c>
      <c r="Y26" s="330">
        <v>948.29551413494141</v>
      </c>
      <c r="Z26" s="330">
        <v>948.29551413494141</v>
      </c>
      <c r="AA26" s="330">
        <v>948.29551413494141</v>
      </c>
      <c r="AB26" s="330">
        <v>948.29551413494141</v>
      </c>
      <c r="AC26" s="330">
        <v>948.29551413494141</v>
      </c>
      <c r="AD26" s="330">
        <v>948.29551413494141</v>
      </c>
      <c r="AE26" s="330">
        <v>948.29551413494141</v>
      </c>
      <c r="AF26" s="330">
        <v>948.29551413494141</v>
      </c>
      <c r="AG26" s="330">
        <v>948.29551413494141</v>
      </c>
      <c r="AH26" s="330">
        <v>948.29551413494141</v>
      </c>
      <c r="AI26" s="330">
        <v>948.29551413494141</v>
      </c>
      <c r="AJ26" s="330">
        <v>948.29551413494141</v>
      </c>
      <c r="AK26" s="330">
        <v>948.29551413494141</v>
      </c>
      <c r="AL26" s="330">
        <v>948.29551413494141</v>
      </c>
      <c r="AM26" s="330">
        <v>948.29551413494141</v>
      </c>
    </row>
    <row r="27" spans="2:39">
      <c r="B27" s="239" t="s">
        <v>564</v>
      </c>
      <c r="C27" s="239" t="s">
        <v>96</v>
      </c>
      <c r="D27" s="463">
        <v>571</v>
      </c>
      <c r="E27" s="463">
        <v>571</v>
      </c>
      <c r="F27" s="463">
        <v>571</v>
      </c>
      <c r="G27" s="463">
        <v>571</v>
      </c>
      <c r="H27" s="463">
        <v>571</v>
      </c>
      <c r="I27" s="463">
        <v>571</v>
      </c>
      <c r="J27" s="463">
        <v>571</v>
      </c>
      <c r="K27" s="463">
        <v>571</v>
      </c>
      <c r="L27" s="463">
        <v>571</v>
      </c>
      <c r="M27" s="463">
        <v>571</v>
      </c>
      <c r="N27" s="463">
        <v>571</v>
      </c>
      <c r="O27" s="463">
        <v>571</v>
      </c>
      <c r="P27" s="463">
        <v>571</v>
      </c>
      <c r="Q27" s="463">
        <v>571</v>
      </c>
      <c r="R27" s="463">
        <v>571</v>
      </c>
      <c r="S27" s="463">
        <v>571</v>
      </c>
      <c r="T27" s="463">
        <v>571</v>
      </c>
      <c r="U27" s="463">
        <v>571</v>
      </c>
      <c r="V27" s="463">
        <v>571</v>
      </c>
      <c r="W27" s="463">
        <v>571</v>
      </c>
      <c r="X27" s="463">
        <v>571</v>
      </c>
      <c r="Y27" s="463">
        <v>571</v>
      </c>
      <c r="Z27" s="463">
        <v>571</v>
      </c>
      <c r="AA27" s="463">
        <v>571</v>
      </c>
      <c r="AB27" s="463">
        <v>571</v>
      </c>
      <c r="AC27" s="463">
        <v>571</v>
      </c>
      <c r="AD27" s="463">
        <v>571</v>
      </c>
      <c r="AE27" s="463">
        <v>571</v>
      </c>
      <c r="AF27" s="463">
        <v>571</v>
      </c>
      <c r="AG27" s="463">
        <v>571</v>
      </c>
      <c r="AH27" s="463">
        <v>571</v>
      </c>
      <c r="AI27" s="463">
        <v>571</v>
      </c>
      <c r="AJ27" s="463">
        <v>571</v>
      </c>
      <c r="AK27" s="463">
        <v>571</v>
      </c>
      <c r="AL27" s="463">
        <v>571</v>
      </c>
      <c r="AM27" s="463">
        <v>571</v>
      </c>
    </row>
  </sheetData>
  <mergeCells count="2">
    <mergeCell ref="C2:D2"/>
    <mergeCell ref="D5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2">
    <tabColor rgb="FF92D050"/>
  </sheetPr>
  <dimension ref="A1:Y28"/>
  <sheetViews>
    <sheetView workbookViewId="0">
      <selection activeCell="G9" sqref="G9"/>
    </sheetView>
  </sheetViews>
  <sheetFormatPr defaultRowHeight="15"/>
  <cols>
    <col min="2" max="2" width="38.5703125" customWidth="1"/>
    <col min="3" max="3" width="11.28515625" bestFit="1" customWidth="1"/>
    <col min="4" max="15" width="9.28515625" bestFit="1" customWidth="1"/>
    <col min="16" max="24" width="10" bestFit="1" customWidth="1"/>
  </cols>
  <sheetData>
    <row r="1" spans="1: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</row>
    <row r="2" spans="1:25">
      <c r="B2" s="338" t="s">
        <v>343</v>
      </c>
      <c r="C2" s="335" t="s">
        <v>371</v>
      </c>
      <c r="D2" s="335">
        <v>2013</v>
      </c>
      <c r="E2" s="335">
        <v>2014</v>
      </c>
      <c r="F2" s="335">
        <v>2015</v>
      </c>
      <c r="G2" s="335">
        <v>2016</v>
      </c>
      <c r="H2" s="335">
        <v>2017</v>
      </c>
      <c r="I2" s="335">
        <v>2018</v>
      </c>
      <c r="J2" s="335">
        <v>2019</v>
      </c>
      <c r="K2" s="335">
        <v>2020</v>
      </c>
      <c r="L2" s="335">
        <v>2021</v>
      </c>
      <c r="M2" s="335">
        <v>2022</v>
      </c>
      <c r="N2" s="335">
        <v>2023</v>
      </c>
      <c r="O2" s="335">
        <v>2024</v>
      </c>
      <c r="P2" s="335">
        <v>2025</v>
      </c>
      <c r="Q2" s="335">
        <v>2026</v>
      </c>
      <c r="R2" s="335">
        <v>2027</v>
      </c>
      <c r="S2" s="335">
        <v>2028</v>
      </c>
      <c r="T2" s="335">
        <v>2029</v>
      </c>
      <c r="U2" s="335">
        <v>2030</v>
      </c>
      <c r="V2" s="335">
        <v>2031</v>
      </c>
      <c r="W2" s="335">
        <v>2032</v>
      </c>
      <c r="X2" s="335">
        <v>2033</v>
      </c>
    </row>
    <row r="3" spans="1:25" ht="6.75" customHeight="1">
      <c r="A3" s="228"/>
      <c r="B3" s="346"/>
      <c r="C3" s="346"/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228"/>
    </row>
    <row r="4" spans="1:25">
      <c r="B4" s="339" t="s">
        <v>483</v>
      </c>
      <c r="C4" s="235" t="s">
        <v>454</v>
      </c>
      <c r="D4" s="343">
        <v>0.12</v>
      </c>
      <c r="E4" s="343">
        <v>0.12</v>
      </c>
      <c r="F4" s="343">
        <v>0.12</v>
      </c>
      <c r="G4" s="343">
        <v>0.12</v>
      </c>
      <c r="H4" s="343">
        <v>0.12</v>
      </c>
      <c r="I4" s="343">
        <v>0.12</v>
      </c>
      <c r="J4" s="343">
        <v>0.12</v>
      </c>
      <c r="K4" s="343">
        <v>0.12</v>
      </c>
      <c r="L4" s="343">
        <v>0.12</v>
      </c>
      <c r="M4" s="343">
        <v>0.12</v>
      </c>
      <c r="N4" s="343">
        <v>0.12</v>
      </c>
      <c r="O4" s="343">
        <v>0.12</v>
      </c>
      <c r="P4" s="343">
        <v>0.12</v>
      </c>
      <c r="Q4" s="343">
        <v>0.12</v>
      </c>
      <c r="R4" s="343">
        <v>0.12</v>
      </c>
      <c r="S4" s="343">
        <v>0.12</v>
      </c>
      <c r="T4" s="343">
        <v>0.12</v>
      </c>
      <c r="U4" s="343">
        <v>0.12</v>
      </c>
      <c r="V4" s="343">
        <v>0.12</v>
      </c>
      <c r="W4" s="343">
        <v>0.12</v>
      </c>
      <c r="X4" s="343">
        <v>0.12</v>
      </c>
    </row>
    <row r="5" spans="1:25">
      <c r="B5" s="340" t="s">
        <v>489</v>
      </c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</row>
    <row r="6" spans="1:25">
      <c r="B6" s="339" t="s">
        <v>467</v>
      </c>
      <c r="C6" s="235" t="s">
        <v>468</v>
      </c>
      <c r="D6" s="337">
        <v>90</v>
      </c>
      <c r="E6" s="337">
        <v>95</v>
      </c>
      <c r="F6" s="337">
        <v>95</v>
      </c>
      <c r="G6" s="337">
        <v>95</v>
      </c>
      <c r="H6" s="337">
        <v>95</v>
      </c>
      <c r="I6" s="337">
        <v>95</v>
      </c>
      <c r="J6" s="337">
        <v>95</v>
      </c>
      <c r="K6" s="337">
        <v>95</v>
      </c>
      <c r="L6" s="337">
        <v>95</v>
      </c>
      <c r="M6" s="337">
        <v>95</v>
      </c>
      <c r="N6" s="337">
        <v>95</v>
      </c>
      <c r="O6" s="337">
        <v>95</v>
      </c>
      <c r="P6" s="337">
        <v>95</v>
      </c>
      <c r="Q6" s="337">
        <v>95</v>
      </c>
      <c r="R6" s="337">
        <v>95</v>
      </c>
      <c r="S6" s="337">
        <v>95</v>
      </c>
      <c r="T6" s="337">
        <v>95</v>
      </c>
      <c r="U6" s="337">
        <v>95</v>
      </c>
      <c r="V6" s="337">
        <v>95</v>
      </c>
      <c r="W6" s="337">
        <v>95</v>
      </c>
      <c r="X6" s="337">
        <v>95</v>
      </c>
    </row>
    <row r="7" spans="1:25">
      <c r="B7" s="339" t="s">
        <v>469</v>
      </c>
      <c r="C7" s="235" t="s">
        <v>468</v>
      </c>
      <c r="D7" s="235">
        <v>1.5</v>
      </c>
      <c r="E7" s="235">
        <v>1.5</v>
      </c>
      <c r="F7" s="235">
        <v>1.5</v>
      </c>
      <c r="G7" s="235">
        <v>1.5</v>
      </c>
      <c r="H7" s="235">
        <v>1.5</v>
      </c>
      <c r="I7" s="235">
        <v>1.5</v>
      </c>
      <c r="J7" s="235">
        <v>1.5</v>
      </c>
      <c r="K7" s="235">
        <v>1.5</v>
      </c>
      <c r="L7" s="235">
        <v>1.5</v>
      </c>
      <c r="M7" s="235">
        <v>1.5</v>
      </c>
      <c r="N7" s="235">
        <v>1.5</v>
      </c>
      <c r="O7" s="235">
        <v>1.5</v>
      </c>
      <c r="P7" s="235">
        <v>1.5</v>
      </c>
      <c r="Q7" s="235">
        <v>1.5</v>
      </c>
      <c r="R7" s="235">
        <v>1.5</v>
      </c>
      <c r="S7" s="235">
        <v>1.5</v>
      </c>
      <c r="T7" s="235">
        <v>1.5</v>
      </c>
      <c r="U7" s="235">
        <v>1.5</v>
      </c>
      <c r="V7" s="235">
        <v>1.5</v>
      </c>
      <c r="W7" s="235">
        <v>1.5</v>
      </c>
      <c r="X7" s="235">
        <v>1.5</v>
      </c>
    </row>
    <row r="8" spans="1:25">
      <c r="B8" s="339" t="s">
        <v>470</v>
      </c>
      <c r="C8" s="235" t="s">
        <v>468</v>
      </c>
      <c r="D8" s="235">
        <f>D6-D7</f>
        <v>88.5</v>
      </c>
      <c r="E8" s="235">
        <f t="shared" ref="E8:X8" si="0">E6-E7</f>
        <v>93.5</v>
      </c>
      <c r="F8" s="235">
        <f t="shared" si="0"/>
        <v>93.5</v>
      </c>
      <c r="G8" s="235">
        <f t="shared" si="0"/>
        <v>93.5</v>
      </c>
      <c r="H8" s="235">
        <f t="shared" si="0"/>
        <v>93.5</v>
      </c>
      <c r="I8" s="235">
        <f t="shared" si="0"/>
        <v>93.5</v>
      </c>
      <c r="J8" s="235">
        <f t="shared" si="0"/>
        <v>93.5</v>
      </c>
      <c r="K8" s="235">
        <f t="shared" si="0"/>
        <v>93.5</v>
      </c>
      <c r="L8" s="235">
        <f t="shared" si="0"/>
        <v>93.5</v>
      </c>
      <c r="M8" s="235">
        <f t="shared" si="0"/>
        <v>93.5</v>
      </c>
      <c r="N8" s="235">
        <f t="shared" si="0"/>
        <v>93.5</v>
      </c>
      <c r="O8" s="235">
        <f t="shared" si="0"/>
        <v>93.5</v>
      </c>
      <c r="P8" s="235">
        <f t="shared" si="0"/>
        <v>93.5</v>
      </c>
      <c r="Q8" s="235">
        <f t="shared" si="0"/>
        <v>93.5</v>
      </c>
      <c r="R8" s="235">
        <f t="shared" si="0"/>
        <v>93.5</v>
      </c>
      <c r="S8" s="235">
        <f t="shared" si="0"/>
        <v>93.5</v>
      </c>
      <c r="T8" s="235">
        <f t="shared" si="0"/>
        <v>93.5</v>
      </c>
      <c r="U8" s="235">
        <f t="shared" si="0"/>
        <v>93.5</v>
      </c>
      <c r="V8" s="235">
        <f t="shared" si="0"/>
        <v>93.5</v>
      </c>
      <c r="W8" s="235">
        <f t="shared" si="0"/>
        <v>93.5</v>
      </c>
      <c r="X8" s="235">
        <f t="shared" si="0"/>
        <v>93.5</v>
      </c>
    </row>
    <row r="9" spans="1:25">
      <c r="B9" s="339" t="s">
        <v>471</v>
      </c>
      <c r="C9" s="235" t="s">
        <v>432</v>
      </c>
      <c r="D9" s="344">
        <v>8493.2900000000009</v>
      </c>
      <c r="E9" s="344">
        <v>8912.4797197530861</v>
      </c>
      <c r="F9" s="344">
        <v>8912.4797197530861</v>
      </c>
      <c r="G9" s="344">
        <v>8912.4797197530861</v>
      </c>
      <c r="H9" s="344">
        <v>8912.4797197530861</v>
      </c>
      <c r="I9" s="344">
        <v>8912.4797197530861</v>
      </c>
      <c r="J9" s="344">
        <v>8912.4797197530861</v>
      </c>
      <c r="K9" s="344">
        <v>9725.0609697530854</v>
      </c>
      <c r="L9" s="344">
        <v>9725.0609697530854</v>
      </c>
      <c r="M9" s="344">
        <v>9725.0609697530854</v>
      </c>
      <c r="N9" s="344">
        <v>9725.0609697530854</v>
      </c>
      <c r="O9" s="344">
        <v>9725.0609697530854</v>
      </c>
      <c r="P9" s="344">
        <v>10537.642219753086</v>
      </c>
      <c r="Q9" s="344">
        <v>10537.642219753086</v>
      </c>
      <c r="R9" s="344">
        <v>10537.642219753086</v>
      </c>
      <c r="S9" s="344">
        <v>10537.642219753086</v>
      </c>
      <c r="T9" s="344">
        <v>10537.642219753086</v>
      </c>
      <c r="U9" s="344">
        <v>10537.642219753086</v>
      </c>
      <c r="V9" s="344">
        <v>10537.642219753086</v>
      </c>
      <c r="W9" s="344">
        <v>10537.642219753086</v>
      </c>
      <c r="X9" s="344">
        <v>10537.642219753086</v>
      </c>
    </row>
    <row r="10" spans="1:25">
      <c r="B10" s="339" t="s">
        <v>474</v>
      </c>
      <c r="C10" s="235" t="s">
        <v>478</v>
      </c>
      <c r="D10" s="344">
        <v>1944.721</v>
      </c>
      <c r="E10" s="344">
        <v>2307.6469999999999</v>
      </c>
      <c r="F10" s="344">
        <v>2565.9659999999999</v>
      </c>
      <c r="G10" s="344">
        <v>2565.9659999999999</v>
      </c>
      <c r="H10" s="344">
        <v>2565.9659999999999</v>
      </c>
      <c r="I10" s="344">
        <v>2565.9659999999999</v>
      </c>
      <c r="J10" s="344">
        <v>2565.9659999999999</v>
      </c>
      <c r="K10" s="344">
        <v>2565.9659999999999</v>
      </c>
      <c r="L10" s="344">
        <v>2565.9659999999999</v>
      </c>
      <c r="M10" s="344">
        <v>2565.9659999999999</v>
      </c>
      <c r="N10" s="344">
        <v>2565.9659999999999</v>
      </c>
      <c r="O10" s="344">
        <v>2565.9659999999999</v>
      </c>
      <c r="P10" s="344">
        <v>2565.9659999999999</v>
      </c>
      <c r="Q10" s="344">
        <v>2565.9659999999999</v>
      </c>
      <c r="R10" s="344">
        <v>2565.9659999999999</v>
      </c>
      <c r="S10" s="344">
        <v>2565.9659999999999</v>
      </c>
      <c r="T10" s="344">
        <v>2565.9659999999999</v>
      </c>
      <c r="U10" s="344">
        <v>2565.9659999999999</v>
      </c>
      <c r="V10" s="344">
        <v>2565.9659999999999</v>
      </c>
      <c r="W10" s="344">
        <v>2565.9659999999999</v>
      </c>
      <c r="X10" s="344">
        <v>2565.9659999999999</v>
      </c>
    </row>
    <row r="11" spans="1:25">
      <c r="B11" s="339" t="s">
        <v>475</v>
      </c>
      <c r="C11" s="235" t="s">
        <v>478</v>
      </c>
      <c r="D11" s="344">
        <v>405.875</v>
      </c>
      <c r="E11" s="344">
        <v>419.48</v>
      </c>
      <c r="F11" s="344">
        <v>419.48</v>
      </c>
      <c r="G11" s="344">
        <v>419.48</v>
      </c>
      <c r="H11" s="344">
        <v>419.48</v>
      </c>
      <c r="I11" s="344">
        <v>419.48</v>
      </c>
      <c r="J11" s="344">
        <v>419.48</v>
      </c>
      <c r="K11" s="344">
        <v>419.48</v>
      </c>
      <c r="L11" s="344">
        <v>419.48</v>
      </c>
      <c r="M11" s="344">
        <v>419.48</v>
      </c>
      <c r="N11" s="344">
        <v>419.48</v>
      </c>
      <c r="O11" s="344">
        <v>419.48</v>
      </c>
      <c r="P11" s="344">
        <v>419.48</v>
      </c>
      <c r="Q11" s="344">
        <v>419.48</v>
      </c>
      <c r="R11" s="344">
        <v>419.48</v>
      </c>
      <c r="S11" s="344">
        <v>419.48</v>
      </c>
      <c r="T11" s="344">
        <v>419.48</v>
      </c>
      <c r="U11" s="344">
        <v>419.48</v>
      </c>
      <c r="V11" s="344">
        <v>419.48</v>
      </c>
      <c r="W11" s="344">
        <v>419.48</v>
      </c>
      <c r="X11" s="344">
        <v>419.48</v>
      </c>
    </row>
    <row r="12" spans="1:25">
      <c r="B12" s="464" t="s">
        <v>476</v>
      </c>
      <c r="C12" s="465" t="s">
        <v>478</v>
      </c>
      <c r="D12" s="466">
        <v>438.12599999999998</v>
      </c>
      <c r="E12" s="466">
        <v>459.46</v>
      </c>
      <c r="F12" s="466">
        <v>459.46</v>
      </c>
      <c r="G12" s="466">
        <v>459.46</v>
      </c>
      <c r="H12" s="466">
        <v>459.46</v>
      </c>
      <c r="I12" s="466">
        <v>459.46</v>
      </c>
      <c r="J12" s="466">
        <v>459.46</v>
      </c>
      <c r="K12" s="466">
        <v>459.46</v>
      </c>
      <c r="L12" s="466">
        <v>459.46</v>
      </c>
      <c r="M12" s="466">
        <v>459.46</v>
      </c>
      <c r="N12" s="466">
        <v>459.46</v>
      </c>
      <c r="O12" s="466">
        <v>459.46</v>
      </c>
      <c r="P12" s="466">
        <v>459.46</v>
      </c>
      <c r="Q12" s="466">
        <v>459.46</v>
      </c>
      <c r="R12" s="466">
        <v>459.46</v>
      </c>
      <c r="S12" s="466">
        <v>459.46</v>
      </c>
      <c r="T12" s="466">
        <v>459.46</v>
      </c>
      <c r="U12" s="466">
        <v>459.46</v>
      </c>
      <c r="V12" s="466">
        <v>459.46</v>
      </c>
      <c r="W12" s="466">
        <v>459.46</v>
      </c>
      <c r="X12" s="466">
        <v>459.46</v>
      </c>
    </row>
    <row r="13" spans="1:25">
      <c r="B13" s="340" t="s">
        <v>480</v>
      </c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336"/>
      <c r="X13" s="336"/>
    </row>
    <row r="14" spans="1:25">
      <c r="B14" s="339" t="s">
        <v>472</v>
      </c>
      <c r="C14" s="235" t="s">
        <v>432</v>
      </c>
      <c r="D14" s="235">
        <v>4235.3999999999996</v>
      </c>
      <c r="E14" s="235">
        <v>4594.2049808429119</v>
      </c>
      <c r="F14" s="235">
        <v>4594.2049808429119</v>
      </c>
      <c r="G14" s="235">
        <v>4594.2049808429119</v>
      </c>
      <c r="H14" s="235">
        <v>4594.2049808429119</v>
      </c>
      <c r="I14" s="235">
        <v>4594.2049808429119</v>
      </c>
      <c r="J14" s="235">
        <v>4594.2049808429119</v>
      </c>
      <c r="K14" s="235">
        <v>4691.9540229885051</v>
      </c>
      <c r="L14" s="235">
        <v>4691.9540229885051</v>
      </c>
      <c r="M14" s="235">
        <v>4691.9540229885051</v>
      </c>
      <c r="N14" s="235">
        <v>4691.9540229885051</v>
      </c>
      <c r="O14" s="235">
        <v>4691.9540229885051</v>
      </c>
      <c r="P14" s="235">
        <v>5082.9501915708806</v>
      </c>
      <c r="Q14" s="235">
        <v>5083.9501915708797</v>
      </c>
      <c r="R14" s="235">
        <v>5084.9501915708797</v>
      </c>
      <c r="S14" s="235">
        <v>5085.9501915708797</v>
      </c>
      <c r="T14" s="235">
        <v>5086.9501915708797</v>
      </c>
      <c r="U14" s="235">
        <v>5087.9501915708797</v>
      </c>
      <c r="V14" s="235">
        <v>5088.9501915708797</v>
      </c>
      <c r="W14" s="235">
        <v>5089.9501915708797</v>
      </c>
      <c r="X14" s="235">
        <v>5090.9501915708797</v>
      </c>
    </row>
    <row r="15" spans="1:25">
      <c r="B15" s="339" t="s">
        <v>473</v>
      </c>
      <c r="C15" s="235" t="s">
        <v>432</v>
      </c>
      <c r="D15" s="235">
        <v>631</v>
      </c>
      <c r="E15" s="235">
        <v>700</v>
      </c>
      <c r="F15" s="235">
        <v>788</v>
      </c>
      <c r="G15" s="235">
        <v>788</v>
      </c>
      <c r="H15" s="235">
        <v>788</v>
      </c>
      <c r="I15" s="235">
        <v>788</v>
      </c>
      <c r="J15" s="235">
        <v>788</v>
      </c>
      <c r="K15" s="235">
        <v>788</v>
      </c>
      <c r="L15" s="235">
        <v>788</v>
      </c>
      <c r="M15" s="235">
        <v>788</v>
      </c>
      <c r="N15" s="235">
        <v>788</v>
      </c>
      <c r="O15" s="235">
        <v>788</v>
      </c>
      <c r="P15" s="235">
        <v>788</v>
      </c>
      <c r="Q15" s="235">
        <v>788</v>
      </c>
      <c r="R15" s="235">
        <v>788</v>
      </c>
      <c r="S15" s="235">
        <v>788</v>
      </c>
      <c r="T15" s="235">
        <v>788</v>
      </c>
      <c r="U15" s="235">
        <v>788</v>
      </c>
      <c r="V15" s="235">
        <v>788</v>
      </c>
      <c r="W15" s="235">
        <v>788</v>
      </c>
      <c r="X15" s="235">
        <v>788</v>
      </c>
    </row>
    <row r="16" spans="1:25">
      <c r="B16" s="339" t="s">
        <v>481</v>
      </c>
      <c r="C16" s="235" t="s">
        <v>454</v>
      </c>
      <c r="D16" s="343">
        <v>0.2</v>
      </c>
      <c r="E16" s="343">
        <v>0.2</v>
      </c>
      <c r="F16" s="343">
        <v>0.2</v>
      </c>
      <c r="G16" s="343">
        <v>0.2</v>
      </c>
      <c r="H16" s="343">
        <v>0.2</v>
      </c>
      <c r="I16" s="343">
        <v>0.2</v>
      </c>
      <c r="J16" s="343">
        <v>0.2</v>
      </c>
      <c r="K16" s="343">
        <v>0.2</v>
      </c>
      <c r="L16" s="343">
        <v>0.2</v>
      </c>
      <c r="M16" s="343">
        <v>0.2</v>
      </c>
      <c r="N16" s="343">
        <v>0.2</v>
      </c>
      <c r="O16" s="343">
        <v>0.2</v>
      </c>
      <c r="P16" s="343">
        <v>0.2</v>
      </c>
      <c r="Q16" s="343">
        <v>0.2</v>
      </c>
      <c r="R16" s="343">
        <v>0.2</v>
      </c>
      <c r="S16" s="343">
        <v>0.2</v>
      </c>
      <c r="T16" s="343">
        <v>0.2</v>
      </c>
      <c r="U16" s="343">
        <v>0.2</v>
      </c>
      <c r="V16" s="343">
        <v>0.2</v>
      </c>
      <c r="W16" s="343">
        <v>0.2</v>
      </c>
      <c r="X16" s="343">
        <v>0.2</v>
      </c>
    </row>
    <row r="17" spans="2:24">
      <c r="B17" s="339" t="s">
        <v>482</v>
      </c>
      <c r="C17" s="235" t="s">
        <v>454</v>
      </c>
      <c r="D17" s="345">
        <v>2.1999999999999999E-2</v>
      </c>
      <c r="E17" s="345">
        <v>2.1999999999999999E-2</v>
      </c>
      <c r="F17" s="345">
        <v>2.1999999999999999E-2</v>
      </c>
      <c r="G17" s="345">
        <v>2.1999999999999999E-2</v>
      </c>
      <c r="H17" s="345">
        <v>2.1999999999999999E-2</v>
      </c>
      <c r="I17" s="345">
        <v>2.1999999999999999E-2</v>
      </c>
      <c r="J17" s="345">
        <v>2.1999999999999999E-2</v>
      </c>
      <c r="K17" s="345">
        <v>2.1999999999999999E-2</v>
      </c>
      <c r="L17" s="345">
        <v>2.1999999999999999E-2</v>
      </c>
      <c r="M17" s="345">
        <v>2.1999999999999999E-2</v>
      </c>
      <c r="N17" s="345">
        <v>2.1999999999999999E-2</v>
      </c>
      <c r="O17" s="345">
        <v>2.1999999999999999E-2</v>
      </c>
      <c r="P17" s="345">
        <v>2.1999999999999999E-2</v>
      </c>
      <c r="Q17" s="345">
        <v>2.1999999999999999E-2</v>
      </c>
      <c r="R17" s="345">
        <v>2.1999999999999999E-2</v>
      </c>
      <c r="S17" s="345">
        <v>2.1999999999999999E-2</v>
      </c>
      <c r="T17" s="345">
        <v>2.1999999999999999E-2</v>
      </c>
      <c r="U17" s="345">
        <v>2.1999999999999999E-2</v>
      </c>
      <c r="V17" s="345">
        <v>2.1999999999999999E-2</v>
      </c>
      <c r="W17" s="345">
        <v>2.1999999999999999E-2</v>
      </c>
      <c r="X17" s="345">
        <v>2.1999999999999999E-2</v>
      </c>
    </row>
    <row r="18" spans="2:24">
      <c r="B18" s="340" t="s">
        <v>484</v>
      </c>
      <c r="C18" s="336"/>
      <c r="D18" s="336"/>
      <c r="E18" s="336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</row>
    <row r="19" spans="2:24">
      <c r="B19" s="339" t="s">
        <v>485</v>
      </c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</row>
    <row r="20" spans="2:24">
      <c r="B20" s="341" t="s">
        <v>486</v>
      </c>
      <c r="C20" s="235" t="s">
        <v>454</v>
      </c>
      <c r="D20" s="343">
        <v>0.14117647058823529</v>
      </c>
      <c r="E20" s="343">
        <f>D20</f>
        <v>0.14117647058823529</v>
      </c>
      <c r="F20" s="343">
        <f t="shared" ref="F20:X20" si="1">E20</f>
        <v>0.14117647058823529</v>
      </c>
      <c r="G20" s="343">
        <f t="shared" si="1"/>
        <v>0.14117647058823529</v>
      </c>
      <c r="H20" s="343">
        <f t="shared" si="1"/>
        <v>0.14117647058823529</v>
      </c>
      <c r="I20" s="343">
        <f t="shared" si="1"/>
        <v>0.14117647058823529</v>
      </c>
      <c r="J20" s="343">
        <f t="shared" si="1"/>
        <v>0.14117647058823529</v>
      </c>
      <c r="K20" s="343">
        <f t="shared" si="1"/>
        <v>0.14117647058823529</v>
      </c>
      <c r="L20" s="343">
        <f t="shared" si="1"/>
        <v>0.14117647058823529</v>
      </c>
      <c r="M20" s="343">
        <f t="shared" si="1"/>
        <v>0.14117647058823529</v>
      </c>
      <c r="N20" s="343">
        <f t="shared" si="1"/>
        <v>0.14117647058823529</v>
      </c>
      <c r="O20" s="343">
        <f t="shared" si="1"/>
        <v>0.14117647058823529</v>
      </c>
      <c r="P20" s="343">
        <f t="shared" si="1"/>
        <v>0.14117647058823529</v>
      </c>
      <c r="Q20" s="343">
        <f t="shared" si="1"/>
        <v>0.14117647058823529</v>
      </c>
      <c r="R20" s="343">
        <f t="shared" si="1"/>
        <v>0.14117647058823529</v>
      </c>
      <c r="S20" s="343">
        <f t="shared" si="1"/>
        <v>0.14117647058823529</v>
      </c>
      <c r="T20" s="343">
        <f t="shared" si="1"/>
        <v>0.14117647058823529</v>
      </c>
      <c r="U20" s="343">
        <f t="shared" si="1"/>
        <v>0.14117647058823529</v>
      </c>
      <c r="V20" s="343">
        <f t="shared" si="1"/>
        <v>0.14117647058823529</v>
      </c>
      <c r="W20" s="343">
        <f t="shared" si="1"/>
        <v>0.14117647058823529</v>
      </c>
      <c r="X20" s="343">
        <f t="shared" si="1"/>
        <v>0.14117647058823529</v>
      </c>
    </row>
    <row r="21" spans="2:24" ht="30">
      <c r="B21" s="341" t="s">
        <v>487</v>
      </c>
      <c r="C21" s="235" t="s">
        <v>454</v>
      </c>
      <c r="D21" s="343">
        <v>0.1</v>
      </c>
      <c r="E21" s="343">
        <f>D21</f>
        <v>0.1</v>
      </c>
      <c r="F21" s="343">
        <f t="shared" ref="F21:X21" si="2">E21</f>
        <v>0.1</v>
      </c>
      <c r="G21" s="343">
        <f t="shared" si="2"/>
        <v>0.1</v>
      </c>
      <c r="H21" s="343">
        <f t="shared" si="2"/>
        <v>0.1</v>
      </c>
      <c r="I21" s="343">
        <f t="shared" si="2"/>
        <v>0.1</v>
      </c>
      <c r="J21" s="343">
        <f t="shared" si="2"/>
        <v>0.1</v>
      </c>
      <c r="K21" s="343">
        <f t="shared" si="2"/>
        <v>0.1</v>
      </c>
      <c r="L21" s="343">
        <f t="shared" si="2"/>
        <v>0.1</v>
      </c>
      <c r="M21" s="343">
        <f t="shared" si="2"/>
        <v>0.1</v>
      </c>
      <c r="N21" s="343">
        <f t="shared" si="2"/>
        <v>0.1</v>
      </c>
      <c r="O21" s="343">
        <f t="shared" si="2"/>
        <v>0.1</v>
      </c>
      <c r="P21" s="343">
        <f t="shared" si="2"/>
        <v>0.1</v>
      </c>
      <c r="Q21" s="343">
        <f t="shared" si="2"/>
        <v>0.1</v>
      </c>
      <c r="R21" s="343">
        <f t="shared" si="2"/>
        <v>0.1</v>
      </c>
      <c r="S21" s="343">
        <f t="shared" si="2"/>
        <v>0.1</v>
      </c>
      <c r="T21" s="343">
        <f t="shared" si="2"/>
        <v>0.1</v>
      </c>
      <c r="U21" s="343">
        <f t="shared" si="2"/>
        <v>0.1</v>
      </c>
      <c r="V21" s="343">
        <f t="shared" si="2"/>
        <v>0.1</v>
      </c>
      <c r="W21" s="343">
        <f t="shared" si="2"/>
        <v>0.1</v>
      </c>
      <c r="X21" s="343">
        <f t="shared" si="2"/>
        <v>0.1</v>
      </c>
    </row>
    <row r="22" spans="2:24">
      <c r="B22" s="341" t="s">
        <v>488</v>
      </c>
      <c r="C22" s="235" t="s">
        <v>454</v>
      </c>
      <c r="D22" s="343">
        <v>0.25</v>
      </c>
      <c r="E22" s="343">
        <f>D22</f>
        <v>0.25</v>
      </c>
      <c r="F22" s="343">
        <f t="shared" ref="F22:X22" si="3">E22</f>
        <v>0.25</v>
      </c>
      <c r="G22" s="343">
        <f t="shared" si="3"/>
        <v>0.25</v>
      </c>
      <c r="H22" s="343">
        <f t="shared" si="3"/>
        <v>0.25</v>
      </c>
      <c r="I22" s="343">
        <f t="shared" si="3"/>
        <v>0.25</v>
      </c>
      <c r="J22" s="343">
        <f t="shared" si="3"/>
        <v>0.25</v>
      </c>
      <c r="K22" s="343">
        <f t="shared" si="3"/>
        <v>0.25</v>
      </c>
      <c r="L22" s="343">
        <f t="shared" si="3"/>
        <v>0.25</v>
      </c>
      <c r="M22" s="343">
        <f t="shared" si="3"/>
        <v>0.25</v>
      </c>
      <c r="N22" s="343">
        <f t="shared" si="3"/>
        <v>0.25</v>
      </c>
      <c r="O22" s="343">
        <f t="shared" si="3"/>
        <v>0.25</v>
      </c>
      <c r="P22" s="343">
        <f t="shared" si="3"/>
        <v>0.25</v>
      </c>
      <c r="Q22" s="343">
        <f t="shared" si="3"/>
        <v>0.25</v>
      </c>
      <c r="R22" s="343">
        <f t="shared" si="3"/>
        <v>0.25</v>
      </c>
      <c r="S22" s="343">
        <f t="shared" si="3"/>
        <v>0.25</v>
      </c>
      <c r="T22" s="343">
        <f t="shared" si="3"/>
        <v>0.25</v>
      </c>
      <c r="U22" s="343">
        <f t="shared" si="3"/>
        <v>0.25</v>
      </c>
      <c r="V22" s="343">
        <f t="shared" si="3"/>
        <v>0.25</v>
      </c>
      <c r="W22" s="343">
        <f t="shared" si="3"/>
        <v>0.25</v>
      </c>
      <c r="X22" s="343">
        <f t="shared" si="3"/>
        <v>0.25</v>
      </c>
    </row>
    <row r="23" spans="2:24">
      <c r="B23" s="340" t="s">
        <v>491</v>
      </c>
      <c r="C23" s="336"/>
      <c r="D23" s="336"/>
      <c r="E23" s="336"/>
      <c r="F23" s="336"/>
      <c r="G23" s="336"/>
      <c r="H23" s="336"/>
      <c r="I23" s="336"/>
      <c r="J23" s="336"/>
      <c r="K23" s="336"/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</row>
    <row r="24" spans="2:24">
      <c r="B24" s="339" t="s">
        <v>477</v>
      </c>
      <c r="C24" s="235" t="s">
        <v>479</v>
      </c>
      <c r="D24" s="235">
        <v>32</v>
      </c>
      <c r="E24" s="235">
        <v>32.5</v>
      </c>
      <c r="F24" s="235">
        <v>32.5</v>
      </c>
      <c r="G24" s="235">
        <v>32.5</v>
      </c>
      <c r="H24" s="235">
        <v>32.5</v>
      </c>
      <c r="I24" s="235">
        <v>32.5</v>
      </c>
      <c r="J24" s="235">
        <v>32.5</v>
      </c>
      <c r="K24" s="235">
        <v>32.5</v>
      </c>
      <c r="L24" s="235">
        <v>32.5</v>
      </c>
      <c r="M24" s="235">
        <v>32.5</v>
      </c>
      <c r="N24" s="235">
        <v>32.5</v>
      </c>
      <c r="O24" s="235">
        <v>32.5</v>
      </c>
      <c r="P24" s="235">
        <v>32.5</v>
      </c>
      <c r="Q24" s="235">
        <v>32.5</v>
      </c>
      <c r="R24" s="235">
        <v>32.5</v>
      </c>
      <c r="S24" s="235">
        <v>32.5</v>
      </c>
      <c r="T24" s="235">
        <v>32.5</v>
      </c>
      <c r="U24" s="235">
        <v>32.5</v>
      </c>
      <c r="V24" s="235">
        <v>32.5</v>
      </c>
      <c r="W24" s="235">
        <v>32.5</v>
      </c>
      <c r="X24" s="235">
        <v>32.5</v>
      </c>
    </row>
    <row r="25" spans="2:24" ht="30">
      <c r="B25" s="342" t="s">
        <v>490</v>
      </c>
      <c r="C25" s="238" t="s">
        <v>417</v>
      </c>
      <c r="D25" s="238">
        <v>7.3</v>
      </c>
      <c r="E25" s="238">
        <f>D25</f>
        <v>7.3</v>
      </c>
      <c r="F25" s="238">
        <f t="shared" ref="F25:X25" si="4">E25</f>
        <v>7.3</v>
      </c>
      <c r="G25" s="238">
        <f t="shared" si="4"/>
        <v>7.3</v>
      </c>
      <c r="H25" s="238">
        <f t="shared" si="4"/>
        <v>7.3</v>
      </c>
      <c r="I25" s="238">
        <f t="shared" si="4"/>
        <v>7.3</v>
      </c>
      <c r="J25" s="238">
        <f t="shared" si="4"/>
        <v>7.3</v>
      </c>
      <c r="K25" s="238">
        <f t="shared" si="4"/>
        <v>7.3</v>
      </c>
      <c r="L25" s="238">
        <f t="shared" si="4"/>
        <v>7.3</v>
      </c>
      <c r="M25" s="238">
        <f t="shared" si="4"/>
        <v>7.3</v>
      </c>
      <c r="N25" s="238">
        <f t="shared" si="4"/>
        <v>7.3</v>
      </c>
      <c r="O25" s="238">
        <f t="shared" si="4"/>
        <v>7.3</v>
      </c>
      <c r="P25" s="238">
        <f t="shared" si="4"/>
        <v>7.3</v>
      </c>
      <c r="Q25" s="238">
        <f t="shared" si="4"/>
        <v>7.3</v>
      </c>
      <c r="R25" s="238">
        <f t="shared" si="4"/>
        <v>7.3</v>
      </c>
      <c r="S25" s="238">
        <f t="shared" si="4"/>
        <v>7.3</v>
      </c>
      <c r="T25" s="238">
        <f t="shared" si="4"/>
        <v>7.3</v>
      </c>
      <c r="U25" s="238">
        <f t="shared" si="4"/>
        <v>7.3</v>
      </c>
      <c r="V25" s="238">
        <f t="shared" si="4"/>
        <v>7.3</v>
      </c>
      <c r="W25" s="238">
        <f t="shared" si="4"/>
        <v>7.3</v>
      </c>
      <c r="X25" s="238">
        <f t="shared" si="4"/>
        <v>7.3</v>
      </c>
    </row>
    <row r="26" spans="2:24">
      <c r="B26" s="295"/>
    </row>
    <row r="27" spans="2:24">
      <c r="B27" s="295"/>
    </row>
    <row r="28" spans="2:24">
      <c r="B28" s="29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1">
    <tabColor rgb="FF92D050"/>
  </sheetPr>
  <dimension ref="B1:Z27"/>
  <sheetViews>
    <sheetView showGridLines="0" workbookViewId="0">
      <selection activeCell="B23" sqref="B23"/>
    </sheetView>
  </sheetViews>
  <sheetFormatPr defaultRowHeight="15"/>
  <cols>
    <col min="2" max="2" width="31.28515625" bestFit="1" customWidth="1"/>
    <col min="20" max="20" width="9.140625" customWidth="1"/>
    <col min="21" max="21" width="9.7109375" customWidth="1"/>
  </cols>
  <sheetData>
    <row r="1" spans="2:23" ht="15.75" thickBot="1"/>
    <row r="2" spans="2:23" ht="15.75" thickBot="1">
      <c r="B2" s="347" t="s">
        <v>271</v>
      </c>
      <c r="C2" s="348"/>
      <c r="D2" s="588" t="s">
        <v>494</v>
      </c>
      <c r="E2" s="589"/>
      <c r="F2" s="264" t="s">
        <v>274</v>
      </c>
      <c r="U2" s="352" t="s">
        <v>492</v>
      </c>
      <c r="V2" s="353"/>
      <c r="W2" s="354"/>
    </row>
    <row r="3" spans="2:23">
      <c r="U3" s="349" t="s">
        <v>493</v>
      </c>
      <c r="V3" s="350"/>
      <c r="W3" s="351"/>
    </row>
    <row r="4" spans="2:23" ht="18.75">
      <c r="B4" s="356" t="s">
        <v>512</v>
      </c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U4" s="349" t="s">
        <v>494</v>
      </c>
      <c r="V4" s="350"/>
      <c r="W4" s="351"/>
    </row>
    <row r="5" spans="2:23" ht="15.75" thickBot="1">
      <c r="U5" s="349" t="s">
        <v>495</v>
      </c>
      <c r="V5" s="350"/>
      <c r="W5" s="351"/>
    </row>
    <row r="6" spans="2:23" ht="30">
      <c r="B6" s="357" t="s">
        <v>520</v>
      </c>
      <c r="C6" s="364" t="s">
        <v>518</v>
      </c>
      <c r="D6" s="360">
        <v>145049</v>
      </c>
      <c r="U6" s="349" t="s">
        <v>496</v>
      </c>
      <c r="V6" s="350"/>
      <c r="W6" s="351"/>
    </row>
    <row r="7" spans="2:23" ht="30">
      <c r="B7" s="358" t="s">
        <v>513</v>
      </c>
      <c r="C7" s="365" t="s">
        <v>518</v>
      </c>
      <c r="D7" s="361">
        <v>73638.619000000006</v>
      </c>
      <c r="U7" s="349" t="s">
        <v>497</v>
      </c>
      <c r="V7" s="350"/>
      <c r="W7" s="351"/>
    </row>
    <row r="8" spans="2:23" ht="30">
      <c r="B8" s="358" t="s">
        <v>514</v>
      </c>
      <c r="C8" s="365" t="s">
        <v>518</v>
      </c>
      <c r="D8" s="361">
        <v>66451</v>
      </c>
      <c r="U8" s="349" t="s">
        <v>498</v>
      </c>
      <c r="V8" s="350"/>
      <c r="W8" s="351"/>
    </row>
    <row r="9" spans="2:23">
      <c r="B9" s="358" t="s">
        <v>515</v>
      </c>
      <c r="C9" s="365" t="s">
        <v>518</v>
      </c>
      <c r="D9" s="361">
        <v>3672.7779999999993</v>
      </c>
      <c r="U9" s="349" t="s">
        <v>499</v>
      </c>
      <c r="V9" s="350"/>
      <c r="W9" s="351"/>
    </row>
    <row r="10" spans="2:23">
      <c r="B10" s="358" t="s">
        <v>516</v>
      </c>
      <c r="C10" s="365" t="s">
        <v>518</v>
      </c>
      <c r="D10" s="361">
        <v>3514.8410000000003</v>
      </c>
      <c r="U10" s="349" t="s">
        <v>500</v>
      </c>
      <c r="V10" s="350"/>
      <c r="W10" s="351"/>
    </row>
    <row r="11" spans="2:23">
      <c r="B11" s="358" t="s">
        <v>519</v>
      </c>
      <c r="C11" s="365" t="s">
        <v>454</v>
      </c>
      <c r="D11" s="362">
        <v>6.9000000000000006E-2</v>
      </c>
      <c r="U11" s="349" t="s">
        <v>501</v>
      </c>
      <c r="V11" s="350"/>
      <c r="W11" s="351"/>
    </row>
    <row r="12" spans="2:23" ht="15.75" thickBot="1">
      <c r="B12" s="359" t="s">
        <v>517</v>
      </c>
      <c r="C12" s="366"/>
      <c r="D12" s="363">
        <v>37972</v>
      </c>
      <c r="U12" s="349" t="s">
        <v>502</v>
      </c>
      <c r="V12" s="350"/>
      <c r="W12" s="351"/>
    </row>
    <row r="13" spans="2:23" ht="46.5" customHeight="1">
      <c r="B13" s="590" t="s">
        <v>521</v>
      </c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0"/>
      <c r="N13" s="590"/>
      <c r="O13" s="590"/>
      <c r="P13" s="590"/>
      <c r="Q13" s="590"/>
      <c r="R13" s="590"/>
      <c r="U13" s="349" t="s">
        <v>503</v>
      </c>
      <c r="V13" s="350"/>
      <c r="W13" s="351"/>
    </row>
    <row r="14" spans="2:23">
      <c r="B14" s="590" t="s">
        <v>522</v>
      </c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0"/>
      <c r="N14" s="590"/>
      <c r="O14" s="590"/>
      <c r="P14" s="590"/>
      <c r="Q14" s="590"/>
      <c r="R14" s="590"/>
      <c r="U14" s="349" t="s">
        <v>504</v>
      </c>
      <c r="V14" s="350"/>
      <c r="W14" s="351"/>
    </row>
    <row r="15" spans="2:23">
      <c r="U15" s="349" t="s">
        <v>505</v>
      </c>
      <c r="V15" s="350"/>
      <c r="W15" s="351"/>
    </row>
    <row r="16" spans="2:23" ht="18.75">
      <c r="B16" s="356" t="s">
        <v>523</v>
      </c>
      <c r="C16" s="355"/>
      <c r="D16" s="355"/>
      <c r="E16" s="355"/>
      <c r="F16" s="355"/>
      <c r="G16" s="355"/>
      <c r="H16" s="355"/>
      <c r="I16" s="355"/>
      <c r="J16" s="355"/>
      <c r="K16" s="355"/>
      <c r="L16" s="355"/>
      <c r="M16" s="355"/>
      <c r="N16" s="355"/>
      <c r="O16" s="355"/>
      <c r="P16" s="355"/>
      <c r="Q16" s="355"/>
      <c r="R16" s="355"/>
      <c r="S16" s="355"/>
      <c r="U16" s="349" t="s">
        <v>506</v>
      </c>
      <c r="V16" s="350"/>
      <c r="W16" s="351"/>
    </row>
    <row r="17" spans="2:26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</row>
    <row r="18" spans="2:26">
      <c r="C18" s="367">
        <v>2010</v>
      </c>
      <c r="D18" s="367">
        <v>2011</v>
      </c>
      <c r="E18" s="367">
        <v>2012</v>
      </c>
      <c r="F18" s="367">
        <v>2013</v>
      </c>
      <c r="G18" s="367">
        <v>2014</v>
      </c>
      <c r="H18" s="367">
        <v>2015</v>
      </c>
      <c r="I18" s="367">
        <v>2016</v>
      </c>
      <c r="J18" s="367">
        <v>2017</v>
      </c>
      <c r="K18" s="367">
        <v>2018</v>
      </c>
      <c r="L18" s="367">
        <v>2019</v>
      </c>
      <c r="M18" s="367">
        <v>2020</v>
      </c>
      <c r="N18" s="367">
        <v>2021</v>
      </c>
      <c r="O18" s="367">
        <v>2022</v>
      </c>
      <c r="P18" s="367">
        <v>2023</v>
      </c>
      <c r="Q18" s="367">
        <v>2024</v>
      </c>
      <c r="R18" s="367">
        <v>2025</v>
      </c>
      <c r="S18" s="367">
        <v>2026</v>
      </c>
      <c r="T18" s="367">
        <v>2027</v>
      </c>
      <c r="U18" s="367">
        <v>2028</v>
      </c>
      <c r="V18" s="367">
        <v>2029</v>
      </c>
      <c r="W18" s="367">
        <v>2030</v>
      </c>
      <c r="X18" s="367">
        <v>2031</v>
      </c>
      <c r="Y18" s="367">
        <v>2032</v>
      </c>
      <c r="Z18" s="367">
        <v>2033</v>
      </c>
    </row>
    <row r="19" spans="2:26">
      <c r="B19" s="368" t="s">
        <v>507</v>
      </c>
      <c r="C19" s="330">
        <f>D6</f>
        <v>145049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>
      <c r="B20" s="368" t="s">
        <v>508</v>
      </c>
      <c r="C20" s="1"/>
      <c r="D20" s="330">
        <f>D9</f>
        <v>3672.7779999999993</v>
      </c>
      <c r="E20" s="330">
        <f>D10</f>
        <v>3514.8410000000003</v>
      </c>
      <c r="F20" s="330">
        <v>3635.2993999999999</v>
      </c>
      <c r="G20" s="330">
        <v>3460.5499999999997</v>
      </c>
      <c r="H20" s="330">
        <v>3339.55</v>
      </c>
      <c r="I20" s="330">
        <v>3248.46</v>
      </c>
      <c r="J20" s="330">
        <v>3197.2400000000002</v>
      </c>
      <c r="K20" s="330">
        <v>3083.7199999999993</v>
      </c>
      <c r="L20" s="330">
        <v>2964.64</v>
      </c>
      <c r="M20" s="330">
        <v>2847.4800000000005</v>
      </c>
      <c r="N20" s="330">
        <v>2719.41</v>
      </c>
      <c r="O20" s="330">
        <v>2605.8599999999997</v>
      </c>
      <c r="P20" s="330">
        <v>2512.3200000000002</v>
      </c>
      <c r="Q20" s="330">
        <v>2435.23</v>
      </c>
      <c r="R20" s="330">
        <v>2353.94</v>
      </c>
      <c r="S20" s="330">
        <v>2297.0700000000002</v>
      </c>
      <c r="T20" s="330">
        <v>2255.3500000000004</v>
      </c>
      <c r="U20" s="330">
        <v>2224.1099999999997</v>
      </c>
      <c r="V20" s="330">
        <v>2188.3300000000004</v>
      </c>
      <c r="W20" s="330">
        <v>2163.6799999999998</v>
      </c>
      <c r="X20" s="330">
        <v>2140.0300000000002</v>
      </c>
      <c r="Y20" s="330">
        <v>2122.96</v>
      </c>
      <c r="Z20" s="330">
        <v>2093.4900000000002</v>
      </c>
    </row>
    <row r="21" spans="2:26">
      <c r="B21" s="368" t="s">
        <v>509</v>
      </c>
      <c r="C21" s="330">
        <f>D8</f>
        <v>66451</v>
      </c>
      <c r="D21" s="330">
        <f>C21+D20</f>
        <v>70123.778000000006</v>
      </c>
      <c r="E21" s="330">
        <f t="shared" ref="E21:Z21" si="0">D21+E20</f>
        <v>73638.619000000006</v>
      </c>
      <c r="F21" s="330">
        <f t="shared" si="0"/>
        <v>77273.91840000001</v>
      </c>
      <c r="G21" s="330">
        <f t="shared" si="0"/>
        <v>80734.468400000012</v>
      </c>
      <c r="H21" s="330">
        <f t="shared" si="0"/>
        <v>84074.018400000015</v>
      </c>
      <c r="I21" s="330">
        <f t="shared" si="0"/>
        <v>87322.478400000022</v>
      </c>
      <c r="J21" s="330">
        <f t="shared" si="0"/>
        <v>90519.718400000027</v>
      </c>
      <c r="K21" s="330">
        <f t="shared" si="0"/>
        <v>93603.438400000028</v>
      </c>
      <c r="L21" s="330">
        <f t="shared" si="0"/>
        <v>96568.078400000028</v>
      </c>
      <c r="M21" s="330">
        <f t="shared" si="0"/>
        <v>99415.558400000024</v>
      </c>
      <c r="N21" s="330">
        <f t="shared" si="0"/>
        <v>102134.96840000003</v>
      </c>
      <c r="O21" s="330">
        <f t="shared" si="0"/>
        <v>104740.82840000003</v>
      </c>
      <c r="P21" s="330">
        <f t="shared" si="0"/>
        <v>107253.14840000003</v>
      </c>
      <c r="Q21" s="330">
        <f t="shared" si="0"/>
        <v>109688.37840000003</v>
      </c>
      <c r="R21" s="330">
        <f t="shared" si="0"/>
        <v>112042.31840000003</v>
      </c>
      <c r="S21" s="330">
        <f t="shared" si="0"/>
        <v>114339.38840000004</v>
      </c>
      <c r="T21" s="330">
        <f t="shared" si="0"/>
        <v>116594.73840000005</v>
      </c>
      <c r="U21" s="330">
        <f t="shared" si="0"/>
        <v>118818.84840000005</v>
      </c>
      <c r="V21" s="330">
        <f t="shared" si="0"/>
        <v>121007.17840000005</v>
      </c>
      <c r="W21" s="330">
        <f t="shared" si="0"/>
        <v>123170.85840000004</v>
      </c>
      <c r="X21" s="330">
        <f t="shared" si="0"/>
        <v>125310.88840000004</v>
      </c>
      <c r="Y21" s="330">
        <f t="shared" si="0"/>
        <v>127433.84840000005</v>
      </c>
      <c r="Z21" s="330">
        <f t="shared" si="0"/>
        <v>129527.33840000005</v>
      </c>
    </row>
    <row r="22" spans="2:26">
      <c r="B22" s="368" t="s">
        <v>510</v>
      </c>
      <c r="C22" s="369">
        <f>C21/$C$19</f>
        <v>0.45812794297099602</v>
      </c>
      <c r="D22" s="369">
        <f t="shared" ref="D22:Z22" si="1">D21/$C$19</f>
        <v>0.48344888968555455</v>
      </c>
      <c r="E22" s="369">
        <f t="shared" si="1"/>
        <v>0.50768098366758818</v>
      </c>
      <c r="F22" s="369">
        <f t="shared" si="1"/>
        <v>0.53274354459527473</v>
      </c>
      <c r="G22" s="369">
        <f t="shared" si="1"/>
        <v>0.55660134437328079</v>
      </c>
      <c r="H22" s="369">
        <f t="shared" si="1"/>
        <v>0.57962494329502456</v>
      </c>
      <c r="I22" s="369">
        <f t="shared" si="1"/>
        <v>0.60202054753910761</v>
      </c>
      <c r="J22" s="369">
        <f t="shared" si="1"/>
        <v>0.62406302973477945</v>
      </c>
      <c r="K22" s="369">
        <f t="shared" si="1"/>
        <v>0.64532287985439418</v>
      </c>
      <c r="L22" s="369">
        <f t="shared" si="1"/>
        <v>0.66576176602389558</v>
      </c>
      <c r="M22" s="369">
        <f t="shared" si="1"/>
        <v>0.6853929251494324</v>
      </c>
      <c r="N22" s="369">
        <f t="shared" si="1"/>
        <v>0.70414114126950222</v>
      </c>
      <c r="O22" s="369">
        <f t="shared" si="1"/>
        <v>0.72210651848685636</v>
      </c>
      <c r="P22" s="369">
        <f t="shared" si="1"/>
        <v>0.73942701018276602</v>
      </c>
      <c r="Q22" s="369">
        <f t="shared" si="1"/>
        <v>0.75621602630835116</v>
      </c>
      <c r="R22" s="369">
        <f t="shared" si="1"/>
        <v>0.77244461113141094</v>
      </c>
      <c r="S22" s="369">
        <f t="shared" si="1"/>
        <v>0.78828112155202756</v>
      </c>
      <c r="T22" s="369">
        <f t="shared" si="1"/>
        <v>0.80383000503278235</v>
      </c>
      <c r="U22" s="369">
        <f t="shared" si="1"/>
        <v>0.81916351301973844</v>
      </c>
      <c r="V22" s="369">
        <f t="shared" si="1"/>
        <v>0.83425034574523127</v>
      </c>
      <c r="W22" s="369">
        <f t="shared" si="1"/>
        <v>0.84916723589959286</v>
      </c>
      <c r="X22" s="369">
        <f t="shared" si="1"/>
        <v>0.86392107770477589</v>
      </c>
      <c r="Y22" s="369">
        <f t="shared" si="1"/>
        <v>0.87855723514122841</v>
      </c>
      <c r="Z22" s="369">
        <f t="shared" si="1"/>
        <v>0.89299021985673843</v>
      </c>
    </row>
    <row r="23" spans="2:26">
      <c r="B23" s="368" t="s">
        <v>511</v>
      </c>
      <c r="C23" s="370">
        <f>IF(C22&gt;=0.8,(3.8-3.5*C22),1)</f>
        <v>1</v>
      </c>
      <c r="D23" s="370">
        <f t="shared" ref="D23:Z23" si="2">IF(D22&gt;=0.8,(3.8-3.5*D22),1)</f>
        <v>1</v>
      </c>
      <c r="E23" s="370">
        <f t="shared" si="2"/>
        <v>1</v>
      </c>
      <c r="F23" s="370">
        <f t="shared" si="2"/>
        <v>1</v>
      </c>
      <c r="G23" s="370">
        <f t="shared" si="2"/>
        <v>1</v>
      </c>
      <c r="H23" s="370">
        <f t="shared" si="2"/>
        <v>1</v>
      </c>
      <c r="I23" s="370">
        <f t="shared" si="2"/>
        <v>1</v>
      </c>
      <c r="J23" s="370">
        <f t="shared" si="2"/>
        <v>1</v>
      </c>
      <c r="K23" s="370">
        <f t="shared" si="2"/>
        <v>1</v>
      </c>
      <c r="L23" s="370">
        <f t="shared" si="2"/>
        <v>1</v>
      </c>
      <c r="M23" s="370">
        <f t="shared" si="2"/>
        <v>1</v>
      </c>
      <c r="N23" s="370">
        <f t="shared" si="2"/>
        <v>1</v>
      </c>
      <c r="O23" s="370">
        <f t="shared" si="2"/>
        <v>1</v>
      </c>
      <c r="P23" s="370">
        <f t="shared" si="2"/>
        <v>1</v>
      </c>
      <c r="Q23" s="370">
        <f t="shared" si="2"/>
        <v>1</v>
      </c>
      <c r="R23" s="370">
        <f t="shared" si="2"/>
        <v>1</v>
      </c>
      <c r="S23" s="370">
        <f t="shared" si="2"/>
        <v>1</v>
      </c>
      <c r="T23" s="370">
        <f t="shared" si="2"/>
        <v>0.98659498238526178</v>
      </c>
      <c r="U23" s="370">
        <f t="shared" si="2"/>
        <v>0.93292770443091522</v>
      </c>
      <c r="V23" s="370">
        <f t="shared" si="2"/>
        <v>0.88012378989169049</v>
      </c>
      <c r="W23" s="370">
        <f t="shared" si="2"/>
        <v>0.82791467435142474</v>
      </c>
      <c r="X23" s="370">
        <f t="shared" si="2"/>
        <v>0.776276228033284</v>
      </c>
      <c r="Y23" s="370">
        <f t="shared" si="2"/>
        <v>0.72504967700570022</v>
      </c>
      <c r="Z23" s="370">
        <f t="shared" si="2"/>
        <v>0.67453423050141526</v>
      </c>
    </row>
    <row r="24" spans="2:26"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  <c r="R24" s="333"/>
      <c r="S24" s="333"/>
      <c r="T24" s="333"/>
      <c r="U24" s="333"/>
      <c r="V24" s="333"/>
      <c r="W24" s="333"/>
      <c r="X24" s="333"/>
      <c r="Y24" s="333"/>
      <c r="Z24" s="333"/>
    </row>
    <row r="25" spans="2:26"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  <c r="R25" s="333"/>
      <c r="S25" s="333"/>
      <c r="T25" s="333"/>
      <c r="U25" s="333"/>
      <c r="V25" s="333"/>
      <c r="W25" s="333"/>
      <c r="X25" s="333"/>
      <c r="Y25" s="333"/>
      <c r="Z25" s="333"/>
    </row>
    <row r="26" spans="2:26">
      <c r="B26" s="371" t="s">
        <v>524</v>
      </c>
    </row>
    <row r="27" spans="2:26">
      <c r="B27" s="371" t="s">
        <v>525</v>
      </c>
    </row>
  </sheetData>
  <mergeCells count="3">
    <mergeCell ref="D2:E2"/>
    <mergeCell ref="B13:R13"/>
    <mergeCell ref="B14:R14"/>
  </mergeCells>
  <conditionalFormatting sqref="C23:Z23">
    <cfRule type="cellIs" dxfId="1" priority="1" stopIfTrue="1" operator="notEqual">
      <formula>1</formula>
    </cfRule>
  </conditionalFormatting>
  <dataValidations count="1">
    <dataValidation type="list" allowBlank="1" showInputMessage="1" showErrorMessage="1" sqref="D2:E2">
      <formula1>$U$3:$U$16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14"/>
  <dimension ref="A1:Y200"/>
  <sheetViews>
    <sheetView topLeftCell="D1" workbookViewId="0">
      <selection activeCell="D115" sqref="D115"/>
    </sheetView>
  </sheetViews>
  <sheetFormatPr defaultRowHeight="12.75" outlineLevelRow="1"/>
  <cols>
    <col min="1" max="1" width="2.7109375" style="2" customWidth="1"/>
    <col min="2" max="2" width="6.140625" style="2" bestFit="1" customWidth="1"/>
    <col min="3" max="3" width="44.85546875" style="2" customWidth="1"/>
    <col min="4" max="4" width="46.5703125" style="2" customWidth="1"/>
    <col min="5" max="5" width="16.42578125" style="3" customWidth="1"/>
    <col min="6" max="6" width="14" style="2" customWidth="1"/>
    <col min="7" max="7" width="13.42578125" style="2" customWidth="1"/>
    <col min="8" max="8" width="9.5703125" style="2" customWidth="1"/>
    <col min="9" max="10" width="11" style="2" customWidth="1"/>
    <col min="11" max="11" width="12.28515625" style="2" customWidth="1"/>
    <col min="12" max="13" width="12" style="2" customWidth="1"/>
    <col min="14" max="14" width="11.85546875" style="2" customWidth="1"/>
    <col min="15" max="15" width="13.42578125" style="2" customWidth="1"/>
    <col min="16" max="16" width="15.42578125" style="2" customWidth="1"/>
    <col min="17" max="17" width="15" style="2" customWidth="1"/>
    <col min="18" max="18" width="15.5703125" style="2" customWidth="1"/>
    <col min="19" max="20" width="15.140625" style="2" customWidth="1"/>
    <col min="21" max="21" width="12.28515625" style="2" customWidth="1"/>
    <col min="22" max="22" width="12.5703125" style="2" customWidth="1"/>
    <col min="23" max="23" width="13.85546875" style="2" customWidth="1"/>
    <col min="24" max="24" width="14.7109375" style="4" customWidth="1"/>
    <col min="25" max="25" width="10.85546875" style="2" bestFit="1" customWidth="1"/>
    <col min="26" max="256" width="9.140625" style="2"/>
    <col min="257" max="257" width="1.5703125" style="2" customWidth="1"/>
    <col min="258" max="258" width="1.7109375" style="2" customWidth="1"/>
    <col min="259" max="259" width="44.85546875" style="2" customWidth="1"/>
    <col min="260" max="260" width="46.5703125" style="2" customWidth="1"/>
    <col min="261" max="261" width="16.42578125" style="2" customWidth="1"/>
    <col min="262" max="262" width="14" style="2" customWidth="1"/>
    <col min="263" max="263" width="13.42578125" style="2" customWidth="1"/>
    <col min="264" max="264" width="9.5703125" style="2" customWidth="1"/>
    <col min="265" max="266" width="11" style="2" customWidth="1"/>
    <col min="267" max="267" width="12.28515625" style="2" customWidth="1"/>
    <col min="268" max="269" width="12" style="2" customWidth="1"/>
    <col min="270" max="270" width="11.85546875" style="2" customWidth="1"/>
    <col min="271" max="271" width="13.42578125" style="2" customWidth="1"/>
    <col min="272" max="272" width="15.42578125" style="2" customWidth="1"/>
    <col min="273" max="273" width="15" style="2" customWidth="1"/>
    <col min="274" max="274" width="15.5703125" style="2" customWidth="1"/>
    <col min="275" max="276" width="15.140625" style="2" customWidth="1"/>
    <col min="277" max="277" width="12.28515625" style="2" customWidth="1"/>
    <col min="278" max="278" width="12.5703125" style="2" customWidth="1"/>
    <col min="279" max="279" width="13.85546875" style="2" customWidth="1"/>
    <col min="280" max="280" width="14.7109375" style="2" customWidth="1"/>
    <col min="281" max="281" width="10.85546875" style="2" bestFit="1" customWidth="1"/>
    <col min="282" max="512" width="9.140625" style="2"/>
    <col min="513" max="513" width="1.5703125" style="2" customWidth="1"/>
    <col min="514" max="514" width="1.7109375" style="2" customWidth="1"/>
    <col min="515" max="515" width="44.85546875" style="2" customWidth="1"/>
    <col min="516" max="516" width="46.5703125" style="2" customWidth="1"/>
    <col min="517" max="517" width="16.42578125" style="2" customWidth="1"/>
    <col min="518" max="518" width="14" style="2" customWidth="1"/>
    <col min="519" max="519" width="13.42578125" style="2" customWidth="1"/>
    <col min="520" max="520" width="9.5703125" style="2" customWidth="1"/>
    <col min="521" max="522" width="11" style="2" customWidth="1"/>
    <col min="523" max="523" width="12.28515625" style="2" customWidth="1"/>
    <col min="524" max="525" width="12" style="2" customWidth="1"/>
    <col min="526" max="526" width="11.85546875" style="2" customWidth="1"/>
    <col min="527" max="527" width="13.42578125" style="2" customWidth="1"/>
    <col min="528" max="528" width="15.42578125" style="2" customWidth="1"/>
    <col min="529" max="529" width="15" style="2" customWidth="1"/>
    <col min="530" max="530" width="15.5703125" style="2" customWidth="1"/>
    <col min="531" max="532" width="15.140625" style="2" customWidth="1"/>
    <col min="533" max="533" width="12.28515625" style="2" customWidth="1"/>
    <col min="534" max="534" width="12.5703125" style="2" customWidth="1"/>
    <col min="535" max="535" width="13.85546875" style="2" customWidth="1"/>
    <col min="536" max="536" width="14.7109375" style="2" customWidth="1"/>
    <col min="537" max="537" width="10.85546875" style="2" bestFit="1" customWidth="1"/>
    <col min="538" max="768" width="9.140625" style="2"/>
    <col min="769" max="769" width="1.5703125" style="2" customWidth="1"/>
    <col min="770" max="770" width="1.7109375" style="2" customWidth="1"/>
    <col min="771" max="771" width="44.85546875" style="2" customWidth="1"/>
    <col min="772" max="772" width="46.5703125" style="2" customWidth="1"/>
    <col min="773" max="773" width="16.42578125" style="2" customWidth="1"/>
    <col min="774" max="774" width="14" style="2" customWidth="1"/>
    <col min="775" max="775" width="13.42578125" style="2" customWidth="1"/>
    <col min="776" max="776" width="9.5703125" style="2" customWidth="1"/>
    <col min="777" max="778" width="11" style="2" customWidth="1"/>
    <col min="779" max="779" width="12.28515625" style="2" customWidth="1"/>
    <col min="780" max="781" width="12" style="2" customWidth="1"/>
    <col min="782" max="782" width="11.85546875" style="2" customWidth="1"/>
    <col min="783" max="783" width="13.42578125" style="2" customWidth="1"/>
    <col min="784" max="784" width="15.42578125" style="2" customWidth="1"/>
    <col min="785" max="785" width="15" style="2" customWidth="1"/>
    <col min="786" max="786" width="15.5703125" style="2" customWidth="1"/>
    <col min="787" max="788" width="15.140625" style="2" customWidth="1"/>
    <col min="789" max="789" width="12.28515625" style="2" customWidth="1"/>
    <col min="790" max="790" width="12.5703125" style="2" customWidth="1"/>
    <col min="791" max="791" width="13.85546875" style="2" customWidth="1"/>
    <col min="792" max="792" width="14.7109375" style="2" customWidth="1"/>
    <col min="793" max="793" width="10.85546875" style="2" bestFit="1" customWidth="1"/>
    <col min="794" max="1024" width="9.140625" style="2"/>
    <col min="1025" max="1025" width="1.5703125" style="2" customWidth="1"/>
    <col min="1026" max="1026" width="1.7109375" style="2" customWidth="1"/>
    <col min="1027" max="1027" width="44.85546875" style="2" customWidth="1"/>
    <col min="1028" max="1028" width="46.5703125" style="2" customWidth="1"/>
    <col min="1029" max="1029" width="16.42578125" style="2" customWidth="1"/>
    <col min="1030" max="1030" width="14" style="2" customWidth="1"/>
    <col min="1031" max="1031" width="13.42578125" style="2" customWidth="1"/>
    <col min="1032" max="1032" width="9.5703125" style="2" customWidth="1"/>
    <col min="1033" max="1034" width="11" style="2" customWidth="1"/>
    <col min="1035" max="1035" width="12.28515625" style="2" customWidth="1"/>
    <col min="1036" max="1037" width="12" style="2" customWidth="1"/>
    <col min="1038" max="1038" width="11.85546875" style="2" customWidth="1"/>
    <col min="1039" max="1039" width="13.42578125" style="2" customWidth="1"/>
    <col min="1040" max="1040" width="15.42578125" style="2" customWidth="1"/>
    <col min="1041" max="1041" width="15" style="2" customWidth="1"/>
    <col min="1042" max="1042" width="15.5703125" style="2" customWidth="1"/>
    <col min="1043" max="1044" width="15.140625" style="2" customWidth="1"/>
    <col min="1045" max="1045" width="12.28515625" style="2" customWidth="1"/>
    <col min="1046" max="1046" width="12.5703125" style="2" customWidth="1"/>
    <col min="1047" max="1047" width="13.85546875" style="2" customWidth="1"/>
    <col min="1048" max="1048" width="14.7109375" style="2" customWidth="1"/>
    <col min="1049" max="1049" width="10.85546875" style="2" bestFit="1" customWidth="1"/>
    <col min="1050" max="1280" width="9.140625" style="2"/>
    <col min="1281" max="1281" width="1.5703125" style="2" customWidth="1"/>
    <col min="1282" max="1282" width="1.7109375" style="2" customWidth="1"/>
    <col min="1283" max="1283" width="44.85546875" style="2" customWidth="1"/>
    <col min="1284" max="1284" width="46.5703125" style="2" customWidth="1"/>
    <col min="1285" max="1285" width="16.42578125" style="2" customWidth="1"/>
    <col min="1286" max="1286" width="14" style="2" customWidth="1"/>
    <col min="1287" max="1287" width="13.42578125" style="2" customWidth="1"/>
    <col min="1288" max="1288" width="9.5703125" style="2" customWidth="1"/>
    <col min="1289" max="1290" width="11" style="2" customWidth="1"/>
    <col min="1291" max="1291" width="12.28515625" style="2" customWidth="1"/>
    <col min="1292" max="1293" width="12" style="2" customWidth="1"/>
    <col min="1294" max="1294" width="11.85546875" style="2" customWidth="1"/>
    <col min="1295" max="1295" width="13.42578125" style="2" customWidth="1"/>
    <col min="1296" max="1296" width="15.42578125" style="2" customWidth="1"/>
    <col min="1297" max="1297" width="15" style="2" customWidth="1"/>
    <col min="1298" max="1298" width="15.5703125" style="2" customWidth="1"/>
    <col min="1299" max="1300" width="15.140625" style="2" customWidth="1"/>
    <col min="1301" max="1301" width="12.28515625" style="2" customWidth="1"/>
    <col min="1302" max="1302" width="12.5703125" style="2" customWidth="1"/>
    <col min="1303" max="1303" width="13.85546875" style="2" customWidth="1"/>
    <col min="1304" max="1304" width="14.7109375" style="2" customWidth="1"/>
    <col min="1305" max="1305" width="10.85546875" style="2" bestFit="1" customWidth="1"/>
    <col min="1306" max="1536" width="9.140625" style="2"/>
    <col min="1537" max="1537" width="1.5703125" style="2" customWidth="1"/>
    <col min="1538" max="1538" width="1.7109375" style="2" customWidth="1"/>
    <col min="1539" max="1539" width="44.85546875" style="2" customWidth="1"/>
    <col min="1540" max="1540" width="46.5703125" style="2" customWidth="1"/>
    <col min="1541" max="1541" width="16.42578125" style="2" customWidth="1"/>
    <col min="1542" max="1542" width="14" style="2" customWidth="1"/>
    <col min="1543" max="1543" width="13.42578125" style="2" customWidth="1"/>
    <col min="1544" max="1544" width="9.5703125" style="2" customWidth="1"/>
    <col min="1545" max="1546" width="11" style="2" customWidth="1"/>
    <col min="1547" max="1547" width="12.28515625" style="2" customWidth="1"/>
    <col min="1548" max="1549" width="12" style="2" customWidth="1"/>
    <col min="1550" max="1550" width="11.85546875" style="2" customWidth="1"/>
    <col min="1551" max="1551" width="13.42578125" style="2" customWidth="1"/>
    <col min="1552" max="1552" width="15.42578125" style="2" customWidth="1"/>
    <col min="1553" max="1553" width="15" style="2" customWidth="1"/>
    <col min="1554" max="1554" width="15.5703125" style="2" customWidth="1"/>
    <col min="1555" max="1556" width="15.140625" style="2" customWidth="1"/>
    <col min="1557" max="1557" width="12.28515625" style="2" customWidth="1"/>
    <col min="1558" max="1558" width="12.5703125" style="2" customWidth="1"/>
    <col min="1559" max="1559" width="13.85546875" style="2" customWidth="1"/>
    <col min="1560" max="1560" width="14.7109375" style="2" customWidth="1"/>
    <col min="1561" max="1561" width="10.85546875" style="2" bestFit="1" customWidth="1"/>
    <col min="1562" max="1792" width="9.140625" style="2"/>
    <col min="1793" max="1793" width="1.5703125" style="2" customWidth="1"/>
    <col min="1794" max="1794" width="1.7109375" style="2" customWidth="1"/>
    <col min="1795" max="1795" width="44.85546875" style="2" customWidth="1"/>
    <col min="1796" max="1796" width="46.5703125" style="2" customWidth="1"/>
    <col min="1797" max="1797" width="16.42578125" style="2" customWidth="1"/>
    <col min="1798" max="1798" width="14" style="2" customWidth="1"/>
    <col min="1799" max="1799" width="13.42578125" style="2" customWidth="1"/>
    <col min="1800" max="1800" width="9.5703125" style="2" customWidth="1"/>
    <col min="1801" max="1802" width="11" style="2" customWidth="1"/>
    <col min="1803" max="1803" width="12.28515625" style="2" customWidth="1"/>
    <col min="1804" max="1805" width="12" style="2" customWidth="1"/>
    <col min="1806" max="1806" width="11.85546875" style="2" customWidth="1"/>
    <col min="1807" max="1807" width="13.42578125" style="2" customWidth="1"/>
    <col min="1808" max="1808" width="15.42578125" style="2" customWidth="1"/>
    <col min="1809" max="1809" width="15" style="2" customWidth="1"/>
    <col min="1810" max="1810" width="15.5703125" style="2" customWidth="1"/>
    <col min="1811" max="1812" width="15.140625" style="2" customWidth="1"/>
    <col min="1813" max="1813" width="12.28515625" style="2" customWidth="1"/>
    <col min="1814" max="1814" width="12.5703125" style="2" customWidth="1"/>
    <col min="1815" max="1815" width="13.85546875" style="2" customWidth="1"/>
    <col min="1816" max="1816" width="14.7109375" style="2" customWidth="1"/>
    <col min="1817" max="1817" width="10.85546875" style="2" bestFit="1" customWidth="1"/>
    <col min="1818" max="2048" width="9.140625" style="2"/>
    <col min="2049" max="2049" width="1.5703125" style="2" customWidth="1"/>
    <col min="2050" max="2050" width="1.7109375" style="2" customWidth="1"/>
    <col min="2051" max="2051" width="44.85546875" style="2" customWidth="1"/>
    <col min="2052" max="2052" width="46.5703125" style="2" customWidth="1"/>
    <col min="2053" max="2053" width="16.42578125" style="2" customWidth="1"/>
    <col min="2054" max="2054" width="14" style="2" customWidth="1"/>
    <col min="2055" max="2055" width="13.42578125" style="2" customWidth="1"/>
    <col min="2056" max="2056" width="9.5703125" style="2" customWidth="1"/>
    <col min="2057" max="2058" width="11" style="2" customWidth="1"/>
    <col min="2059" max="2059" width="12.28515625" style="2" customWidth="1"/>
    <col min="2060" max="2061" width="12" style="2" customWidth="1"/>
    <col min="2062" max="2062" width="11.85546875" style="2" customWidth="1"/>
    <col min="2063" max="2063" width="13.42578125" style="2" customWidth="1"/>
    <col min="2064" max="2064" width="15.42578125" style="2" customWidth="1"/>
    <col min="2065" max="2065" width="15" style="2" customWidth="1"/>
    <col min="2066" max="2066" width="15.5703125" style="2" customWidth="1"/>
    <col min="2067" max="2068" width="15.140625" style="2" customWidth="1"/>
    <col min="2069" max="2069" width="12.28515625" style="2" customWidth="1"/>
    <col min="2070" max="2070" width="12.5703125" style="2" customWidth="1"/>
    <col min="2071" max="2071" width="13.85546875" style="2" customWidth="1"/>
    <col min="2072" max="2072" width="14.7109375" style="2" customWidth="1"/>
    <col min="2073" max="2073" width="10.85546875" style="2" bestFit="1" customWidth="1"/>
    <col min="2074" max="2304" width="9.140625" style="2"/>
    <col min="2305" max="2305" width="1.5703125" style="2" customWidth="1"/>
    <col min="2306" max="2306" width="1.7109375" style="2" customWidth="1"/>
    <col min="2307" max="2307" width="44.85546875" style="2" customWidth="1"/>
    <col min="2308" max="2308" width="46.5703125" style="2" customWidth="1"/>
    <col min="2309" max="2309" width="16.42578125" style="2" customWidth="1"/>
    <col min="2310" max="2310" width="14" style="2" customWidth="1"/>
    <col min="2311" max="2311" width="13.42578125" style="2" customWidth="1"/>
    <col min="2312" max="2312" width="9.5703125" style="2" customWidth="1"/>
    <col min="2313" max="2314" width="11" style="2" customWidth="1"/>
    <col min="2315" max="2315" width="12.28515625" style="2" customWidth="1"/>
    <col min="2316" max="2317" width="12" style="2" customWidth="1"/>
    <col min="2318" max="2318" width="11.85546875" style="2" customWidth="1"/>
    <col min="2319" max="2319" width="13.42578125" style="2" customWidth="1"/>
    <col min="2320" max="2320" width="15.42578125" style="2" customWidth="1"/>
    <col min="2321" max="2321" width="15" style="2" customWidth="1"/>
    <col min="2322" max="2322" width="15.5703125" style="2" customWidth="1"/>
    <col min="2323" max="2324" width="15.140625" style="2" customWidth="1"/>
    <col min="2325" max="2325" width="12.28515625" style="2" customWidth="1"/>
    <col min="2326" max="2326" width="12.5703125" style="2" customWidth="1"/>
    <col min="2327" max="2327" width="13.85546875" style="2" customWidth="1"/>
    <col min="2328" max="2328" width="14.7109375" style="2" customWidth="1"/>
    <col min="2329" max="2329" width="10.85546875" style="2" bestFit="1" customWidth="1"/>
    <col min="2330" max="2560" width="9.140625" style="2"/>
    <col min="2561" max="2561" width="1.5703125" style="2" customWidth="1"/>
    <col min="2562" max="2562" width="1.7109375" style="2" customWidth="1"/>
    <col min="2563" max="2563" width="44.85546875" style="2" customWidth="1"/>
    <col min="2564" max="2564" width="46.5703125" style="2" customWidth="1"/>
    <col min="2565" max="2565" width="16.42578125" style="2" customWidth="1"/>
    <col min="2566" max="2566" width="14" style="2" customWidth="1"/>
    <col min="2567" max="2567" width="13.42578125" style="2" customWidth="1"/>
    <col min="2568" max="2568" width="9.5703125" style="2" customWidth="1"/>
    <col min="2569" max="2570" width="11" style="2" customWidth="1"/>
    <col min="2571" max="2571" width="12.28515625" style="2" customWidth="1"/>
    <col min="2572" max="2573" width="12" style="2" customWidth="1"/>
    <col min="2574" max="2574" width="11.85546875" style="2" customWidth="1"/>
    <col min="2575" max="2575" width="13.42578125" style="2" customWidth="1"/>
    <col min="2576" max="2576" width="15.42578125" style="2" customWidth="1"/>
    <col min="2577" max="2577" width="15" style="2" customWidth="1"/>
    <col min="2578" max="2578" width="15.5703125" style="2" customWidth="1"/>
    <col min="2579" max="2580" width="15.140625" style="2" customWidth="1"/>
    <col min="2581" max="2581" width="12.28515625" style="2" customWidth="1"/>
    <col min="2582" max="2582" width="12.5703125" style="2" customWidth="1"/>
    <col min="2583" max="2583" width="13.85546875" style="2" customWidth="1"/>
    <col min="2584" max="2584" width="14.7109375" style="2" customWidth="1"/>
    <col min="2585" max="2585" width="10.85546875" style="2" bestFit="1" customWidth="1"/>
    <col min="2586" max="2816" width="9.140625" style="2"/>
    <col min="2817" max="2817" width="1.5703125" style="2" customWidth="1"/>
    <col min="2818" max="2818" width="1.7109375" style="2" customWidth="1"/>
    <col min="2819" max="2819" width="44.85546875" style="2" customWidth="1"/>
    <col min="2820" max="2820" width="46.5703125" style="2" customWidth="1"/>
    <col min="2821" max="2821" width="16.42578125" style="2" customWidth="1"/>
    <col min="2822" max="2822" width="14" style="2" customWidth="1"/>
    <col min="2823" max="2823" width="13.42578125" style="2" customWidth="1"/>
    <col min="2824" max="2824" width="9.5703125" style="2" customWidth="1"/>
    <col min="2825" max="2826" width="11" style="2" customWidth="1"/>
    <col min="2827" max="2827" width="12.28515625" style="2" customWidth="1"/>
    <col min="2828" max="2829" width="12" style="2" customWidth="1"/>
    <col min="2830" max="2830" width="11.85546875" style="2" customWidth="1"/>
    <col min="2831" max="2831" width="13.42578125" style="2" customWidth="1"/>
    <col min="2832" max="2832" width="15.42578125" style="2" customWidth="1"/>
    <col min="2833" max="2833" width="15" style="2" customWidth="1"/>
    <col min="2834" max="2834" width="15.5703125" style="2" customWidth="1"/>
    <col min="2835" max="2836" width="15.140625" style="2" customWidth="1"/>
    <col min="2837" max="2837" width="12.28515625" style="2" customWidth="1"/>
    <col min="2838" max="2838" width="12.5703125" style="2" customWidth="1"/>
    <col min="2839" max="2839" width="13.85546875" style="2" customWidth="1"/>
    <col min="2840" max="2840" width="14.7109375" style="2" customWidth="1"/>
    <col min="2841" max="2841" width="10.85546875" style="2" bestFit="1" customWidth="1"/>
    <col min="2842" max="3072" width="9.140625" style="2"/>
    <col min="3073" max="3073" width="1.5703125" style="2" customWidth="1"/>
    <col min="3074" max="3074" width="1.7109375" style="2" customWidth="1"/>
    <col min="3075" max="3075" width="44.85546875" style="2" customWidth="1"/>
    <col min="3076" max="3076" width="46.5703125" style="2" customWidth="1"/>
    <col min="3077" max="3077" width="16.42578125" style="2" customWidth="1"/>
    <col min="3078" max="3078" width="14" style="2" customWidth="1"/>
    <col min="3079" max="3079" width="13.42578125" style="2" customWidth="1"/>
    <col min="3080" max="3080" width="9.5703125" style="2" customWidth="1"/>
    <col min="3081" max="3082" width="11" style="2" customWidth="1"/>
    <col min="3083" max="3083" width="12.28515625" style="2" customWidth="1"/>
    <col min="3084" max="3085" width="12" style="2" customWidth="1"/>
    <col min="3086" max="3086" width="11.85546875" style="2" customWidth="1"/>
    <col min="3087" max="3087" width="13.42578125" style="2" customWidth="1"/>
    <col min="3088" max="3088" width="15.42578125" style="2" customWidth="1"/>
    <col min="3089" max="3089" width="15" style="2" customWidth="1"/>
    <col min="3090" max="3090" width="15.5703125" style="2" customWidth="1"/>
    <col min="3091" max="3092" width="15.140625" style="2" customWidth="1"/>
    <col min="3093" max="3093" width="12.28515625" style="2" customWidth="1"/>
    <col min="3094" max="3094" width="12.5703125" style="2" customWidth="1"/>
    <col min="3095" max="3095" width="13.85546875" style="2" customWidth="1"/>
    <col min="3096" max="3096" width="14.7109375" style="2" customWidth="1"/>
    <col min="3097" max="3097" width="10.85546875" style="2" bestFit="1" customWidth="1"/>
    <col min="3098" max="3328" width="9.140625" style="2"/>
    <col min="3329" max="3329" width="1.5703125" style="2" customWidth="1"/>
    <col min="3330" max="3330" width="1.7109375" style="2" customWidth="1"/>
    <col min="3331" max="3331" width="44.85546875" style="2" customWidth="1"/>
    <col min="3332" max="3332" width="46.5703125" style="2" customWidth="1"/>
    <col min="3333" max="3333" width="16.42578125" style="2" customWidth="1"/>
    <col min="3334" max="3334" width="14" style="2" customWidth="1"/>
    <col min="3335" max="3335" width="13.42578125" style="2" customWidth="1"/>
    <col min="3336" max="3336" width="9.5703125" style="2" customWidth="1"/>
    <col min="3337" max="3338" width="11" style="2" customWidth="1"/>
    <col min="3339" max="3339" width="12.28515625" style="2" customWidth="1"/>
    <col min="3340" max="3341" width="12" style="2" customWidth="1"/>
    <col min="3342" max="3342" width="11.85546875" style="2" customWidth="1"/>
    <col min="3343" max="3343" width="13.42578125" style="2" customWidth="1"/>
    <col min="3344" max="3344" width="15.42578125" style="2" customWidth="1"/>
    <col min="3345" max="3345" width="15" style="2" customWidth="1"/>
    <col min="3346" max="3346" width="15.5703125" style="2" customWidth="1"/>
    <col min="3347" max="3348" width="15.140625" style="2" customWidth="1"/>
    <col min="3349" max="3349" width="12.28515625" style="2" customWidth="1"/>
    <col min="3350" max="3350" width="12.5703125" style="2" customWidth="1"/>
    <col min="3351" max="3351" width="13.85546875" style="2" customWidth="1"/>
    <col min="3352" max="3352" width="14.7109375" style="2" customWidth="1"/>
    <col min="3353" max="3353" width="10.85546875" style="2" bestFit="1" customWidth="1"/>
    <col min="3354" max="3584" width="9.140625" style="2"/>
    <col min="3585" max="3585" width="1.5703125" style="2" customWidth="1"/>
    <col min="3586" max="3586" width="1.7109375" style="2" customWidth="1"/>
    <col min="3587" max="3587" width="44.85546875" style="2" customWidth="1"/>
    <col min="3588" max="3588" width="46.5703125" style="2" customWidth="1"/>
    <col min="3589" max="3589" width="16.42578125" style="2" customWidth="1"/>
    <col min="3590" max="3590" width="14" style="2" customWidth="1"/>
    <col min="3591" max="3591" width="13.42578125" style="2" customWidth="1"/>
    <col min="3592" max="3592" width="9.5703125" style="2" customWidth="1"/>
    <col min="3593" max="3594" width="11" style="2" customWidth="1"/>
    <col min="3595" max="3595" width="12.28515625" style="2" customWidth="1"/>
    <col min="3596" max="3597" width="12" style="2" customWidth="1"/>
    <col min="3598" max="3598" width="11.85546875" style="2" customWidth="1"/>
    <col min="3599" max="3599" width="13.42578125" style="2" customWidth="1"/>
    <col min="3600" max="3600" width="15.42578125" style="2" customWidth="1"/>
    <col min="3601" max="3601" width="15" style="2" customWidth="1"/>
    <col min="3602" max="3602" width="15.5703125" style="2" customWidth="1"/>
    <col min="3603" max="3604" width="15.140625" style="2" customWidth="1"/>
    <col min="3605" max="3605" width="12.28515625" style="2" customWidth="1"/>
    <col min="3606" max="3606" width="12.5703125" style="2" customWidth="1"/>
    <col min="3607" max="3607" width="13.85546875" style="2" customWidth="1"/>
    <col min="3608" max="3608" width="14.7109375" style="2" customWidth="1"/>
    <col min="3609" max="3609" width="10.85546875" style="2" bestFit="1" customWidth="1"/>
    <col min="3610" max="3840" width="9.140625" style="2"/>
    <col min="3841" max="3841" width="1.5703125" style="2" customWidth="1"/>
    <col min="3842" max="3842" width="1.7109375" style="2" customWidth="1"/>
    <col min="3843" max="3843" width="44.85546875" style="2" customWidth="1"/>
    <col min="3844" max="3844" width="46.5703125" style="2" customWidth="1"/>
    <col min="3845" max="3845" width="16.42578125" style="2" customWidth="1"/>
    <col min="3846" max="3846" width="14" style="2" customWidth="1"/>
    <col min="3847" max="3847" width="13.42578125" style="2" customWidth="1"/>
    <col min="3848" max="3848" width="9.5703125" style="2" customWidth="1"/>
    <col min="3849" max="3850" width="11" style="2" customWidth="1"/>
    <col min="3851" max="3851" width="12.28515625" style="2" customWidth="1"/>
    <col min="3852" max="3853" width="12" style="2" customWidth="1"/>
    <col min="3854" max="3854" width="11.85546875" style="2" customWidth="1"/>
    <col min="3855" max="3855" width="13.42578125" style="2" customWidth="1"/>
    <col min="3856" max="3856" width="15.42578125" style="2" customWidth="1"/>
    <col min="3857" max="3857" width="15" style="2" customWidth="1"/>
    <col min="3858" max="3858" width="15.5703125" style="2" customWidth="1"/>
    <col min="3859" max="3860" width="15.140625" style="2" customWidth="1"/>
    <col min="3861" max="3861" width="12.28515625" style="2" customWidth="1"/>
    <col min="3862" max="3862" width="12.5703125" style="2" customWidth="1"/>
    <col min="3863" max="3863" width="13.85546875" style="2" customWidth="1"/>
    <col min="3864" max="3864" width="14.7109375" style="2" customWidth="1"/>
    <col min="3865" max="3865" width="10.85546875" style="2" bestFit="1" customWidth="1"/>
    <col min="3866" max="4096" width="9.140625" style="2"/>
    <col min="4097" max="4097" width="1.5703125" style="2" customWidth="1"/>
    <col min="4098" max="4098" width="1.7109375" style="2" customWidth="1"/>
    <col min="4099" max="4099" width="44.85546875" style="2" customWidth="1"/>
    <col min="4100" max="4100" width="46.5703125" style="2" customWidth="1"/>
    <col min="4101" max="4101" width="16.42578125" style="2" customWidth="1"/>
    <col min="4102" max="4102" width="14" style="2" customWidth="1"/>
    <col min="4103" max="4103" width="13.42578125" style="2" customWidth="1"/>
    <col min="4104" max="4104" width="9.5703125" style="2" customWidth="1"/>
    <col min="4105" max="4106" width="11" style="2" customWidth="1"/>
    <col min="4107" max="4107" width="12.28515625" style="2" customWidth="1"/>
    <col min="4108" max="4109" width="12" style="2" customWidth="1"/>
    <col min="4110" max="4110" width="11.85546875" style="2" customWidth="1"/>
    <col min="4111" max="4111" width="13.42578125" style="2" customWidth="1"/>
    <col min="4112" max="4112" width="15.42578125" style="2" customWidth="1"/>
    <col min="4113" max="4113" width="15" style="2" customWidth="1"/>
    <col min="4114" max="4114" width="15.5703125" style="2" customWidth="1"/>
    <col min="4115" max="4116" width="15.140625" style="2" customWidth="1"/>
    <col min="4117" max="4117" width="12.28515625" style="2" customWidth="1"/>
    <col min="4118" max="4118" width="12.5703125" style="2" customWidth="1"/>
    <col min="4119" max="4119" width="13.85546875" style="2" customWidth="1"/>
    <col min="4120" max="4120" width="14.7109375" style="2" customWidth="1"/>
    <col min="4121" max="4121" width="10.85546875" style="2" bestFit="1" customWidth="1"/>
    <col min="4122" max="4352" width="9.140625" style="2"/>
    <col min="4353" max="4353" width="1.5703125" style="2" customWidth="1"/>
    <col min="4354" max="4354" width="1.7109375" style="2" customWidth="1"/>
    <col min="4355" max="4355" width="44.85546875" style="2" customWidth="1"/>
    <col min="4356" max="4356" width="46.5703125" style="2" customWidth="1"/>
    <col min="4357" max="4357" width="16.42578125" style="2" customWidth="1"/>
    <col min="4358" max="4358" width="14" style="2" customWidth="1"/>
    <col min="4359" max="4359" width="13.42578125" style="2" customWidth="1"/>
    <col min="4360" max="4360" width="9.5703125" style="2" customWidth="1"/>
    <col min="4361" max="4362" width="11" style="2" customWidth="1"/>
    <col min="4363" max="4363" width="12.28515625" style="2" customWidth="1"/>
    <col min="4364" max="4365" width="12" style="2" customWidth="1"/>
    <col min="4366" max="4366" width="11.85546875" style="2" customWidth="1"/>
    <col min="4367" max="4367" width="13.42578125" style="2" customWidth="1"/>
    <col min="4368" max="4368" width="15.42578125" style="2" customWidth="1"/>
    <col min="4369" max="4369" width="15" style="2" customWidth="1"/>
    <col min="4370" max="4370" width="15.5703125" style="2" customWidth="1"/>
    <col min="4371" max="4372" width="15.140625" style="2" customWidth="1"/>
    <col min="4373" max="4373" width="12.28515625" style="2" customWidth="1"/>
    <col min="4374" max="4374" width="12.5703125" style="2" customWidth="1"/>
    <col min="4375" max="4375" width="13.85546875" style="2" customWidth="1"/>
    <col min="4376" max="4376" width="14.7109375" style="2" customWidth="1"/>
    <col min="4377" max="4377" width="10.85546875" style="2" bestFit="1" customWidth="1"/>
    <col min="4378" max="4608" width="9.140625" style="2"/>
    <col min="4609" max="4609" width="1.5703125" style="2" customWidth="1"/>
    <col min="4610" max="4610" width="1.7109375" style="2" customWidth="1"/>
    <col min="4611" max="4611" width="44.85546875" style="2" customWidth="1"/>
    <col min="4612" max="4612" width="46.5703125" style="2" customWidth="1"/>
    <col min="4613" max="4613" width="16.42578125" style="2" customWidth="1"/>
    <col min="4614" max="4614" width="14" style="2" customWidth="1"/>
    <col min="4615" max="4615" width="13.42578125" style="2" customWidth="1"/>
    <col min="4616" max="4616" width="9.5703125" style="2" customWidth="1"/>
    <col min="4617" max="4618" width="11" style="2" customWidth="1"/>
    <col min="4619" max="4619" width="12.28515625" style="2" customWidth="1"/>
    <col min="4620" max="4621" width="12" style="2" customWidth="1"/>
    <col min="4622" max="4622" width="11.85546875" style="2" customWidth="1"/>
    <col min="4623" max="4623" width="13.42578125" style="2" customWidth="1"/>
    <col min="4624" max="4624" width="15.42578125" style="2" customWidth="1"/>
    <col min="4625" max="4625" width="15" style="2" customWidth="1"/>
    <col min="4626" max="4626" width="15.5703125" style="2" customWidth="1"/>
    <col min="4627" max="4628" width="15.140625" style="2" customWidth="1"/>
    <col min="4629" max="4629" width="12.28515625" style="2" customWidth="1"/>
    <col min="4630" max="4630" width="12.5703125" style="2" customWidth="1"/>
    <col min="4631" max="4631" width="13.85546875" style="2" customWidth="1"/>
    <col min="4632" max="4632" width="14.7109375" style="2" customWidth="1"/>
    <col min="4633" max="4633" width="10.85546875" style="2" bestFit="1" customWidth="1"/>
    <col min="4634" max="4864" width="9.140625" style="2"/>
    <col min="4865" max="4865" width="1.5703125" style="2" customWidth="1"/>
    <col min="4866" max="4866" width="1.7109375" style="2" customWidth="1"/>
    <col min="4867" max="4867" width="44.85546875" style="2" customWidth="1"/>
    <col min="4868" max="4868" width="46.5703125" style="2" customWidth="1"/>
    <col min="4869" max="4869" width="16.42578125" style="2" customWidth="1"/>
    <col min="4870" max="4870" width="14" style="2" customWidth="1"/>
    <col min="4871" max="4871" width="13.42578125" style="2" customWidth="1"/>
    <col min="4872" max="4872" width="9.5703125" style="2" customWidth="1"/>
    <col min="4873" max="4874" width="11" style="2" customWidth="1"/>
    <col min="4875" max="4875" width="12.28515625" style="2" customWidth="1"/>
    <col min="4876" max="4877" width="12" style="2" customWidth="1"/>
    <col min="4878" max="4878" width="11.85546875" style="2" customWidth="1"/>
    <col min="4879" max="4879" width="13.42578125" style="2" customWidth="1"/>
    <col min="4880" max="4880" width="15.42578125" style="2" customWidth="1"/>
    <col min="4881" max="4881" width="15" style="2" customWidth="1"/>
    <col min="4882" max="4882" width="15.5703125" style="2" customWidth="1"/>
    <col min="4883" max="4884" width="15.140625" style="2" customWidth="1"/>
    <col min="4885" max="4885" width="12.28515625" style="2" customWidth="1"/>
    <col min="4886" max="4886" width="12.5703125" style="2" customWidth="1"/>
    <col min="4887" max="4887" width="13.85546875" style="2" customWidth="1"/>
    <col min="4888" max="4888" width="14.7109375" style="2" customWidth="1"/>
    <col min="4889" max="4889" width="10.85546875" style="2" bestFit="1" customWidth="1"/>
    <col min="4890" max="5120" width="9.140625" style="2"/>
    <col min="5121" max="5121" width="1.5703125" style="2" customWidth="1"/>
    <col min="5122" max="5122" width="1.7109375" style="2" customWidth="1"/>
    <col min="5123" max="5123" width="44.85546875" style="2" customWidth="1"/>
    <col min="5124" max="5124" width="46.5703125" style="2" customWidth="1"/>
    <col min="5125" max="5125" width="16.42578125" style="2" customWidth="1"/>
    <col min="5126" max="5126" width="14" style="2" customWidth="1"/>
    <col min="5127" max="5127" width="13.42578125" style="2" customWidth="1"/>
    <col min="5128" max="5128" width="9.5703125" style="2" customWidth="1"/>
    <col min="5129" max="5130" width="11" style="2" customWidth="1"/>
    <col min="5131" max="5131" width="12.28515625" style="2" customWidth="1"/>
    <col min="5132" max="5133" width="12" style="2" customWidth="1"/>
    <col min="5134" max="5134" width="11.85546875" style="2" customWidth="1"/>
    <col min="5135" max="5135" width="13.42578125" style="2" customWidth="1"/>
    <col min="5136" max="5136" width="15.42578125" style="2" customWidth="1"/>
    <col min="5137" max="5137" width="15" style="2" customWidth="1"/>
    <col min="5138" max="5138" width="15.5703125" style="2" customWidth="1"/>
    <col min="5139" max="5140" width="15.140625" style="2" customWidth="1"/>
    <col min="5141" max="5141" width="12.28515625" style="2" customWidth="1"/>
    <col min="5142" max="5142" width="12.5703125" style="2" customWidth="1"/>
    <col min="5143" max="5143" width="13.85546875" style="2" customWidth="1"/>
    <col min="5144" max="5144" width="14.7109375" style="2" customWidth="1"/>
    <col min="5145" max="5145" width="10.85546875" style="2" bestFit="1" customWidth="1"/>
    <col min="5146" max="5376" width="9.140625" style="2"/>
    <col min="5377" max="5377" width="1.5703125" style="2" customWidth="1"/>
    <col min="5378" max="5378" width="1.7109375" style="2" customWidth="1"/>
    <col min="5379" max="5379" width="44.85546875" style="2" customWidth="1"/>
    <col min="5380" max="5380" width="46.5703125" style="2" customWidth="1"/>
    <col min="5381" max="5381" width="16.42578125" style="2" customWidth="1"/>
    <col min="5382" max="5382" width="14" style="2" customWidth="1"/>
    <col min="5383" max="5383" width="13.42578125" style="2" customWidth="1"/>
    <col min="5384" max="5384" width="9.5703125" style="2" customWidth="1"/>
    <col min="5385" max="5386" width="11" style="2" customWidth="1"/>
    <col min="5387" max="5387" width="12.28515625" style="2" customWidth="1"/>
    <col min="5388" max="5389" width="12" style="2" customWidth="1"/>
    <col min="5390" max="5390" width="11.85546875" style="2" customWidth="1"/>
    <col min="5391" max="5391" width="13.42578125" style="2" customWidth="1"/>
    <col min="5392" max="5392" width="15.42578125" style="2" customWidth="1"/>
    <col min="5393" max="5393" width="15" style="2" customWidth="1"/>
    <col min="5394" max="5394" width="15.5703125" style="2" customWidth="1"/>
    <col min="5395" max="5396" width="15.140625" style="2" customWidth="1"/>
    <col min="5397" max="5397" width="12.28515625" style="2" customWidth="1"/>
    <col min="5398" max="5398" width="12.5703125" style="2" customWidth="1"/>
    <col min="5399" max="5399" width="13.85546875" style="2" customWidth="1"/>
    <col min="5400" max="5400" width="14.7109375" style="2" customWidth="1"/>
    <col min="5401" max="5401" width="10.85546875" style="2" bestFit="1" customWidth="1"/>
    <col min="5402" max="5632" width="9.140625" style="2"/>
    <col min="5633" max="5633" width="1.5703125" style="2" customWidth="1"/>
    <col min="5634" max="5634" width="1.7109375" style="2" customWidth="1"/>
    <col min="5635" max="5635" width="44.85546875" style="2" customWidth="1"/>
    <col min="5636" max="5636" width="46.5703125" style="2" customWidth="1"/>
    <col min="5637" max="5637" width="16.42578125" style="2" customWidth="1"/>
    <col min="5638" max="5638" width="14" style="2" customWidth="1"/>
    <col min="5639" max="5639" width="13.42578125" style="2" customWidth="1"/>
    <col min="5640" max="5640" width="9.5703125" style="2" customWidth="1"/>
    <col min="5641" max="5642" width="11" style="2" customWidth="1"/>
    <col min="5643" max="5643" width="12.28515625" style="2" customWidth="1"/>
    <col min="5644" max="5645" width="12" style="2" customWidth="1"/>
    <col min="5646" max="5646" width="11.85546875" style="2" customWidth="1"/>
    <col min="5647" max="5647" width="13.42578125" style="2" customWidth="1"/>
    <col min="5648" max="5648" width="15.42578125" style="2" customWidth="1"/>
    <col min="5649" max="5649" width="15" style="2" customWidth="1"/>
    <col min="5650" max="5650" width="15.5703125" style="2" customWidth="1"/>
    <col min="5651" max="5652" width="15.140625" style="2" customWidth="1"/>
    <col min="5653" max="5653" width="12.28515625" style="2" customWidth="1"/>
    <col min="5654" max="5654" width="12.5703125" style="2" customWidth="1"/>
    <col min="5655" max="5655" width="13.85546875" style="2" customWidth="1"/>
    <col min="5656" max="5656" width="14.7109375" style="2" customWidth="1"/>
    <col min="5657" max="5657" width="10.85546875" style="2" bestFit="1" customWidth="1"/>
    <col min="5658" max="5888" width="9.140625" style="2"/>
    <col min="5889" max="5889" width="1.5703125" style="2" customWidth="1"/>
    <col min="5890" max="5890" width="1.7109375" style="2" customWidth="1"/>
    <col min="5891" max="5891" width="44.85546875" style="2" customWidth="1"/>
    <col min="5892" max="5892" width="46.5703125" style="2" customWidth="1"/>
    <col min="5893" max="5893" width="16.42578125" style="2" customWidth="1"/>
    <col min="5894" max="5894" width="14" style="2" customWidth="1"/>
    <col min="5895" max="5895" width="13.42578125" style="2" customWidth="1"/>
    <col min="5896" max="5896" width="9.5703125" style="2" customWidth="1"/>
    <col min="5897" max="5898" width="11" style="2" customWidth="1"/>
    <col min="5899" max="5899" width="12.28515625" style="2" customWidth="1"/>
    <col min="5900" max="5901" width="12" style="2" customWidth="1"/>
    <col min="5902" max="5902" width="11.85546875" style="2" customWidth="1"/>
    <col min="5903" max="5903" width="13.42578125" style="2" customWidth="1"/>
    <col min="5904" max="5904" width="15.42578125" style="2" customWidth="1"/>
    <col min="5905" max="5905" width="15" style="2" customWidth="1"/>
    <col min="5906" max="5906" width="15.5703125" style="2" customWidth="1"/>
    <col min="5907" max="5908" width="15.140625" style="2" customWidth="1"/>
    <col min="5909" max="5909" width="12.28515625" style="2" customWidth="1"/>
    <col min="5910" max="5910" width="12.5703125" style="2" customWidth="1"/>
    <col min="5911" max="5911" width="13.85546875" style="2" customWidth="1"/>
    <col min="5912" max="5912" width="14.7109375" style="2" customWidth="1"/>
    <col min="5913" max="5913" width="10.85546875" style="2" bestFit="1" customWidth="1"/>
    <col min="5914" max="6144" width="9.140625" style="2"/>
    <col min="6145" max="6145" width="1.5703125" style="2" customWidth="1"/>
    <col min="6146" max="6146" width="1.7109375" style="2" customWidth="1"/>
    <col min="6147" max="6147" width="44.85546875" style="2" customWidth="1"/>
    <col min="6148" max="6148" width="46.5703125" style="2" customWidth="1"/>
    <col min="6149" max="6149" width="16.42578125" style="2" customWidth="1"/>
    <col min="6150" max="6150" width="14" style="2" customWidth="1"/>
    <col min="6151" max="6151" width="13.42578125" style="2" customWidth="1"/>
    <col min="6152" max="6152" width="9.5703125" style="2" customWidth="1"/>
    <col min="6153" max="6154" width="11" style="2" customWidth="1"/>
    <col min="6155" max="6155" width="12.28515625" style="2" customWidth="1"/>
    <col min="6156" max="6157" width="12" style="2" customWidth="1"/>
    <col min="6158" max="6158" width="11.85546875" style="2" customWidth="1"/>
    <col min="6159" max="6159" width="13.42578125" style="2" customWidth="1"/>
    <col min="6160" max="6160" width="15.42578125" style="2" customWidth="1"/>
    <col min="6161" max="6161" width="15" style="2" customWidth="1"/>
    <col min="6162" max="6162" width="15.5703125" style="2" customWidth="1"/>
    <col min="6163" max="6164" width="15.140625" style="2" customWidth="1"/>
    <col min="6165" max="6165" width="12.28515625" style="2" customWidth="1"/>
    <col min="6166" max="6166" width="12.5703125" style="2" customWidth="1"/>
    <col min="6167" max="6167" width="13.85546875" style="2" customWidth="1"/>
    <col min="6168" max="6168" width="14.7109375" style="2" customWidth="1"/>
    <col min="6169" max="6169" width="10.85546875" style="2" bestFit="1" customWidth="1"/>
    <col min="6170" max="6400" width="9.140625" style="2"/>
    <col min="6401" max="6401" width="1.5703125" style="2" customWidth="1"/>
    <col min="6402" max="6402" width="1.7109375" style="2" customWidth="1"/>
    <col min="6403" max="6403" width="44.85546875" style="2" customWidth="1"/>
    <col min="6404" max="6404" width="46.5703125" style="2" customWidth="1"/>
    <col min="6405" max="6405" width="16.42578125" style="2" customWidth="1"/>
    <col min="6406" max="6406" width="14" style="2" customWidth="1"/>
    <col min="6407" max="6407" width="13.42578125" style="2" customWidth="1"/>
    <col min="6408" max="6408" width="9.5703125" style="2" customWidth="1"/>
    <col min="6409" max="6410" width="11" style="2" customWidth="1"/>
    <col min="6411" max="6411" width="12.28515625" style="2" customWidth="1"/>
    <col min="6412" max="6413" width="12" style="2" customWidth="1"/>
    <col min="6414" max="6414" width="11.85546875" style="2" customWidth="1"/>
    <col min="6415" max="6415" width="13.42578125" style="2" customWidth="1"/>
    <col min="6416" max="6416" width="15.42578125" style="2" customWidth="1"/>
    <col min="6417" max="6417" width="15" style="2" customWidth="1"/>
    <col min="6418" max="6418" width="15.5703125" style="2" customWidth="1"/>
    <col min="6419" max="6420" width="15.140625" style="2" customWidth="1"/>
    <col min="6421" max="6421" width="12.28515625" style="2" customWidth="1"/>
    <col min="6422" max="6422" width="12.5703125" style="2" customWidth="1"/>
    <col min="6423" max="6423" width="13.85546875" style="2" customWidth="1"/>
    <col min="6424" max="6424" width="14.7109375" style="2" customWidth="1"/>
    <col min="6425" max="6425" width="10.85546875" style="2" bestFit="1" customWidth="1"/>
    <col min="6426" max="6656" width="9.140625" style="2"/>
    <col min="6657" max="6657" width="1.5703125" style="2" customWidth="1"/>
    <col min="6658" max="6658" width="1.7109375" style="2" customWidth="1"/>
    <col min="6659" max="6659" width="44.85546875" style="2" customWidth="1"/>
    <col min="6660" max="6660" width="46.5703125" style="2" customWidth="1"/>
    <col min="6661" max="6661" width="16.42578125" style="2" customWidth="1"/>
    <col min="6662" max="6662" width="14" style="2" customWidth="1"/>
    <col min="6663" max="6663" width="13.42578125" style="2" customWidth="1"/>
    <col min="6664" max="6664" width="9.5703125" style="2" customWidth="1"/>
    <col min="6665" max="6666" width="11" style="2" customWidth="1"/>
    <col min="6667" max="6667" width="12.28515625" style="2" customWidth="1"/>
    <col min="6668" max="6669" width="12" style="2" customWidth="1"/>
    <col min="6670" max="6670" width="11.85546875" style="2" customWidth="1"/>
    <col min="6671" max="6671" width="13.42578125" style="2" customWidth="1"/>
    <col min="6672" max="6672" width="15.42578125" style="2" customWidth="1"/>
    <col min="6673" max="6673" width="15" style="2" customWidth="1"/>
    <col min="6674" max="6674" width="15.5703125" style="2" customWidth="1"/>
    <col min="6675" max="6676" width="15.140625" style="2" customWidth="1"/>
    <col min="6677" max="6677" width="12.28515625" style="2" customWidth="1"/>
    <col min="6678" max="6678" width="12.5703125" style="2" customWidth="1"/>
    <col min="6679" max="6679" width="13.85546875" style="2" customWidth="1"/>
    <col min="6680" max="6680" width="14.7109375" style="2" customWidth="1"/>
    <col min="6681" max="6681" width="10.85546875" style="2" bestFit="1" customWidth="1"/>
    <col min="6682" max="6912" width="9.140625" style="2"/>
    <col min="6913" max="6913" width="1.5703125" style="2" customWidth="1"/>
    <col min="6914" max="6914" width="1.7109375" style="2" customWidth="1"/>
    <col min="6915" max="6915" width="44.85546875" style="2" customWidth="1"/>
    <col min="6916" max="6916" width="46.5703125" style="2" customWidth="1"/>
    <col min="6917" max="6917" width="16.42578125" style="2" customWidth="1"/>
    <col min="6918" max="6918" width="14" style="2" customWidth="1"/>
    <col min="6919" max="6919" width="13.42578125" style="2" customWidth="1"/>
    <col min="6920" max="6920" width="9.5703125" style="2" customWidth="1"/>
    <col min="6921" max="6922" width="11" style="2" customWidth="1"/>
    <col min="6923" max="6923" width="12.28515625" style="2" customWidth="1"/>
    <col min="6924" max="6925" width="12" style="2" customWidth="1"/>
    <col min="6926" max="6926" width="11.85546875" style="2" customWidth="1"/>
    <col min="6927" max="6927" width="13.42578125" style="2" customWidth="1"/>
    <col min="6928" max="6928" width="15.42578125" style="2" customWidth="1"/>
    <col min="6929" max="6929" width="15" style="2" customWidth="1"/>
    <col min="6930" max="6930" width="15.5703125" style="2" customWidth="1"/>
    <col min="6931" max="6932" width="15.140625" style="2" customWidth="1"/>
    <col min="6933" max="6933" width="12.28515625" style="2" customWidth="1"/>
    <col min="6934" max="6934" width="12.5703125" style="2" customWidth="1"/>
    <col min="6935" max="6935" width="13.85546875" style="2" customWidth="1"/>
    <col min="6936" max="6936" width="14.7109375" style="2" customWidth="1"/>
    <col min="6937" max="6937" width="10.85546875" style="2" bestFit="1" customWidth="1"/>
    <col min="6938" max="7168" width="9.140625" style="2"/>
    <col min="7169" max="7169" width="1.5703125" style="2" customWidth="1"/>
    <col min="7170" max="7170" width="1.7109375" style="2" customWidth="1"/>
    <col min="7171" max="7171" width="44.85546875" style="2" customWidth="1"/>
    <col min="7172" max="7172" width="46.5703125" style="2" customWidth="1"/>
    <col min="7173" max="7173" width="16.42578125" style="2" customWidth="1"/>
    <col min="7174" max="7174" width="14" style="2" customWidth="1"/>
    <col min="7175" max="7175" width="13.42578125" style="2" customWidth="1"/>
    <col min="7176" max="7176" width="9.5703125" style="2" customWidth="1"/>
    <col min="7177" max="7178" width="11" style="2" customWidth="1"/>
    <col min="7179" max="7179" width="12.28515625" style="2" customWidth="1"/>
    <col min="7180" max="7181" width="12" style="2" customWidth="1"/>
    <col min="7182" max="7182" width="11.85546875" style="2" customWidth="1"/>
    <col min="7183" max="7183" width="13.42578125" style="2" customWidth="1"/>
    <col min="7184" max="7184" width="15.42578125" style="2" customWidth="1"/>
    <col min="7185" max="7185" width="15" style="2" customWidth="1"/>
    <col min="7186" max="7186" width="15.5703125" style="2" customWidth="1"/>
    <col min="7187" max="7188" width="15.140625" style="2" customWidth="1"/>
    <col min="7189" max="7189" width="12.28515625" style="2" customWidth="1"/>
    <col min="7190" max="7190" width="12.5703125" style="2" customWidth="1"/>
    <col min="7191" max="7191" width="13.85546875" style="2" customWidth="1"/>
    <col min="7192" max="7192" width="14.7109375" style="2" customWidth="1"/>
    <col min="7193" max="7193" width="10.85546875" style="2" bestFit="1" customWidth="1"/>
    <col min="7194" max="7424" width="9.140625" style="2"/>
    <col min="7425" max="7425" width="1.5703125" style="2" customWidth="1"/>
    <col min="7426" max="7426" width="1.7109375" style="2" customWidth="1"/>
    <col min="7427" max="7427" width="44.85546875" style="2" customWidth="1"/>
    <col min="7428" max="7428" width="46.5703125" style="2" customWidth="1"/>
    <col min="7429" max="7429" width="16.42578125" style="2" customWidth="1"/>
    <col min="7430" max="7430" width="14" style="2" customWidth="1"/>
    <col min="7431" max="7431" width="13.42578125" style="2" customWidth="1"/>
    <col min="7432" max="7432" width="9.5703125" style="2" customWidth="1"/>
    <col min="7433" max="7434" width="11" style="2" customWidth="1"/>
    <col min="7435" max="7435" width="12.28515625" style="2" customWidth="1"/>
    <col min="7436" max="7437" width="12" style="2" customWidth="1"/>
    <col min="7438" max="7438" width="11.85546875" style="2" customWidth="1"/>
    <col min="7439" max="7439" width="13.42578125" style="2" customWidth="1"/>
    <col min="7440" max="7440" width="15.42578125" style="2" customWidth="1"/>
    <col min="7441" max="7441" width="15" style="2" customWidth="1"/>
    <col min="7442" max="7442" width="15.5703125" style="2" customWidth="1"/>
    <col min="7443" max="7444" width="15.140625" style="2" customWidth="1"/>
    <col min="7445" max="7445" width="12.28515625" style="2" customWidth="1"/>
    <col min="7446" max="7446" width="12.5703125" style="2" customWidth="1"/>
    <col min="7447" max="7447" width="13.85546875" style="2" customWidth="1"/>
    <col min="7448" max="7448" width="14.7109375" style="2" customWidth="1"/>
    <col min="7449" max="7449" width="10.85546875" style="2" bestFit="1" customWidth="1"/>
    <col min="7450" max="7680" width="9.140625" style="2"/>
    <col min="7681" max="7681" width="1.5703125" style="2" customWidth="1"/>
    <col min="7682" max="7682" width="1.7109375" style="2" customWidth="1"/>
    <col min="7683" max="7683" width="44.85546875" style="2" customWidth="1"/>
    <col min="7684" max="7684" width="46.5703125" style="2" customWidth="1"/>
    <col min="7685" max="7685" width="16.42578125" style="2" customWidth="1"/>
    <col min="7686" max="7686" width="14" style="2" customWidth="1"/>
    <col min="7687" max="7687" width="13.42578125" style="2" customWidth="1"/>
    <col min="7688" max="7688" width="9.5703125" style="2" customWidth="1"/>
    <col min="7689" max="7690" width="11" style="2" customWidth="1"/>
    <col min="7691" max="7691" width="12.28515625" style="2" customWidth="1"/>
    <col min="7692" max="7693" width="12" style="2" customWidth="1"/>
    <col min="7694" max="7694" width="11.85546875" style="2" customWidth="1"/>
    <col min="7695" max="7695" width="13.42578125" style="2" customWidth="1"/>
    <col min="7696" max="7696" width="15.42578125" style="2" customWidth="1"/>
    <col min="7697" max="7697" width="15" style="2" customWidth="1"/>
    <col min="7698" max="7698" width="15.5703125" style="2" customWidth="1"/>
    <col min="7699" max="7700" width="15.140625" style="2" customWidth="1"/>
    <col min="7701" max="7701" width="12.28515625" style="2" customWidth="1"/>
    <col min="7702" max="7702" width="12.5703125" style="2" customWidth="1"/>
    <col min="7703" max="7703" width="13.85546875" style="2" customWidth="1"/>
    <col min="7704" max="7704" width="14.7109375" style="2" customWidth="1"/>
    <col min="7705" max="7705" width="10.85546875" style="2" bestFit="1" customWidth="1"/>
    <col min="7706" max="7936" width="9.140625" style="2"/>
    <col min="7937" max="7937" width="1.5703125" style="2" customWidth="1"/>
    <col min="7938" max="7938" width="1.7109375" style="2" customWidth="1"/>
    <col min="7939" max="7939" width="44.85546875" style="2" customWidth="1"/>
    <col min="7940" max="7940" width="46.5703125" style="2" customWidth="1"/>
    <col min="7941" max="7941" width="16.42578125" style="2" customWidth="1"/>
    <col min="7942" max="7942" width="14" style="2" customWidth="1"/>
    <col min="7943" max="7943" width="13.42578125" style="2" customWidth="1"/>
    <col min="7944" max="7944" width="9.5703125" style="2" customWidth="1"/>
    <col min="7945" max="7946" width="11" style="2" customWidth="1"/>
    <col min="7947" max="7947" width="12.28515625" style="2" customWidth="1"/>
    <col min="7948" max="7949" width="12" style="2" customWidth="1"/>
    <col min="7950" max="7950" width="11.85546875" style="2" customWidth="1"/>
    <col min="7951" max="7951" width="13.42578125" style="2" customWidth="1"/>
    <col min="7952" max="7952" width="15.42578125" style="2" customWidth="1"/>
    <col min="7953" max="7953" width="15" style="2" customWidth="1"/>
    <col min="7954" max="7954" width="15.5703125" style="2" customWidth="1"/>
    <col min="7955" max="7956" width="15.140625" style="2" customWidth="1"/>
    <col min="7957" max="7957" width="12.28515625" style="2" customWidth="1"/>
    <col min="7958" max="7958" width="12.5703125" style="2" customWidth="1"/>
    <col min="7959" max="7959" width="13.85546875" style="2" customWidth="1"/>
    <col min="7960" max="7960" width="14.7109375" style="2" customWidth="1"/>
    <col min="7961" max="7961" width="10.85546875" style="2" bestFit="1" customWidth="1"/>
    <col min="7962" max="8192" width="9.140625" style="2"/>
    <col min="8193" max="8193" width="1.5703125" style="2" customWidth="1"/>
    <col min="8194" max="8194" width="1.7109375" style="2" customWidth="1"/>
    <col min="8195" max="8195" width="44.85546875" style="2" customWidth="1"/>
    <col min="8196" max="8196" width="46.5703125" style="2" customWidth="1"/>
    <col min="8197" max="8197" width="16.42578125" style="2" customWidth="1"/>
    <col min="8198" max="8198" width="14" style="2" customWidth="1"/>
    <col min="8199" max="8199" width="13.42578125" style="2" customWidth="1"/>
    <col min="8200" max="8200" width="9.5703125" style="2" customWidth="1"/>
    <col min="8201" max="8202" width="11" style="2" customWidth="1"/>
    <col min="8203" max="8203" width="12.28515625" style="2" customWidth="1"/>
    <col min="8204" max="8205" width="12" style="2" customWidth="1"/>
    <col min="8206" max="8206" width="11.85546875" style="2" customWidth="1"/>
    <col min="8207" max="8207" width="13.42578125" style="2" customWidth="1"/>
    <col min="8208" max="8208" width="15.42578125" style="2" customWidth="1"/>
    <col min="8209" max="8209" width="15" style="2" customWidth="1"/>
    <col min="8210" max="8210" width="15.5703125" style="2" customWidth="1"/>
    <col min="8211" max="8212" width="15.140625" style="2" customWidth="1"/>
    <col min="8213" max="8213" width="12.28515625" style="2" customWidth="1"/>
    <col min="8214" max="8214" width="12.5703125" style="2" customWidth="1"/>
    <col min="8215" max="8215" width="13.85546875" style="2" customWidth="1"/>
    <col min="8216" max="8216" width="14.7109375" style="2" customWidth="1"/>
    <col min="8217" max="8217" width="10.85546875" style="2" bestFit="1" customWidth="1"/>
    <col min="8218" max="8448" width="9.140625" style="2"/>
    <col min="8449" max="8449" width="1.5703125" style="2" customWidth="1"/>
    <col min="8450" max="8450" width="1.7109375" style="2" customWidth="1"/>
    <col min="8451" max="8451" width="44.85546875" style="2" customWidth="1"/>
    <col min="8452" max="8452" width="46.5703125" style="2" customWidth="1"/>
    <col min="8453" max="8453" width="16.42578125" style="2" customWidth="1"/>
    <col min="8454" max="8454" width="14" style="2" customWidth="1"/>
    <col min="8455" max="8455" width="13.42578125" style="2" customWidth="1"/>
    <col min="8456" max="8456" width="9.5703125" style="2" customWidth="1"/>
    <col min="8457" max="8458" width="11" style="2" customWidth="1"/>
    <col min="8459" max="8459" width="12.28515625" style="2" customWidth="1"/>
    <col min="8460" max="8461" width="12" style="2" customWidth="1"/>
    <col min="8462" max="8462" width="11.85546875" style="2" customWidth="1"/>
    <col min="8463" max="8463" width="13.42578125" style="2" customWidth="1"/>
    <col min="8464" max="8464" width="15.42578125" style="2" customWidth="1"/>
    <col min="8465" max="8465" width="15" style="2" customWidth="1"/>
    <col min="8466" max="8466" width="15.5703125" style="2" customWidth="1"/>
    <col min="8467" max="8468" width="15.140625" style="2" customWidth="1"/>
    <col min="8469" max="8469" width="12.28515625" style="2" customWidth="1"/>
    <col min="8470" max="8470" width="12.5703125" style="2" customWidth="1"/>
    <col min="8471" max="8471" width="13.85546875" style="2" customWidth="1"/>
    <col min="8472" max="8472" width="14.7109375" style="2" customWidth="1"/>
    <col min="8473" max="8473" width="10.85546875" style="2" bestFit="1" customWidth="1"/>
    <col min="8474" max="8704" width="9.140625" style="2"/>
    <col min="8705" max="8705" width="1.5703125" style="2" customWidth="1"/>
    <col min="8706" max="8706" width="1.7109375" style="2" customWidth="1"/>
    <col min="8707" max="8707" width="44.85546875" style="2" customWidth="1"/>
    <col min="8708" max="8708" width="46.5703125" style="2" customWidth="1"/>
    <col min="8709" max="8709" width="16.42578125" style="2" customWidth="1"/>
    <col min="8710" max="8710" width="14" style="2" customWidth="1"/>
    <col min="8711" max="8711" width="13.42578125" style="2" customWidth="1"/>
    <col min="8712" max="8712" width="9.5703125" style="2" customWidth="1"/>
    <col min="8713" max="8714" width="11" style="2" customWidth="1"/>
    <col min="8715" max="8715" width="12.28515625" style="2" customWidth="1"/>
    <col min="8716" max="8717" width="12" style="2" customWidth="1"/>
    <col min="8718" max="8718" width="11.85546875" style="2" customWidth="1"/>
    <col min="8719" max="8719" width="13.42578125" style="2" customWidth="1"/>
    <col min="8720" max="8720" width="15.42578125" style="2" customWidth="1"/>
    <col min="8721" max="8721" width="15" style="2" customWidth="1"/>
    <col min="8722" max="8722" width="15.5703125" style="2" customWidth="1"/>
    <col min="8723" max="8724" width="15.140625" style="2" customWidth="1"/>
    <col min="8725" max="8725" width="12.28515625" style="2" customWidth="1"/>
    <col min="8726" max="8726" width="12.5703125" style="2" customWidth="1"/>
    <col min="8727" max="8727" width="13.85546875" style="2" customWidth="1"/>
    <col min="8728" max="8728" width="14.7109375" style="2" customWidth="1"/>
    <col min="8729" max="8729" width="10.85546875" style="2" bestFit="1" customWidth="1"/>
    <col min="8730" max="8960" width="9.140625" style="2"/>
    <col min="8961" max="8961" width="1.5703125" style="2" customWidth="1"/>
    <col min="8962" max="8962" width="1.7109375" style="2" customWidth="1"/>
    <col min="8963" max="8963" width="44.85546875" style="2" customWidth="1"/>
    <col min="8964" max="8964" width="46.5703125" style="2" customWidth="1"/>
    <col min="8965" max="8965" width="16.42578125" style="2" customWidth="1"/>
    <col min="8966" max="8966" width="14" style="2" customWidth="1"/>
    <col min="8967" max="8967" width="13.42578125" style="2" customWidth="1"/>
    <col min="8968" max="8968" width="9.5703125" style="2" customWidth="1"/>
    <col min="8969" max="8970" width="11" style="2" customWidth="1"/>
    <col min="8971" max="8971" width="12.28515625" style="2" customWidth="1"/>
    <col min="8972" max="8973" width="12" style="2" customWidth="1"/>
    <col min="8974" max="8974" width="11.85546875" style="2" customWidth="1"/>
    <col min="8975" max="8975" width="13.42578125" style="2" customWidth="1"/>
    <col min="8976" max="8976" width="15.42578125" style="2" customWidth="1"/>
    <col min="8977" max="8977" width="15" style="2" customWidth="1"/>
    <col min="8978" max="8978" width="15.5703125" style="2" customWidth="1"/>
    <col min="8979" max="8980" width="15.140625" style="2" customWidth="1"/>
    <col min="8981" max="8981" width="12.28515625" style="2" customWidth="1"/>
    <col min="8982" max="8982" width="12.5703125" style="2" customWidth="1"/>
    <col min="8983" max="8983" width="13.85546875" style="2" customWidth="1"/>
    <col min="8984" max="8984" width="14.7109375" style="2" customWidth="1"/>
    <col min="8985" max="8985" width="10.85546875" style="2" bestFit="1" customWidth="1"/>
    <col min="8986" max="9216" width="9.140625" style="2"/>
    <col min="9217" max="9217" width="1.5703125" style="2" customWidth="1"/>
    <col min="9218" max="9218" width="1.7109375" style="2" customWidth="1"/>
    <col min="9219" max="9219" width="44.85546875" style="2" customWidth="1"/>
    <col min="9220" max="9220" width="46.5703125" style="2" customWidth="1"/>
    <col min="9221" max="9221" width="16.42578125" style="2" customWidth="1"/>
    <col min="9222" max="9222" width="14" style="2" customWidth="1"/>
    <col min="9223" max="9223" width="13.42578125" style="2" customWidth="1"/>
    <col min="9224" max="9224" width="9.5703125" style="2" customWidth="1"/>
    <col min="9225" max="9226" width="11" style="2" customWidth="1"/>
    <col min="9227" max="9227" width="12.28515625" style="2" customWidth="1"/>
    <col min="9228" max="9229" width="12" style="2" customWidth="1"/>
    <col min="9230" max="9230" width="11.85546875" style="2" customWidth="1"/>
    <col min="9231" max="9231" width="13.42578125" style="2" customWidth="1"/>
    <col min="9232" max="9232" width="15.42578125" style="2" customWidth="1"/>
    <col min="9233" max="9233" width="15" style="2" customWidth="1"/>
    <col min="9234" max="9234" width="15.5703125" style="2" customWidth="1"/>
    <col min="9235" max="9236" width="15.140625" style="2" customWidth="1"/>
    <col min="9237" max="9237" width="12.28515625" style="2" customWidth="1"/>
    <col min="9238" max="9238" width="12.5703125" style="2" customWidth="1"/>
    <col min="9239" max="9239" width="13.85546875" style="2" customWidth="1"/>
    <col min="9240" max="9240" width="14.7109375" style="2" customWidth="1"/>
    <col min="9241" max="9241" width="10.85546875" style="2" bestFit="1" customWidth="1"/>
    <col min="9242" max="9472" width="9.140625" style="2"/>
    <col min="9473" max="9473" width="1.5703125" style="2" customWidth="1"/>
    <col min="9474" max="9474" width="1.7109375" style="2" customWidth="1"/>
    <col min="9475" max="9475" width="44.85546875" style="2" customWidth="1"/>
    <col min="9476" max="9476" width="46.5703125" style="2" customWidth="1"/>
    <col min="9477" max="9477" width="16.42578125" style="2" customWidth="1"/>
    <col min="9478" max="9478" width="14" style="2" customWidth="1"/>
    <col min="9479" max="9479" width="13.42578125" style="2" customWidth="1"/>
    <col min="9480" max="9480" width="9.5703125" style="2" customWidth="1"/>
    <col min="9481" max="9482" width="11" style="2" customWidth="1"/>
    <col min="9483" max="9483" width="12.28515625" style="2" customWidth="1"/>
    <col min="9484" max="9485" width="12" style="2" customWidth="1"/>
    <col min="9486" max="9486" width="11.85546875" style="2" customWidth="1"/>
    <col min="9487" max="9487" width="13.42578125" style="2" customWidth="1"/>
    <col min="9488" max="9488" width="15.42578125" style="2" customWidth="1"/>
    <col min="9489" max="9489" width="15" style="2" customWidth="1"/>
    <col min="9490" max="9490" width="15.5703125" style="2" customWidth="1"/>
    <col min="9491" max="9492" width="15.140625" style="2" customWidth="1"/>
    <col min="9493" max="9493" width="12.28515625" style="2" customWidth="1"/>
    <col min="9494" max="9494" width="12.5703125" style="2" customWidth="1"/>
    <col min="9495" max="9495" width="13.85546875" style="2" customWidth="1"/>
    <col min="9496" max="9496" width="14.7109375" style="2" customWidth="1"/>
    <col min="9497" max="9497" width="10.85546875" style="2" bestFit="1" customWidth="1"/>
    <col min="9498" max="9728" width="9.140625" style="2"/>
    <col min="9729" max="9729" width="1.5703125" style="2" customWidth="1"/>
    <col min="9730" max="9730" width="1.7109375" style="2" customWidth="1"/>
    <col min="9731" max="9731" width="44.85546875" style="2" customWidth="1"/>
    <col min="9732" max="9732" width="46.5703125" style="2" customWidth="1"/>
    <col min="9733" max="9733" width="16.42578125" style="2" customWidth="1"/>
    <col min="9734" max="9734" width="14" style="2" customWidth="1"/>
    <col min="9735" max="9735" width="13.42578125" style="2" customWidth="1"/>
    <col min="9736" max="9736" width="9.5703125" style="2" customWidth="1"/>
    <col min="9737" max="9738" width="11" style="2" customWidth="1"/>
    <col min="9739" max="9739" width="12.28515625" style="2" customWidth="1"/>
    <col min="9740" max="9741" width="12" style="2" customWidth="1"/>
    <col min="9742" max="9742" width="11.85546875" style="2" customWidth="1"/>
    <col min="9743" max="9743" width="13.42578125" style="2" customWidth="1"/>
    <col min="9744" max="9744" width="15.42578125" style="2" customWidth="1"/>
    <col min="9745" max="9745" width="15" style="2" customWidth="1"/>
    <col min="9746" max="9746" width="15.5703125" style="2" customWidth="1"/>
    <col min="9747" max="9748" width="15.140625" style="2" customWidth="1"/>
    <col min="9749" max="9749" width="12.28515625" style="2" customWidth="1"/>
    <col min="9750" max="9750" width="12.5703125" style="2" customWidth="1"/>
    <col min="9751" max="9751" width="13.85546875" style="2" customWidth="1"/>
    <col min="9752" max="9752" width="14.7109375" style="2" customWidth="1"/>
    <col min="9753" max="9753" width="10.85546875" style="2" bestFit="1" customWidth="1"/>
    <col min="9754" max="9984" width="9.140625" style="2"/>
    <col min="9985" max="9985" width="1.5703125" style="2" customWidth="1"/>
    <col min="9986" max="9986" width="1.7109375" style="2" customWidth="1"/>
    <col min="9987" max="9987" width="44.85546875" style="2" customWidth="1"/>
    <col min="9988" max="9988" width="46.5703125" style="2" customWidth="1"/>
    <col min="9989" max="9989" width="16.42578125" style="2" customWidth="1"/>
    <col min="9990" max="9990" width="14" style="2" customWidth="1"/>
    <col min="9991" max="9991" width="13.42578125" style="2" customWidth="1"/>
    <col min="9992" max="9992" width="9.5703125" style="2" customWidth="1"/>
    <col min="9993" max="9994" width="11" style="2" customWidth="1"/>
    <col min="9995" max="9995" width="12.28515625" style="2" customWidth="1"/>
    <col min="9996" max="9997" width="12" style="2" customWidth="1"/>
    <col min="9998" max="9998" width="11.85546875" style="2" customWidth="1"/>
    <col min="9999" max="9999" width="13.42578125" style="2" customWidth="1"/>
    <col min="10000" max="10000" width="15.42578125" style="2" customWidth="1"/>
    <col min="10001" max="10001" width="15" style="2" customWidth="1"/>
    <col min="10002" max="10002" width="15.5703125" style="2" customWidth="1"/>
    <col min="10003" max="10004" width="15.140625" style="2" customWidth="1"/>
    <col min="10005" max="10005" width="12.28515625" style="2" customWidth="1"/>
    <col min="10006" max="10006" width="12.5703125" style="2" customWidth="1"/>
    <col min="10007" max="10007" width="13.85546875" style="2" customWidth="1"/>
    <col min="10008" max="10008" width="14.7109375" style="2" customWidth="1"/>
    <col min="10009" max="10009" width="10.85546875" style="2" bestFit="1" customWidth="1"/>
    <col min="10010" max="10240" width="9.140625" style="2"/>
    <col min="10241" max="10241" width="1.5703125" style="2" customWidth="1"/>
    <col min="10242" max="10242" width="1.7109375" style="2" customWidth="1"/>
    <col min="10243" max="10243" width="44.85546875" style="2" customWidth="1"/>
    <col min="10244" max="10244" width="46.5703125" style="2" customWidth="1"/>
    <col min="10245" max="10245" width="16.42578125" style="2" customWidth="1"/>
    <col min="10246" max="10246" width="14" style="2" customWidth="1"/>
    <col min="10247" max="10247" width="13.42578125" style="2" customWidth="1"/>
    <col min="10248" max="10248" width="9.5703125" style="2" customWidth="1"/>
    <col min="10249" max="10250" width="11" style="2" customWidth="1"/>
    <col min="10251" max="10251" width="12.28515625" style="2" customWidth="1"/>
    <col min="10252" max="10253" width="12" style="2" customWidth="1"/>
    <col min="10254" max="10254" width="11.85546875" style="2" customWidth="1"/>
    <col min="10255" max="10255" width="13.42578125" style="2" customWidth="1"/>
    <col min="10256" max="10256" width="15.42578125" style="2" customWidth="1"/>
    <col min="10257" max="10257" width="15" style="2" customWidth="1"/>
    <col min="10258" max="10258" width="15.5703125" style="2" customWidth="1"/>
    <col min="10259" max="10260" width="15.140625" style="2" customWidth="1"/>
    <col min="10261" max="10261" width="12.28515625" style="2" customWidth="1"/>
    <col min="10262" max="10262" width="12.5703125" style="2" customWidth="1"/>
    <col min="10263" max="10263" width="13.85546875" style="2" customWidth="1"/>
    <col min="10264" max="10264" width="14.7109375" style="2" customWidth="1"/>
    <col min="10265" max="10265" width="10.85546875" style="2" bestFit="1" customWidth="1"/>
    <col min="10266" max="10496" width="9.140625" style="2"/>
    <col min="10497" max="10497" width="1.5703125" style="2" customWidth="1"/>
    <col min="10498" max="10498" width="1.7109375" style="2" customWidth="1"/>
    <col min="10499" max="10499" width="44.85546875" style="2" customWidth="1"/>
    <col min="10500" max="10500" width="46.5703125" style="2" customWidth="1"/>
    <col min="10501" max="10501" width="16.42578125" style="2" customWidth="1"/>
    <col min="10502" max="10502" width="14" style="2" customWidth="1"/>
    <col min="10503" max="10503" width="13.42578125" style="2" customWidth="1"/>
    <col min="10504" max="10504" width="9.5703125" style="2" customWidth="1"/>
    <col min="10505" max="10506" width="11" style="2" customWidth="1"/>
    <col min="10507" max="10507" width="12.28515625" style="2" customWidth="1"/>
    <col min="10508" max="10509" width="12" style="2" customWidth="1"/>
    <col min="10510" max="10510" width="11.85546875" style="2" customWidth="1"/>
    <col min="10511" max="10511" width="13.42578125" style="2" customWidth="1"/>
    <col min="10512" max="10512" width="15.42578125" style="2" customWidth="1"/>
    <col min="10513" max="10513" width="15" style="2" customWidth="1"/>
    <col min="10514" max="10514" width="15.5703125" style="2" customWidth="1"/>
    <col min="10515" max="10516" width="15.140625" style="2" customWidth="1"/>
    <col min="10517" max="10517" width="12.28515625" style="2" customWidth="1"/>
    <col min="10518" max="10518" width="12.5703125" style="2" customWidth="1"/>
    <col min="10519" max="10519" width="13.85546875" style="2" customWidth="1"/>
    <col min="10520" max="10520" width="14.7109375" style="2" customWidth="1"/>
    <col min="10521" max="10521" width="10.85546875" style="2" bestFit="1" customWidth="1"/>
    <col min="10522" max="10752" width="9.140625" style="2"/>
    <col min="10753" max="10753" width="1.5703125" style="2" customWidth="1"/>
    <col min="10754" max="10754" width="1.7109375" style="2" customWidth="1"/>
    <col min="10755" max="10755" width="44.85546875" style="2" customWidth="1"/>
    <col min="10756" max="10756" width="46.5703125" style="2" customWidth="1"/>
    <col min="10757" max="10757" width="16.42578125" style="2" customWidth="1"/>
    <col min="10758" max="10758" width="14" style="2" customWidth="1"/>
    <col min="10759" max="10759" width="13.42578125" style="2" customWidth="1"/>
    <col min="10760" max="10760" width="9.5703125" style="2" customWidth="1"/>
    <col min="10761" max="10762" width="11" style="2" customWidth="1"/>
    <col min="10763" max="10763" width="12.28515625" style="2" customWidth="1"/>
    <col min="10764" max="10765" width="12" style="2" customWidth="1"/>
    <col min="10766" max="10766" width="11.85546875" style="2" customWidth="1"/>
    <col min="10767" max="10767" width="13.42578125" style="2" customWidth="1"/>
    <col min="10768" max="10768" width="15.42578125" style="2" customWidth="1"/>
    <col min="10769" max="10769" width="15" style="2" customWidth="1"/>
    <col min="10770" max="10770" width="15.5703125" style="2" customWidth="1"/>
    <col min="10771" max="10772" width="15.140625" style="2" customWidth="1"/>
    <col min="10773" max="10773" width="12.28515625" style="2" customWidth="1"/>
    <col min="10774" max="10774" width="12.5703125" style="2" customWidth="1"/>
    <col min="10775" max="10775" width="13.85546875" style="2" customWidth="1"/>
    <col min="10776" max="10776" width="14.7109375" style="2" customWidth="1"/>
    <col min="10777" max="10777" width="10.85546875" style="2" bestFit="1" customWidth="1"/>
    <col min="10778" max="11008" width="9.140625" style="2"/>
    <col min="11009" max="11009" width="1.5703125" style="2" customWidth="1"/>
    <col min="11010" max="11010" width="1.7109375" style="2" customWidth="1"/>
    <col min="11011" max="11011" width="44.85546875" style="2" customWidth="1"/>
    <col min="11012" max="11012" width="46.5703125" style="2" customWidth="1"/>
    <col min="11013" max="11013" width="16.42578125" style="2" customWidth="1"/>
    <col min="11014" max="11014" width="14" style="2" customWidth="1"/>
    <col min="11015" max="11015" width="13.42578125" style="2" customWidth="1"/>
    <col min="11016" max="11016" width="9.5703125" style="2" customWidth="1"/>
    <col min="11017" max="11018" width="11" style="2" customWidth="1"/>
    <col min="11019" max="11019" width="12.28515625" style="2" customWidth="1"/>
    <col min="11020" max="11021" width="12" style="2" customWidth="1"/>
    <col min="11022" max="11022" width="11.85546875" style="2" customWidth="1"/>
    <col min="11023" max="11023" width="13.42578125" style="2" customWidth="1"/>
    <col min="11024" max="11024" width="15.42578125" style="2" customWidth="1"/>
    <col min="11025" max="11025" width="15" style="2" customWidth="1"/>
    <col min="11026" max="11026" width="15.5703125" style="2" customWidth="1"/>
    <col min="11027" max="11028" width="15.140625" style="2" customWidth="1"/>
    <col min="11029" max="11029" width="12.28515625" style="2" customWidth="1"/>
    <col min="11030" max="11030" width="12.5703125" style="2" customWidth="1"/>
    <col min="11031" max="11031" width="13.85546875" style="2" customWidth="1"/>
    <col min="11032" max="11032" width="14.7109375" style="2" customWidth="1"/>
    <col min="11033" max="11033" width="10.85546875" style="2" bestFit="1" customWidth="1"/>
    <col min="11034" max="11264" width="9.140625" style="2"/>
    <col min="11265" max="11265" width="1.5703125" style="2" customWidth="1"/>
    <col min="11266" max="11266" width="1.7109375" style="2" customWidth="1"/>
    <col min="11267" max="11267" width="44.85546875" style="2" customWidth="1"/>
    <col min="11268" max="11268" width="46.5703125" style="2" customWidth="1"/>
    <col min="11269" max="11269" width="16.42578125" style="2" customWidth="1"/>
    <col min="11270" max="11270" width="14" style="2" customWidth="1"/>
    <col min="11271" max="11271" width="13.42578125" style="2" customWidth="1"/>
    <col min="11272" max="11272" width="9.5703125" style="2" customWidth="1"/>
    <col min="11273" max="11274" width="11" style="2" customWidth="1"/>
    <col min="11275" max="11275" width="12.28515625" style="2" customWidth="1"/>
    <col min="11276" max="11277" width="12" style="2" customWidth="1"/>
    <col min="11278" max="11278" width="11.85546875" style="2" customWidth="1"/>
    <col min="11279" max="11279" width="13.42578125" style="2" customWidth="1"/>
    <col min="11280" max="11280" width="15.42578125" style="2" customWidth="1"/>
    <col min="11281" max="11281" width="15" style="2" customWidth="1"/>
    <col min="11282" max="11282" width="15.5703125" style="2" customWidth="1"/>
    <col min="11283" max="11284" width="15.140625" style="2" customWidth="1"/>
    <col min="11285" max="11285" width="12.28515625" style="2" customWidth="1"/>
    <col min="11286" max="11286" width="12.5703125" style="2" customWidth="1"/>
    <col min="11287" max="11287" width="13.85546875" style="2" customWidth="1"/>
    <col min="11288" max="11288" width="14.7109375" style="2" customWidth="1"/>
    <col min="11289" max="11289" width="10.85546875" style="2" bestFit="1" customWidth="1"/>
    <col min="11290" max="11520" width="9.140625" style="2"/>
    <col min="11521" max="11521" width="1.5703125" style="2" customWidth="1"/>
    <col min="11522" max="11522" width="1.7109375" style="2" customWidth="1"/>
    <col min="11523" max="11523" width="44.85546875" style="2" customWidth="1"/>
    <col min="11524" max="11524" width="46.5703125" style="2" customWidth="1"/>
    <col min="11525" max="11525" width="16.42578125" style="2" customWidth="1"/>
    <col min="11526" max="11526" width="14" style="2" customWidth="1"/>
    <col min="11527" max="11527" width="13.42578125" style="2" customWidth="1"/>
    <col min="11528" max="11528" width="9.5703125" style="2" customWidth="1"/>
    <col min="11529" max="11530" width="11" style="2" customWidth="1"/>
    <col min="11531" max="11531" width="12.28515625" style="2" customWidth="1"/>
    <col min="11532" max="11533" width="12" style="2" customWidth="1"/>
    <col min="11534" max="11534" width="11.85546875" style="2" customWidth="1"/>
    <col min="11535" max="11535" width="13.42578125" style="2" customWidth="1"/>
    <col min="11536" max="11536" width="15.42578125" style="2" customWidth="1"/>
    <col min="11537" max="11537" width="15" style="2" customWidth="1"/>
    <col min="11538" max="11538" width="15.5703125" style="2" customWidth="1"/>
    <col min="11539" max="11540" width="15.140625" style="2" customWidth="1"/>
    <col min="11541" max="11541" width="12.28515625" style="2" customWidth="1"/>
    <col min="11542" max="11542" width="12.5703125" style="2" customWidth="1"/>
    <col min="11543" max="11543" width="13.85546875" style="2" customWidth="1"/>
    <col min="11544" max="11544" width="14.7109375" style="2" customWidth="1"/>
    <col min="11545" max="11545" width="10.85546875" style="2" bestFit="1" customWidth="1"/>
    <col min="11546" max="11776" width="9.140625" style="2"/>
    <col min="11777" max="11777" width="1.5703125" style="2" customWidth="1"/>
    <col min="11778" max="11778" width="1.7109375" style="2" customWidth="1"/>
    <col min="11779" max="11779" width="44.85546875" style="2" customWidth="1"/>
    <col min="11780" max="11780" width="46.5703125" style="2" customWidth="1"/>
    <col min="11781" max="11781" width="16.42578125" style="2" customWidth="1"/>
    <col min="11782" max="11782" width="14" style="2" customWidth="1"/>
    <col min="11783" max="11783" width="13.42578125" style="2" customWidth="1"/>
    <col min="11784" max="11784" width="9.5703125" style="2" customWidth="1"/>
    <col min="11785" max="11786" width="11" style="2" customWidth="1"/>
    <col min="11787" max="11787" width="12.28515625" style="2" customWidth="1"/>
    <col min="11788" max="11789" width="12" style="2" customWidth="1"/>
    <col min="11790" max="11790" width="11.85546875" style="2" customWidth="1"/>
    <col min="11791" max="11791" width="13.42578125" style="2" customWidth="1"/>
    <col min="11792" max="11792" width="15.42578125" style="2" customWidth="1"/>
    <col min="11793" max="11793" width="15" style="2" customWidth="1"/>
    <col min="11794" max="11794" width="15.5703125" style="2" customWidth="1"/>
    <col min="11795" max="11796" width="15.140625" style="2" customWidth="1"/>
    <col min="11797" max="11797" width="12.28515625" style="2" customWidth="1"/>
    <col min="11798" max="11798" width="12.5703125" style="2" customWidth="1"/>
    <col min="11799" max="11799" width="13.85546875" style="2" customWidth="1"/>
    <col min="11800" max="11800" width="14.7109375" style="2" customWidth="1"/>
    <col min="11801" max="11801" width="10.85546875" style="2" bestFit="1" customWidth="1"/>
    <col min="11802" max="12032" width="9.140625" style="2"/>
    <col min="12033" max="12033" width="1.5703125" style="2" customWidth="1"/>
    <col min="12034" max="12034" width="1.7109375" style="2" customWidth="1"/>
    <col min="12035" max="12035" width="44.85546875" style="2" customWidth="1"/>
    <col min="12036" max="12036" width="46.5703125" style="2" customWidth="1"/>
    <col min="12037" max="12037" width="16.42578125" style="2" customWidth="1"/>
    <col min="12038" max="12038" width="14" style="2" customWidth="1"/>
    <col min="12039" max="12039" width="13.42578125" style="2" customWidth="1"/>
    <col min="12040" max="12040" width="9.5703125" style="2" customWidth="1"/>
    <col min="12041" max="12042" width="11" style="2" customWidth="1"/>
    <col min="12043" max="12043" width="12.28515625" style="2" customWidth="1"/>
    <col min="12044" max="12045" width="12" style="2" customWidth="1"/>
    <col min="12046" max="12046" width="11.85546875" style="2" customWidth="1"/>
    <col min="12047" max="12047" width="13.42578125" style="2" customWidth="1"/>
    <col min="12048" max="12048" width="15.42578125" style="2" customWidth="1"/>
    <col min="12049" max="12049" width="15" style="2" customWidth="1"/>
    <col min="12050" max="12050" width="15.5703125" style="2" customWidth="1"/>
    <col min="12051" max="12052" width="15.140625" style="2" customWidth="1"/>
    <col min="12053" max="12053" width="12.28515625" style="2" customWidth="1"/>
    <col min="12054" max="12054" width="12.5703125" style="2" customWidth="1"/>
    <col min="12055" max="12055" width="13.85546875" style="2" customWidth="1"/>
    <col min="12056" max="12056" width="14.7109375" style="2" customWidth="1"/>
    <col min="12057" max="12057" width="10.85546875" style="2" bestFit="1" customWidth="1"/>
    <col min="12058" max="12288" width="9.140625" style="2"/>
    <col min="12289" max="12289" width="1.5703125" style="2" customWidth="1"/>
    <col min="12290" max="12290" width="1.7109375" style="2" customWidth="1"/>
    <col min="12291" max="12291" width="44.85546875" style="2" customWidth="1"/>
    <col min="12292" max="12292" width="46.5703125" style="2" customWidth="1"/>
    <col min="12293" max="12293" width="16.42578125" style="2" customWidth="1"/>
    <col min="12294" max="12294" width="14" style="2" customWidth="1"/>
    <col min="12295" max="12295" width="13.42578125" style="2" customWidth="1"/>
    <col min="12296" max="12296" width="9.5703125" style="2" customWidth="1"/>
    <col min="12297" max="12298" width="11" style="2" customWidth="1"/>
    <col min="12299" max="12299" width="12.28515625" style="2" customWidth="1"/>
    <col min="12300" max="12301" width="12" style="2" customWidth="1"/>
    <col min="12302" max="12302" width="11.85546875" style="2" customWidth="1"/>
    <col min="12303" max="12303" width="13.42578125" style="2" customWidth="1"/>
    <col min="12304" max="12304" width="15.42578125" style="2" customWidth="1"/>
    <col min="12305" max="12305" width="15" style="2" customWidth="1"/>
    <col min="12306" max="12306" width="15.5703125" style="2" customWidth="1"/>
    <col min="12307" max="12308" width="15.140625" style="2" customWidth="1"/>
    <col min="12309" max="12309" width="12.28515625" style="2" customWidth="1"/>
    <col min="12310" max="12310" width="12.5703125" style="2" customWidth="1"/>
    <col min="12311" max="12311" width="13.85546875" style="2" customWidth="1"/>
    <col min="12312" max="12312" width="14.7109375" style="2" customWidth="1"/>
    <col min="12313" max="12313" width="10.85546875" style="2" bestFit="1" customWidth="1"/>
    <col min="12314" max="12544" width="9.140625" style="2"/>
    <col min="12545" max="12545" width="1.5703125" style="2" customWidth="1"/>
    <col min="12546" max="12546" width="1.7109375" style="2" customWidth="1"/>
    <col min="12547" max="12547" width="44.85546875" style="2" customWidth="1"/>
    <col min="12548" max="12548" width="46.5703125" style="2" customWidth="1"/>
    <col min="12549" max="12549" width="16.42578125" style="2" customWidth="1"/>
    <col min="12550" max="12550" width="14" style="2" customWidth="1"/>
    <col min="12551" max="12551" width="13.42578125" style="2" customWidth="1"/>
    <col min="12552" max="12552" width="9.5703125" style="2" customWidth="1"/>
    <col min="12553" max="12554" width="11" style="2" customWidth="1"/>
    <col min="12555" max="12555" width="12.28515625" style="2" customWidth="1"/>
    <col min="12556" max="12557" width="12" style="2" customWidth="1"/>
    <col min="12558" max="12558" width="11.85546875" style="2" customWidth="1"/>
    <col min="12559" max="12559" width="13.42578125" style="2" customWidth="1"/>
    <col min="12560" max="12560" width="15.42578125" style="2" customWidth="1"/>
    <col min="12561" max="12561" width="15" style="2" customWidth="1"/>
    <col min="12562" max="12562" width="15.5703125" style="2" customWidth="1"/>
    <col min="12563" max="12564" width="15.140625" style="2" customWidth="1"/>
    <col min="12565" max="12565" width="12.28515625" style="2" customWidth="1"/>
    <col min="12566" max="12566" width="12.5703125" style="2" customWidth="1"/>
    <col min="12567" max="12567" width="13.85546875" style="2" customWidth="1"/>
    <col min="12568" max="12568" width="14.7109375" style="2" customWidth="1"/>
    <col min="12569" max="12569" width="10.85546875" style="2" bestFit="1" customWidth="1"/>
    <col min="12570" max="12800" width="9.140625" style="2"/>
    <col min="12801" max="12801" width="1.5703125" style="2" customWidth="1"/>
    <col min="12802" max="12802" width="1.7109375" style="2" customWidth="1"/>
    <col min="12803" max="12803" width="44.85546875" style="2" customWidth="1"/>
    <col min="12804" max="12804" width="46.5703125" style="2" customWidth="1"/>
    <col min="12805" max="12805" width="16.42578125" style="2" customWidth="1"/>
    <col min="12806" max="12806" width="14" style="2" customWidth="1"/>
    <col min="12807" max="12807" width="13.42578125" style="2" customWidth="1"/>
    <col min="12808" max="12808" width="9.5703125" style="2" customWidth="1"/>
    <col min="12809" max="12810" width="11" style="2" customWidth="1"/>
    <col min="12811" max="12811" width="12.28515625" style="2" customWidth="1"/>
    <col min="12812" max="12813" width="12" style="2" customWidth="1"/>
    <col min="12814" max="12814" width="11.85546875" style="2" customWidth="1"/>
    <col min="12815" max="12815" width="13.42578125" style="2" customWidth="1"/>
    <col min="12816" max="12816" width="15.42578125" style="2" customWidth="1"/>
    <col min="12817" max="12817" width="15" style="2" customWidth="1"/>
    <col min="12818" max="12818" width="15.5703125" style="2" customWidth="1"/>
    <col min="12819" max="12820" width="15.140625" style="2" customWidth="1"/>
    <col min="12821" max="12821" width="12.28515625" style="2" customWidth="1"/>
    <col min="12822" max="12822" width="12.5703125" style="2" customWidth="1"/>
    <col min="12823" max="12823" width="13.85546875" style="2" customWidth="1"/>
    <col min="12824" max="12824" width="14.7109375" style="2" customWidth="1"/>
    <col min="12825" max="12825" width="10.85546875" style="2" bestFit="1" customWidth="1"/>
    <col min="12826" max="13056" width="9.140625" style="2"/>
    <col min="13057" max="13057" width="1.5703125" style="2" customWidth="1"/>
    <col min="13058" max="13058" width="1.7109375" style="2" customWidth="1"/>
    <col min="13059" max="13059" width="44.85546875" style="2" customWidth="1"/>
    <col min="13060" max="13060" width="46.5703125" style="2" customWidth="1"/>
    <col min="13061" max="13061" width="16.42578125" style="2" customWidth="1"/>
    <col min="13062" max="13062" width="14" style="2" customWidth="1"/>
    <col min="13063" max="13063" width="13.42578125" style="2" customWidth="1"/>
    <col min="13064" max="13064" width="9.5703125" style="2" customWidth="1"/>
    <col min="13065" max="13066" width="11" style="2" customWidth="1"/>
    <col min="13067" max="13067" width="12.28515625" style="2" customWidth="1"/>
    <col min="13068" max="13069" width="12" style="2" customWidth="1"/>
    <col min="13070" max="13070" width="11.85546875" style="2" customWidth="1"/>
    <col min="13071" max="13071" width="13.42578125" style="2" customWidth="1"/>
    <col min="13072" max="13072" width="15.42578125" style="2" customWidth="1"/>
    <col min="13073" max="13073" width="15" style="2" customWidth="1"/>
    <col min="13074" max="13074" width="15.5703125" style="2" customWidth="1"/>
    <col min="13075" max="13076" width="15.140625" style="2" customWidth="1"/>
    <col min="13077" max="13077" width="12.28515625" style="2" customWidth="1"/>
    <col min="13078" max="13078" width="12.5703125" style="2" customWidth="1"/>
    <col min="13079" max="13079" width="13.85546875" style="2" customWidth="1"/>
    <col min="13080" max="13080" width="14.7109375" style="2" customWidth="1"/>
    <col min="13081" max="13081" width="10.85546875" style="2" bestFit="1" customWidth="1"/>
    <col min="13082" max="13312" width="9.140625" style="2"/>
    <col min="13313" max="13313" width="1.5703125" style="2" customWidth="1"/>
    <col min="13314" max="13314" width="1.7109375" style="2" customWidth="1"/>
    <col min="13315" max="13315" width="44.85546875" style="2" customWidth="1"/>
    <col min="13316" max="13316" width="46.5703125" style="2" customWidth="1"/>
    <col min="13317" max="13317" width="16.42578125" style="2" customWidth="1"/>
    <col min="13318" max="13318" width="14" style="2" customWidth="1"/>
    <col min="13319" max="13319" width="13.42578125" style="2" customWidth="1"/>
    <col min="13320" max="13320" width="9.5703125" style="2" customWidth="1"/>
    <col min="13321" max="13322" width="11" style="2" customWidth="1"/>
    <col min="13323" max="13323" width="12.28515625" style="2" customWidth="1"/>
    <col min="13324" max="13325" width="12" style="2" customWidth="1"/>
    <col min="13326" max="13326" width="11.85546875" style="2" customWidth="1"/>
    <col min="13327" max="13327" width="13.42578125" style="2" customWidth="1"/>
    <col min="13328" max="13328" width="15.42578125" style="2" customWidth="1"/>
    <col min="13329" max="13329" width="15" style="2" customWidth="1"/>
    <col min="13330" max="13330" width="15.5703125" style="2" customWidth="1"/>
    <col min="13331" max="13332" width="15.140625" style="2" customWidth="1"/>
    <col min="13333" max="13333" width="12.28515625" style="2" customWidth="1"/>
    <col min="13334" max="13334" width="12.5703125" style="2" customWidth="1"/>
    <col min="13335" max="13335" width="13.85546875" style="2" customWidth="1"/>
    <col min="13336" max="13336" width="14.7109375" style="2" customWidth="1"/>
    <col min="13337" max="13337" width="10.85546875" style="2" bestFit="1" customWidth="1"/>
    <col min="13338" max="13568" width="9.140625" style="2"/>
    <col min="13569" max="13569" width="1.5703125" style="2" customWidth="1"/>
    <col min="13570" max="13570" width="1.7109375" style="2" customWidth="1"/>
    <col min="13571" max="13571" width="44.85546875" style="2" customWidth="1"/>
    <col min="13572" max="13572" width="46.5703125" style="2" customWidth="1"/>
    <col min="13573" max="13573" width="16.42578125" style="2" customWidth="1"/>
    <col min="13574" max="13574" width="14" style="2" customWidth="1"/>
    <col min="13575" max="13575" width="13.42578125" style="2" customWidth="1"/>
    <col min="13576" max="13576" width="9.5703125" style="2" customWidth="1"/>
    <col min="13577" max="13578" width="11" style="2" customWidth="1"/>
    <col min="13579" max="13579" width="12.28515625" style="2" customWidth="1"/>
    <col min="13580" max="13581" width="12" style="2" customWidth="1"/>
    <col min="13582" max="13582" width="11.85546875" style="2" customWidth="1"/>
    <col min="13583" max="13583" width="13.42578125" style="2" customWidth="1"/>
    <col min="13584" max="13584" width="15.42578125" style="2" customWidth="1"/>
    <col min="13585" max="13585" width="15" style="2" customWidth="1"/>
    <col min="13586" max="13586" width="15.5703125" style="2" customWidth="1"/>
    <col min="13587" max="13588" width="15.140625" style="2" customWidth="1"/>
    <col min="13589" max="13589" width="12.28515625" style="2" customWidth="1"/>
    <col min="13590" max="13590" width="12.5703125" style="2" customWidth="1"/>
    <col min="13591" max="13591" width="13.85546875" style="2" customWidth="1"/>
    <col min="13592" max="13592" width="14.7109375" style="2" customWidth="1"/>
    <col min="13593" max="13593" width="10.85546875" style="2" bestFit="1" customWidth="1"/>
    <col min="13594" max="13824" width="9.140625" style="2"/>
    <col min="13825" max="13825" width="1.5703125" style="2" customWidth="1"/>
    <col min="13826" max="13826" width="1.7109375" style="2" customWidth="1"/>
    <col min="13827" max="13827" width="44.85546875" style="2" customWidth="1"/>
    <col min="13828" max="13828" width="46.5703125" style="2" customWidth="1"/>
    <col min="13829" max="13829" width="16.42578125" style="2" customWidth="1"/>
    <col min="13830" max="13830" width="14" style="2" customWidth="1"/>
    <col min="13831" max="13831" width="13.42578125" style="2" customWidth="1"/>
    <col min="13832" max="13832" width="9.5703125" style="2" customWidth="1"/>
    <col min="13833" max="13834" width="11" style="2" customWidth="1"/>
    <col min="13835" max="13835" width="12.28515625" style="2" customWidth="1"/>
    <col min="13836" max="13837" width="12" style="2" customWidth="1"/>
    <col min="13838" max="13838" width="11.85546875" style="2" customWidth="1"/>
    <col min="13839" max="13839" width="13.42578125" style="2" customWidth="1"/>
    <col min="13840" max="13840" width="15.42578125" style="2" customWidth="1"/>
    <col min="13841" max="13841" width="15" style="2" customWidth="1"/>
    <col min="13842" max="13842" width="15.5703125" style="2" customWidth="1"/>
    <col min="13843" max="13844" width="15.140625" style="2" customWidth="1"/>
    <col min="13845" max="13845" width="12.28515625" style="2" customWidth="1"/>
    <col min="13846" max="13846" width="12.5703125" style="2" customWidth="1"/>
    <col min="13847" max="13847" width="13.85546875" style="2" customWidth="1"/>
    <col min="13848" max="13848" width="14.7109375" style="2" customWidth="1"/>
    <col min="13849" max="13849" width="10.85546875" style="2" bestFit="1" customWidth="1"/>
    <col min="13850" max="14080" width="9.140625" style="2"/>
    <col min="14081" max="14081" width="1.5703125" style="2" customWidth="1"/>
    <col min="14082" max="14082" width="1.7109375" style="2" customWidth="1"/>
    <col min="14083" max="14083" width="44.85546875" style="2" customWidth="1"/>
    <col min="14084" max="14084" width="46.5703125" style="2" customWidth="1"/>
    <col min="14085" max="14085" width="16.42578125" style="2" customWidth="1"/>
    <col min="14086" max="14086" width="14" style="2" customWidth="1"/>
    <col min="14087" max="14087" width="13.42578125" style="2" customWidth="1"/>
    <col min="14088" max="14088" width="9.5703125" style="2" customWidth="1"/>
    <col min="14089" max="14090" width="11" style="2" customWidth="1"/>
    <col min="14091" max="14091" width="12.28515625" style="2" customWidth="1"/>
    <col min="14092" max="14093" width="12" style="2" customWidth="1"/>
    <col min="14094" max="14094" width="11.85546875" style="2" customWidth="1"/>
    <col min="14095" max="14095" width="13.42578125" style="2" customWidth="1"/>
    <col min="14096" max="14096" width="15.42578125" style="2" customWidth="1"/>
    <col min="14097" max="14097" width="15" style="2" customWidth="1"/>
    <col min="14098" max="14098" width="15.5703125" style="2" customWidth="1"/>
    <col min="14099" max="14100" width="15.140625" style="2" customWidth="1"/>
    <col min="14101" max="14101" width="12.28515625" style="2" customWidth="1"/>
    <col min="14102" max="14102" width="12.5703125" style="2" customWidth="1"/>
    <col min="14103" max="14103" width="13.85546875" style="2" customWidth="1"/>
    <col min="14104" max="14104" width="14.7109375" style="2" customWidth="1"/>
    <col min="14105" max="14105" width="10.85546875" style="2" bestFit="1" customWidth="1"/>
    <col min="14106" max="14336" width="9.140625" style="2"/>
    <col min="14337" max="14337" width="1.5703125" style="2" customWidth="1"/>
    <col min="14338" max="14338" width="1.7109375" style="2" customWidth="1"/>
    <col min="14339" max="14339" width="44.85546875" style="2" customWidth="1"/>
    <col min="14340" max="14340" width="46.5703125" style="2" customWidth="1"/>
    <col min="14341" max="14341" width="16.42578125" style="2" customWidth="1"/>
    <col min="14342" max="14342" width="14" style="2" customWidth="1"/>
    <col min="14343" max="14343" width="13.42578125" style="2" customWidth="1"/>
    <col min="14344" max="14344" width="9.5703125" style="2" customWidth="1"/>
    <col min="14345" max="14346" width="11" style="2" customWidth="1"/>
    <col min="14347" max="14347" width="12.28515625" style="2" customWidth="1"/>
    <col min="14348" max="14349" width="12" style="2" customWidth="1"/>
    <col min="14350" max="14350" width="11.85546875" style="2" customWidth="1"/>
    <col min="14351" max="14351" width="13.42578125" style="2" customWidth="1"/>
    <col min="14352" max="14352" width="15.42578125" style="2" customWidth="1"/>
    <col min="14353" max="14353" width="15" style="2" customWidth="1"/>
    <col min="14354" max="14354" width="15.5703125" style="2" customWidth="1"/>
    <col min="14355" max="14356" width="15.140625" style="2" customWidth="1"/>
    <col min="14357" max="14357" width="12.28515625" style="2" customWidth="1"/>
    <col min="14358" max="14358" width="12.5703125" style="2" customWidth="1"/>
    <col min="14359" max="14359" width="13.85546875" style="2" customWidth="1"/>
    <col min="14360" max="14360" width="14.7109375" style="2" customWidth="1"/>
    <col min="14361" max="14361" width="10.85546875" style="2" bestFit="1" customWidth="1"/>
    <col min="14362" max="14592" width="9.140625" style="2"/>
    <col min="14593" max="14593" width="1.5703125" style="2" customWidth="1"/>
    <col min="14594" max="14594" width="1.7109375" style="2" customWidth="1"/>
    <col min="14595" max="14595" width="44.85546875" style="2" customWidth="1"/>
    <col min="14596" max="14596" width="46.5703125" style="2" customWidth="1"/>
    <col min="14597" max="14597" width="16.42578125" style="2" customWidth="1"/>
    <col min="14598" max="14598" width="14" style="2" customWidth="1"/>
    <col min="14599" max="14599" width="13.42578125" style="2" customWidth="1"/>
    <col min="14600" max="14600" width="9.5703125" style="2" customWidth="1"/>
    <col min="14601" max="14602" width="11" style="2" customWidth="1"/>
    <col min="14603" max="14603" width="12.28515625" style="2" customWidth="1"/>
    <col min="14604" max="14605" width="12" style="2" customWidth="1"/>
    <col min="14606" max="14606" width="11.85546875" style="2" customWidth="1"/>
    <col min="14607" max="14607" width="13.42578125" style="2" customWidth="1"/>
    <col min="14608" max="14608" width="15.42578125" style="2" customWidth="1"/>
    <col min="14609" max="14609" width="15" style="2" customWidth="1"/>
    <col min="14610" max="14610" width="15.5703125" style="2" customWidth="1"/>
    <col min="14611" max="14612" width="15.140625" style="2" customWidth="1"/>
    <col min="14613" max="14613" width="12.28515625" style="2" customWidth="1"/>
    <col min="14614" max="14614" width="12.5703125" style="2" customWidth="1"/>
    <col min="14615" max="14615" width="13.85546875" style="2" customWidth="1"/>
    <col min="14616" max="14616" width="14.7109375" style="2" customWidth="1"/>
    <col min="14617" max="14617" width="10.85546875" style="2" bestFit="1" customWidth="1"/>
    <col min="14618" max="14848" width="9.140625" style="2"/>
    <col min="14849" max="14849" width="1.5703125" style="2" customWidth="1"/>
    <col min="14850" max="14850" width="1.7109375" style="2" customWidth="1"/>
    <col min="14851" max="14851" width="44.85546875" style="2" customWidth="1"/>
    <col min="14852" max="14852" width="46.5703125" style="2" customWidth="1"/>
    <col min="14853" max="14853" width="16.42578125" style="2" customWidth="1"/>
    <col min="14854" max="14854" width="14" style="2" customWidth="1"/>
    <col min="14855" max="14855" width="13.42578125" style="2" customWidth="1"/>
    <col min="14856" max="14856" width="9.5703125" style="2" customWidth="1"/>
    <col min="14857" max="14858" width="11" style="2" customWidth="1"/>
    <col min="14859" max="14859" width="12.28515625" style="2" customWidth="1"/>
    <col min="14860" max="14861" width="12" style="2" customWidth="1"/>
    <col min="14862" max="14862" width="11.85546875" style="2" customWidth="1"/>
    <col min="14863" max="14863" width="13.42578125" style="2" customWidth="1"/>
    <col min="14864" max="14864" width="15.42578125" style="2" customWidth="1"/>
    <col min="14865" max="14865" width="15" style="2" customWidth="1"/>
    <col min="14866" max="14866" width="15.5703125" style="2" customWidth="1"/>
    <col min="14867" max="14868" width="15.140625" style="2" customWidth="1"/>
    <col min="14869" max="14869" width="12.28515625" style="2" customWidth="1"/>
    <col min="14870" max="14870" width="12.5703125" style="2" customWidth="1"/>
    <col min="14871" max="14871" width="13.85546875" style="2" customWidth="1"/>
    <col min="14872" max="14872" width="14.7109375" style="2" customWidth="1"/>
    <col min="14873" max="14873" width="10.85546875" style="2" bestFit="1" customWidth="1"/>
    <col min="14874" max="15104" width="9.140625" style="2"/>
    <col min="15105" max="15105" width="1.5703125" style="2" customWidth="1"/>
    <col min="15106" max="15106" width="1.7109375" style="2" customWidth="1"/>
    <col min="15107" max="15107" width="44.85546875" style="2" customWidth="1"/>
    <col min="15108" max="15108" width="46.5703125" style="2" customWidth="1"/>
    <col min="15109" max="15109" width="16.42578125" style="2" customWidth="1"/>
    <col min="15110" max="15110" width="14" style="2" customWidth="1"/>
    <col min="15111" max="15111" width="13.42578125" style="2" customWidth="1"/>
    <col min="15112" max="15112" width="9.5703125" style="2" customWidth="1"/>
    <col min="15113" max="15114" width="11" style="2" customWidth="1"/>
    <col min="15115" max="15115" width="12.28515625" style="2" customWidth="1"/>
    <col min="15116" max="15117" width="12" style="2" customWidth="1"/>
    <col min="15118" max="15118" width="11.85546875" style="2" customWidth="1"/>
    <col min="15119" max="15119" width="13.42578125" style="2" customWidth="1"/>
    <col min="15120" max="15120" width="15.42578125" style="2" customWidth="1"/>
    <col min="15121" max="15121" width="15" style="2" customWidth="1"/>
    <col min="15122" max="15122" width="15.5703125" style="2" customWidth="1"/>
    <col min="15123" max="15124" width="15.140625" style="2" customWidth="1"/>
    <col min="15125" max="15125" width="12.28515625" style="2" customWidth="1"/>
    <col min="15126" max="15126" width="12.5703125" style="2" customWidth="1"/>
    <col min="15127" max="15127" width="13.85546875" style="2" customWidth="1"/>
    <col min="15128" max="15128" width="14.7109375" style="2" customWidth="1"/>
    <col min="15129" max="15129" width="10.85546875" style="2" bestFit="1" customWidth="1"/>
    <col min="15130" max="15360" width="9.140625" style="2"/>
    <col min="15361" max="15361" width="1.5703125" style="2" customWidth="1"/>
    <col min="15362" max="15362" width="1.7109375" style="2" customWidth="1"/>
    <col min="15363" max="15363" width="44.85546875" style="2" customWidth="1"/>
    <col min="15364" max="15364" width="46.5703125" style="2" customWidth="1"/>
    <col min="15365" max="15365" width="16.42578125" style="2" customWidth="1"/>
    <col min="15366" max="15366" width="14" style="2" customWidth="1"/>
    <col min="15367" max="15367" width="13.42578125" style="2" customWidth="1"/>
    <col min="15368" max="15368" width="9.5703125" style="2" customWidth="1"/>
    <col min="15369" max="15370" width="11" style="2" customWidth="1"/>
    <col min="15371" max="15371" width="12.28515625" style="2" customWidth="1"/>
    <col min="15372" max="15373" width="12" style="2" customWidth="1"/>
    <col min="15374" max="15374" width="11.85546875" style="2" customWidth="1"/>
    <col min="15375" max="15375" width="13.42578125" style="2" customWidth="1"/>
    <col min="15376" max="15376" width="15.42578125" style="2" customWidth="1"/>
    <col min="15377" max="15377" width="15" style="2" customWidth="1"/>
    <col min="15378" max="15378" width="15.5703125" style="2" customWidth="1"/>
    <col min="15379" max="15380" width="15.140625" style="2" customWidth="1"/>
    <col min="15381" max="15381" width="12.28515625" style="2" customWidth="1"/>
    <col min="15382" max="15382" width="12.5703125" style="2" customWidth="1"/>
    <col min="15383" max="15383" width="13.85546875" style="2" customWidth="1"/>
    <col min="15384" max="15384" width="14.7109375" style="2" customWidth="1"/>
    <col min="15385" max="15385" width="10.85546875" style="2" bestFit="1" customWidth="1"/>
    <col min="15386" max="15616" width="9.140625" style="2"/>
    <col min="15617" max="15617" width="1.5703125" style="2" customWidth="1"/>
    <col min="15618" max="15618" width="1.7109375" style="2" customWidth="1"/>
    <col min="15619" max="15619" width="44.85546875" style="2" customWidth="1"/>
    <col min="15620" max="15620" width="46.5703125" style="2" customWidth="1"/>
    <col min="15621" max="15621" width="16.42578125" style="2" customWidth="1"/>
    <col min="15622" max="15622" width="14" style="2" customWidth="1"/>
    <col min="15623" max="15623" width="13.42578125" style="2" customWidth="1"/>
    <col min="15624" max="15624" width="9.5703125" style="2" customWidth="1"/>
    <col min="15625" max="15626" width="11" style="2" customWidth="1"/>
    <col min="15627" max="15627" width="12.28515625" style="2" customWidth="1"/>
    <col min="15628" max="15629" width="12" style="2" customWidth="1"/>
    <col min="15630" max="15630" width="11.85546875" style="2" customWidth="1"/>
    <col min="15631" max="15631" width="13.42578125" style="2" customWidth="1"/>
    <col min="15632" max="15632" width="15.42578125" style="2" customWidth="1"/>
    <col min="15633" max="15633" width="15" style="2" customWidth="1"/>
    <col min="15634" max="15634" width="15.5703125" style="2" customWidth="1"/>
    <col min="15635" max="15636" width="15.140625" style="2" customWidth="1"/>
    <col min="15637" max="15637" width="12.28515625" style="2" customWidth="1"/>
    <col min="15638" max="15638" width="12.5703125" style="2" customWidth="1"/>
    <col min="15639" max="15639" width="13.85546875" style="2" customWidth="1"/>
    <col min="15640" max="15640" width="14.7109375" style="2" customWidth="1"/>
    <col min="15641" max="15641" width="10.85546875" style="2" bestFit="1" customWidth="1"/>
    <col min="15642" max="15872" width="9.140625" style="2"/>
    <col min="15873" max="15873" width="1.5703125" style="2" customWidth="1"/>
    <col min="15874" max="15874" width="1.7109375" style="2" customWidth="1"/>
    <col min="15875" max="15875" width="44.85546875" style="2" customWidth="1"/>
    <col min="15876" max="15876" width="46.5703125" style="2" customWidth="1"/>
    <col min="15877" max="15877" width="16.42578125" style="2" customWidth="1"/>
    <col min="15878" max="15878" width="14" style="2" customWidth="1"/>
    <col min="15879" max="15879" width="13.42578125" style="2" customWidth="1"/>
    <col min="15880" max="15880" width="9.5703125" style="2" customWidth="1"/>
    <col min="15881" max="15882" width="11" style="2" customWidth="1"/>
    <col min="15883" max="15883" width="12.28515625" style="2" customWidth="1"/>
    <col min="15884" max="15885" width="12" style="2" customWidth="1"/>
    <col min="15886" max="15886" width="11.85546875" style="2" customWidth="1"/>
    <col min="15887" max="15887" width="13.42578125" style="2" customWidth="1"/>
    <col min="15888" max="15888" width="15.42578125" style="2" customWidth="1"/>
    <col min="15889" max="15889" width="15" style="2" customWidth="1"/>
    <col min="15890" max="15890" width="15.5703125" style="2" customWidth="1"/>
    <col min="15891" max="15892" width="15.140625" style="2" customWidth="1"/>
    <col min="15893" max="15893" width="12.28515625" style="2" customWidth="1"/>
    <col min="15894" max="15894" width="12.5703125" style="2" customWidth="1"/>
    <col min="15895" max="15895" width="13.85546875" style="2" customWidth="1"/>
    <col min="15896" max="15896" width="14.7109375" style="2" customWidth="1"/>
    <col min="15897" max="15897" width="10.85546875" style="2" bestFit="1" customWidth="1"/>
    <col min="15898" max="16128" width="9.140625" style="2"/>
    <col min="16129" max="16129" width="1.5703125" style="2" customWidth="1"/>
    <col min="16130" max="16130" width="1.7109375" style="2" customWidth="1"/>
    <col min="16131" max="16131" width="44.85546875" style="2" customWidth="1"/>
    <col min="16132" max="16132" width="46.5703125" style="2" customWidth="1"/>
    <col min="16133" max="16133" width="16.42578125" style="2" customWidth="1"/>
    <col min="16134" max="16134" width="14" style="2" customWidth="1"/>
    <col min="16135" max="16135" width="13.42578125" style="2" customWidth="1"/>
    <col min="16136" max="16136" width="9.5703125" style="2" customWidth="1"/>
    <col min="16137" max="16138" width="11" style="2" customWidth="1"/>
    <col min="16139" max="16139" width="12.28515625" style="2" customWidth="1"/>
    <col min="16140" max="16141" width="12" style="2" customWidth="1"/>
    <col min="16142" max="16142" width="11.85546875" style="2" customWidth="1"/>
    <col min="16143" max="16143" width="13.42578125" style="2" customWidth="1"/>
    <col min="16144" max="16144" width="15.42578125" style="2" customWidth="1"/>
    <col min="16145" max="16145" width="15" style="2" customWidth="1"/>
    <col min="16146" max="16146" width="15.5703125" style="2" customWidth="1"/>
    <col min="16147" max="16148" width="15.140625" style="2" customWidth="1"/>
    <col min="16149" max="16149" width="12.28515625" style="2" customWidth="1"/>
    <col min="16150" max="16150" width="12.5703125" style="2" customWidth="1"/>
    <col min="16151" max="16151" width="13.85546875" style="2" customWidth="1"/>
    <col min="16152" max="16152" width="14.7109375" style="2" customWidth="1"/>
    <col min="16153" max="16153" width="10.85546875" style="2" bestFit="1" customWidth="1"/>
    <col min="16154" max="16384" width="9.140625" style="2"/>
  </cols>
  <sheetData>
    <row r="1" spans="1:25" ht="5.25" customHeight="1" thickBot="1"/>
    <row r="2" spans="1:25" ht="50.25" customHeight="1" thickBot="1">
      <c r="A2" s="626" t="s">
        <v>244</v>
      </c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627"/>
      <c r="M2" s="627"/>
      <c r="N2" s="627"/>
      <c r="O2" s="627"/>
      <c r="P2" s="627"/>
      <c r="Q2" s="627"/>
      <c r="R2" s="627"/>
      <c r="S2" s="627"/>
      <c r="T2" s="627"/>
      <c r="U2" s="627"/>
      <c r="V2" s="627"/>
      <c r="W2" s="628"/>
    </row>
    <row r="3" spans="1:25" ht="4.5" customHeight="1">
      <c r="A3" s="5"/>
      <c r="B3" s="5"/>
      <c r="C3" s="5"/>
      <c r="D3" s="5"/>
      <c r="E3" s="6"/>
      <c r="F3" s="5"/>
      <c r="G3" s="5"/>
      <c r="H3" s="7"/>
      <c r="I3" s="7"/>
      <c r="J3" s="7"/>
      <c r="K3" s="7"/>
      <c r="L3" s="7"/>
      <c r="M3" s="7"/>
      <c r="N3" s="7"/>
      <c r="O3" s="5"/>
      <c r="P3" s="8"/>
      <c r="Q3" s="9"/>
      <c r="R3" s="9"/>
      <c r="S3" s="9"/>
      <c r="T3" s="9"/>
      <c r="U3" s="9"/>
      <c r="V3" s="9"/>
      <c r="W3" s="9"/>
    </row>
    <row r="4" spans="1:25" ht="14.25" customHeight="1">
      <c r="A4" s="10"/>
      <c r="B4" s="10"/>
      <c r="C4" s="11" t="s">
        <v>29</v>
      </c>
      <c r="D4" s="12" t="str">
        <f>'[3]Титул '!G5</f>
        <v xml:space="preserve">_15_ куст _Ярайнерского_ месторождения </v>
      </c>
      <c r="E4" s="13" t="s">
        <v>30</v>
      </c>
      <c r="F4" s="629" t="s">
        <v>31</v>
      </c>
      <c r="G4" s="519"/>
      <c r="H4" s="518" t="s">
        <v>32</v>
      </c>
      <c r="I4" s="518" t="s">
        <v>33</v>
      </c>
      <c r="J4" s="518" t="s">
        <v>34</v>
      </c>
      <c r="K4" s="518" t="s">
        <v>35</v>
      </c>
      <c r="L4" s="518" t="s">
        <v>36</v>
      </c>
      <c r="M4" s="518" t="s">
        <v>37</v>
      </c>
      <c r="N4" s="518" t="s">
        <v>38</v>
      </c>
      <c r="O4" s="625" t="s">
        <v>39</v>
      </c>
      <c r="P4" s="632" t="s">
        <v>31</v>
      </c>
      <c r="Q4" s="632"/>
      <c r="R4" s="625" t="s">
        <v>40</v>
      </c>
    </row>
    <row r="5" spans="1:25" ht="15">
      <c r="A5" s="10"/>
      <c r="B5" s="10"/>
      <c r="C5" s="11" t="s">
        <v>41</v>
      </c>
      <c r="D5" s="12" t="str">
        <f>'[3]Титул '!C11</f>
        <v>тендер</v>
      </c>
      <c r="E5" s="14">
        <f>D197</f>
        <v>166273045.13193738</v>
      </c>
      <c r="F5" s="630"/>
      <c r="G5" s="631"/>
      <c r="H5" s="518"/>
      <c r="I5" s="518"/>
      <c r="J5" s="518"/>
      <c r="K5" s="518"/>
      <c r="L5" s="518"/>
      <c r="M5" s="518"/>
      <c r="N5" s="518"/>
      <c r="O5" s="625"/>
      <c r="P5" s="633"/>
      <c r="Q5" s="633"/>
      <c r="R5" s="625"/>
    </row>
    <row r="6" spans="1:25" ht="15" customHeight="1">
      <c r="A6" s="624"/>
      <c r="B6" s="622"/>
      <c r="C6" s="11" t="s">
        <v>42</v>
      </c>
      <c r="D6" s="12" t="str">
        <f>'[3]Титул '!C12</f>
        <v>БУ-5000 ЭУК</v>
      </c>
      <c r="E6" s="15" t="s">
        <v>43</v>
      </c>
      <c r="F6" s="623" t="s">
        <v>44</v>
      </c>
      <c r="G6" s="623"/>
      <c r="H6" s="16">
        <v>1</v>
      </c>
      <c r="I6" s="16">
        <v>4</v>
      </c>
      <c r="J6" s="16">
        <v>8</v>
      </c>
      <c r="K6" s="17"/>
      <c r="L6" s="16">
        <v>18</v>
      </c>
      <c r="M6" s="16"/>
      <c r="N6" s="17">
        <v>11</v>
      </c>
      <c r="O6" s="18">
        <f>SUM(I6:N6)</f>
        <v>41</v>
      </c>
      <c r="P6" s="623" t="s">
        <v>45</v>
      </c>
      <c r="Q6" s="623"/>
      <c r="R6" s="16">
        <v>17</v>
      </c>
    </row>
    <row r="7" spans="1:25" ht="15" customHeight="1">
      <c r="A7" s="624"/>
      <c r="B7" s="622"/>
      <c r="C7" s="11" t="s">
        <v>46</v>
      </c>
      <c r="D7" s="12" t="s">
        <v>47</v>
      </c>
      <c r="E7" s="19">
        <f>W37</f>
        <v>39281000</v>
      </c>
      <c r="F7" s="623" t="s">
        <v>48</v>
      </c>
      <c r="G7" s="623"/>
      <c r="H7" s="17"/>
      <c r="I7" s="20">
        <v>360</v>
      </c>
      <c r="J7" s="20">
        <v>1350</v>
      </c>
      <c r="K7" s="21"/>
      <c r="L7" s="20">
        <v>4000</v>
      </c>
      <c r="M7" s="20"/>
      <c r="N7" s="21">
        <v>4900</v>
      </c>
      <c r="O7" s="625" t="s">
        <v>49</v>
      </c>
      <c r="P7" s="623" t="s">
        <v>50</v>
      </c>
      <c r="Q7" s="623"/>
      <c r="R7" s="22"/>
    </row>
    <row r="8" spans="1:25" ht="15" customHeight="1">
      <c r="A8" s="624"/>
      <c r="B8" s="622"/>
      <c r="C8" s="23" t="s">
        <v>51</v>
      </c>
      <c r="D8" s="12">
        <v>5200</v>
      </c>
      <c r="E8" s="15" t="s">
        <v>52</v>
      </c>
      <c r="F8" s="623" t="s">
        <v>53</v>
      </c>
      <c r="G8" s="623"/>
      <c r="H8" s="17"/>
      <c r="I8" s="16">
        <v>393.7</v>
      </c>
      <c r="J8" s="16">
        <v>295.3</v>
      </c>
      <c r="K8" s="17"/>
      <c r="L8" s="16">
        <v>220.7</v>
      </c>
      <c r="M8" s="16"/>
      <c r="N8" s="17">
        <v>155.6</v>
      </c>
      <c r="O8" s="625"/>
      <c r="P8" s="623" t="s">
        <v>54</v>
      </c>
      <c r="Q8" s="623"/>
      <c r="R8" s="17">
        <v>8</v>
      </c>
    </row>
    <row r="9" spans="1:25" ht="15.75" customHeight="1">
      <c r="A9" s="624"/>
      <c r="B9" s="622"/>
      <c r="C9" s="11" t="s">
        <v>55</v>
      </c>
      <c r="D9" s="12" t="str">
        <f>'[3]Титул '!C13</f>
        <v>да</v>
      </c>
      <c r="E9" s="19">
        <f>W173</f>
        <v>100900100.99196617</v>
      </c>
      <c r="F9" s="623" t="s">
        <v>56</v>
      </c>
      <c r="G9" s="623"/>
      <c r="H9" s="17"/>
      <c r="I9" s="16">
        <v>323.89999999999998</v>
      </c>
      <c r="J9" s="16">
        <v>244.5</v>
      </c>
      <c r="K9" s="17"/>
      <c r="L9" s="16">
        <v>177.8</v>
      </c>
      <c r="M9" s="16"/>
      <c r="N9" s="17">
        <v>114.3</v>
      </c>
      <c r="O9" s="18">
        <f>D8</f>
        <v>5200</v>
      </c>
      <c r="P9" s="623" t="s">
        <v>57</v>
      </c>
      <c r="Q9" s="623"/>
      <c r="R9" s="17">
        <v>2</v>
      </c>
      <c r="S9" s="24"/>
      <c r="T9" s="24"/>
      <c r="U9" s="24"/>
      <c r="V9" s="24"/>
      <c r="W9" s="24"/>
      <c r="X9" s="25"/>
      <c r="Y9" s="24"/>
    </row>
    <row r="10" spans="1:25" ht="15" customHeight="1">
      <c r="A10" s="26"/>
      <c r="B10" s="27"/>
      <c r="C10" s="11" t="s">
        <v>58</v>
      </c>
      <c r="D10" s="12" t="str">
        <f>'[3]Титул '!C14</f>
        <v>нет</v>
      </c>
      <c r="E10" s="15" t="s">
        <v>59</v>
      </c>
      <c r="F10" s="518" t="s">
        <v>31</v>
      </c>
      <c r="G10" s="518"/>
      <c r="H10" s="28" t="s">
        <v>60</v>
      </c>
      <c r="I10" s="28" t="s">
        <v>61</v>
      </c>
      <c r="J10" s="28" t="s">
        <v>62</v>
      </c>
      <c r="K10" s="28" t="s">
        <v>63</v>
      </c>
      <c r="L10" s="28" t="s">
        <v>64</v>
      </c>
      <c r="M10" s="28" t="s">
        <v>65</v>
      </c>
      <c r="N10" s="28"/>
      <c r="O10" s="625" t="s">
        <v>66</v>
      </c>
      <c r="P10" s="623" t="s">
        <v>67</v>
      </c>
      <c r="Q10" s="623"/>
      <c r="R10" s="17"/>
      <c r="S10" s="24"/>
      <c r="T10" s="24"/>
      <c r="U10" s="24"/>
      <c r="V10" s="24"/>
      <c r="W10" s="24"/>
      <c r="X10" s="25"/>
      <c r="Y10" s="24"/>
    </row>
    <row r="11" spans="1:25" ht="17.25" customHeight="1">
      <c r="A11" s="26"/>
      <c r="B11" s="27"/>
      <c r="C11" s="11" t="s">
        <v>68</v>
      </c>
      <c r="D11" s="12" t="str">
        <f>'[3]Титул '!C15</f>
        <v>нет</v>
      </c>
      <c r="E11" s="19">
        <f>W189</f>
        <v>24891944.139971197</v>
      </c>
      <c r="F11" s="623" t="s">
        <v>69</v>
      </c>
      <c r="G11" s="623"/>
      <c r="H11" s="29"/>
      <c r="I11" s="29">
        <v>300</v>
      </c>
      <c r="J11" s="29"/>
      <c r="K11" s="29"/>
      <c r="L11" s="29"/>
      <c r="M11" s="29"/>
      <c r="N11" s="29"/>
      <c r="O11" s="625"/>
      <c r="P11" s="623" t="s">
        <v>70</v>
      </c>
      <c r="Q11" s="623"/>
      <c r="R11" s="17">
        <v>8</v>
      </c>
      <c r="S11" s="24"/>
      <c r="T11" s="24"/>
      <c r="U11" s="24"/>
      <c r="V11" s="24"/>
      <c r="W11" s="24"/>
      <c r="X11" s="25"/>
      <c r="Y11" s="24"/>
    </row>
    <row r="12" spans="1:25" ht="17.25" customHeight="1">
      <c r="A12" s="26"/>
      <c r="B12" s="27"/>
      <c r="C12" s="11" t="s">
        <v>71</v>
      </c>
      <c r="D12" s="16">
        <v>5</v>
      </c>
      <c r="E12" s="15" t="s">
        <v>72</v>
      </c>
      <c r="F12" s="609" t="s">
        <v>73</v>
      </c>
      <c r="G12" s="610"/>
      <c r="H12" s="30"/>
      <c r="I12" s="31"/>
      <c r="J12" s="31"/>
      <c r="K12" s="31"/>
      <c r="L12" s="31"/>
      <c r="M12" s="31"/>
      <c r="N12" s="31"/>
      <c r="O12" s="613">
        <v>2750</v>
      </c>
      <c r="P12" s="615" t="s">
        <v>73</v>
      </c>
      <c r="Q12" s="617"/>
      <c r="R12" s="618"/>
      <c r="S12" s="32"/>
      <c r="T12" s="24"/>
      <c r="U12" s="24"/>
      <c r="V12" s="24"/>
      <c r="W12" s="24"/>
      <c r="X12" s="25"/>
      <c r="Y12" s="24"/>
    </row>
    <row r="13" spans="1:25" ht="15">
      <c r="A13" s="621"/>
      <c r="B13" s="622"/>
      <c r="C13" s="33" t="s">
        <v>74</v>
      </c>
      <c r="D13" s="34" t="s">
        <v>75</v>
      </c>
      <c r="E13" s="35">
        <f>W195</f>
        <v>1200000</v>
      </c>
      <c r="F13" s="611"/>
      <c r="G13" s="612"/>
      <c r="H13" s="36"/>
      <c r="I13" s="37"/>
      <c r="J13" s="37"/>
      <c r="K13" s="37"/>
      <c r="L13" s="37"/>
      <c r="M13" s="37"/>
      <c r="N13" s="37"/>
      <c r="O13" s="614"/>
      <c r="P13" s="616"/>
      <c r="Q13" s="619"/>
      <c r="R13" s="620"/>
      <c r="S13" s="32"/>
      <c r="T13" s="38"/>
      <c r="U13" s="38"/>
      <c r="V13" s="38"/>
      <c r="W13" s="38"/>
      <c r="X13" s="25"/>
      <c r="Y13" s="38"/>
    </row>
    <row r="14" spans="1:25" ht="3.75" customHeight="1" thickBot="1">
      <c r="A14" s="39"/>
      <c r="B14" s="39"/>
      <c r="C14" s="40"/>
      <c r="D14" s="39"/>
      <c r="E14" s="39"/>
      <c r="F14" s="39"/>
      <c r="G14" s="39"/>
      <c r="H14" s="39"/>
      <c r="I14" s="39"/>
      <c r="J14" s="39"/>
      <c r="K14" s="3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5">
      <c r="A15" s="599" t="s">
        <v>76</v>
      </c>
      <c r="B15" s="600"/>
      <c r="C15" s="600"/>
      <c r="D15" s="600"/>
      <c r="E15" s="600"/>
      <c r="F15" s="600"/>
      <c r="G15" s="605"/>
      <c r="H15" s="606" t="s">
        <v>77</v>
      </c>
      <c r="I15" s="607"/>
      <c r="J15" s="607"/>
      <c r="K15" s="607"/>
      <c r="L15" s="607"/>
      <c r="M15" s="607"/>
      <c r="N15" s="608"/>
      <c r="O15" s="606" t="s">
        <v>78</v>
      </c>
      <c r="P15" s="607"/>
      <c r="Q15" s="607"/>
      <c r="R15" s="607"/>
      <c r="S15" s="607"/>
      <c r="T15" s="607"/>
      <c r="U15" s="608"/>
      <c r="V15" s="599" t="s">
        <v>79</v>
      </c>
      <c r="W15" s="600"/>
      <c r="X15" s="41"/>
    </row>
    <row r="16" spans="1:25" ht="45.75" customHeight="1" thickBot="1">
      <c r="A16" s="42"/>
      <c r="B16" s="43"/>
      <c r="C16" s="44" t="s">
        <v>80</v>
      </c>
      <c r="D16" s="45" t="s">
        <v>81</v>
      </c>
      <c r="E16" s="45" t="s">
        <v>82</v>
      </c>
      <c r="F16" s="45" t="s">
        <v>83</v>
      </c>
      <c r="G16" s="46" t="s">
        <v>84</v>
      </c>
      <c r="H16" s="47" t="s">
        <v>85</v>
      </c>
      <c r="I16" s="48" t="str">
        <f>+I4</f>
        <v xml:space="preserve">Направление </v>
      </c>
      <c r="J16" s="48" t="str">
        <f>+J4</f>
        <v>Кондуктор</v>
      </c>
      <c r="K16" s="48" t="str">
        <f>+K4</f>
        <v>Техническая колонна</v>
      </c>
      <c r="L16" s="48" t="str">
        <f>+L4</f>
        <v>Эксплуат-ая колонна</v>
      </c>
      <c r="M16" s="46" t="s">
        <v>37</v>
      </c>
      <c r="N16" s="49" t="str">
        <f>+N4</f>
        <v>Хвостовик</v>
      </c>
      <c r="O16" s="47" t="s">
        <v>85</v>
      </c>
      <c r="P16" s="50" t="str">
        <f>+I16</f>
        <v xml:space="preserve">Направление </v>
      </c>
      <c r="Q16" s="48" t="str">
        <f>+J16</f>
        <v>Кондуктор</v>
      </c>
      <c r="R16" s="48" t="str">
        <f>+K16</f>
        <v>Техническая колонна</v>
      </c>
      <c r="S16" s="48" t="str">
        <f>+L16</f>
        <v>Эксплуат-ая колонна</v>
      </c>
      <c r="T16" s="46" t="s">
        <v>37</v>
      </c>
      <c r="U16" s="46" t="str">
        <f>+N16</f>
        <v>Хвостовик</v>
      </c>
      <c r="V16" s="51" t="s">
        <v>86</v>
      </c>
      <c r="W16" s="52" t="s">
        <v>87</v>
      </c>
      <c r="X16" s="53" t="s">
        <v>88</v>
      </c>
    </row>
    <row r="17" spans="1:24" ht="13.5" thickBot="1">
      <c r="A17" s="54"/>
      <c r="B17" s="55"/>
      <c r="C17" s="56"/>
      <c r="D17" s="56"/>
      <c r="E17" s="57"/>
      <c r="F17" s="57"/>
      <c r="G17" s="58"/>
      <c r="H17" s="59"/>
      <c r="I17" s="59"/>
      <c r="J17" s="59"/>
      <c r="K17" s="59"/>
      <c r="L17" s="59"/>
      <c r="M17" s="59"/>
      <c r="N17" s="59"/>
      <c r="O17" s="60"/>
      <c r="P17" s="60"/>
      <c r="Q17" s="60"/>
      <c r="R17" s="60"/>
      <c r="S17" s="60"/>
      <c r="T17" s="60"/>
      <c r="U17" s="60"/>
      <c r="V17" s="61"/>
      <c r="W17" s="62"/>
      <c r="X17" s="63"/>
    </row>
    <row r="18" spans="1:24" ht="13.5" thickBot="1">
      <c r="A18" s="54" t="s">
        <v>89</v>
      </c>
      <c r="B18" s="55"/>
      <c r="C18" s="601" t="s">
        <v>90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602"/>
      <c r="T18" s="602"/>
      <c r="U18" s="602"/>
      <c r="V18" s="602"/>
      <c r="W18" s="603"/>
      <c r="X18" s="64">
        <f>SUM(W20:W36)</f>
        <v>39281000</v>
      </c>
    </row>
    <row r="19" spans="1:24" ht="13.5" outlineLevel="1" thickBot="1">
      <c r="A19" s="65"/>
      <c r="B19" s="66"/>
      <c r="C19" s="67" t="str">
        <f>D5</f>
        <v>тендер</v>
      </c>
      <c r="D19" s="68" t="s">
        <v>11</v>
      </c>
      <c r="E19" s="69"/>
      <c r="F19" s="70"/>
      <c r="G19" s="70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71"/>
      <c r="X19" s="72"/>
    </row>
    <row r="20" spans="1:24" ht="15.75" outlineLevel="1" thickTop="1">
      <c r="A20" s="65"/>
      <c r="B20" s="66"/>
      <c r="C20" s="73"/>
      <c r="D20" s="294" t="s">
        <v>12</v>
      </c>
      <c r="E20" s="75" t="str">
        <f>D$5</f>
        <v>тендер</v>
      </c>
      <c r="F20" s="76" t="s">
        <v>91</v>
      </c>
      <c r="G20" s="77">
        <v>15000000</v>
      </c>
      <c r="H20" s="78">
        <v>1</v>
      </c>
      <c r="I20" s="79"/>
      <c r="J20" s="79"/>
      <c r="K20" s="79"/>
      <c r="L20" s="79"/>
      <c r="M20" s="79"/>
      <c r="N20" s="79"/>
      <c r="O20" s="80">
        <f>H20*G20</f>
        <v>15000000</v>
      </c>
      <c r="P20" s="80">
        <f>I20*G20</f>
        <v>0</v>
      </c>
      <c r="Q20" s="80">
        <f>J20*G20</f>
        <v>0</v>
      </c>
      <c r="R20" s="80">
        <f>K20*G20</f>
        <v>0</v>
      </c>
      <c r="S20" s="80">
        <f>L20*G20</f>
        <v>0</v>
      </c>
      <c r="T20" s="80">
        <f>M20*G20</f>
        <v>0</v>
      </c>
      <c r="U20" s="80">
        <f>N20*G20</f>
        <v>0</v>
      </c>
      <c r="V20" s="81">
        <f>SUM(H20:N20)</f>
        <v>1</v>
      </c>
      <c r="W20" s="82">
        <f>SUM(O20:U20)</f>
        <v>15000000</v>
      </c>
      <c r="X20" s="72"/>
    </row>
    <row r="21" spans="1:24" ht="15" outlineLevel="1">
      <c r="A21" s="65"/>
      <c r="B21" s="66"/>
      <c r="C21" s="83"/>
      <c r="D21" s="84" t="s">
        <v>13</v>
      </c>
      <c r="E21" s="75" t="str">
        <f t="shared" ref="E21:E35" si="0">D$5</f>
        <v>тендер</v>
      </c>
      <c r="F21" s="85" t="s">
        <v>91</v>
      </c>
      <c r="G21" s="86"/>
      <c r="H21" s="78"/>
      <c r="I21" s="79"/>
      <c r="J21" s="79"/>
      <c r="K21" s="79"/>
      <c r="L21" s="79"/>
      <c r="M21" s="79"/>
      <c r="N21" s="79"/>
      <c r="O21" s="80">
        <f t="shared" ref="O21:O36" si="1">H21*G21</f>
        <v>0</v>
      </c>
      <c r="P21" s="80">
        <f t="shared" ref="P21:P36" si="2">I21*G21</f>
        <v>0</v>
      </c>
      <c r="Q21" s="80">
        <f t="shared" ref="Q21:Q36" si="3">J21*G21</f>
        <v>0</v>
      </c>
      <c r="R21" s="80">
        <f t="shared" ref="R21:R36" si="4">K21*G21</f>
        <v>0</v>
      </c>
      <c r="S21" s="80">
        <f t="shared" ref="S21:S35" si="5">L21*G21</f>
        <v>0</v>
      </c>
      <c r="T21" s="80">
        <f t="shared" ref="T21:T36" si="6">M21*G21</f>
        <v>0</v>
      </c>
      <c r="U21" s="80">
        <f t="shared" ref="U21:U36" si="7">N21*G21</f>
        <v>0</v>
      </c>
      <c r="V21" s="81">
        <f t="shared" ref="V21:V36" si="8">SUM(H21:N21)</f>
        <v>0</v>
      </c>
      <c r="W21" s="82">
        <f t="shared" ref="W21:W36" si="9">SUM(O21:U21)</f>
        <v>0</v>
      </c>
      <c r="X21" s="72"/>
    </row>
    <row r="22" spans="1:24" ht="15" outlineLevel="1">
      <c r="A22" s="65"/>
      <c r="B22" s="66"/>
      <c r="C22" s="83"/>
      <c r="D22" s="84" t="s">
        <v>14</v>
      </c>
      <c r="E22" s="75" t="str">
        <f t="shared" si="0"/>
        <v>тендер</v>
      </c>
      <c r="F22" s="85" t="s">
        <v>91</v>
      </c>
      <c r="G22" s="86"/>
      <c r="H22" s="78"/>
      <c r="I22" s="79"/>
      <c r="J22" s="79"/>
      <c r="K22" s="79"/>
      <c r="L22" s="79"/>
      <c r="M22" s="79"/>
      <c r="N22" s="79"/>
      <c r="O22" s="80">
        <f t="shared" si="1"/>
        <v>0</v>
      </c>
      <c r="P22" s="80">
        <f t="shared" si="2"/>
        <v>0</v>
      </c>
      <c r="Q22" s="80">
        <f t="shared" si="3"/>
        <v>0</v>
      </c>
      <c r="R22" s="80">
        <f t="shared" si="4"/>
        <v>0</v>
      </c>
      <c r="S22" s="80">
        <f t="shared" si="5"/>
        <v>0</v>
      </c>
      <c r="T22" s="80">
        <f t="shared" si="6"/>
        <v>0</v>
      </c>
      <c r="U22" s="80">
        <f t="shared" si="7"/>
        <v>0</v>
      </c>
      <c r="V22" s="81">
        <f t="shared" si="8"/>
        <v>0</v>
      </c>
      <c r="W22" s="82">
        <f t="shared" si="9"/>
        <v>0</v>
      </c>
      <c r="X22" s="72"/>
    </row>
    <row r="23" spans="1:24" ht="15" outlineLevel="1">
      <c r="A23" s="65"/>
      <c r="B23" s="66"/>
      <c r="C23" s="83"/>
      <c r="D23" s="84" t="s">
        <v>15</v>
      </c>
      <c r="E23" s="75" t="str">
        <f t="shared" si="0"/>
        <v>тендер</v>
      </c>
      <c r="F23" s="85" t="s">
        <v>91</v>
      </c>
      <c r="G23" s="86">
        <v>22351000</v>
      </c>
      <c r="H23" s="78">
        <v>1</v>
      </c>
      <c r="I23" s="79"/>
      <c r="J23" s="79"/>
      <c r="K23" s="79"/>
      <c r="L23" s="79"/>
      <c r="M23" s="79"/>
      <c r="N23" s="79"/>
      <c r="O23" s="80">
        <f t="shared" si="1"/>
        <v>22351000</v>
      </c>
      <c r="P23" s="80">
        <f t="shared" si="2"/>
        <v>0</v>
      </c>
      <c r="Q23" s="80">
        <f t="shared" si="3"/>
        <v>0</v>
      </c>
      <c r="R23" s="80">
        <f t="shared" si="4"/>
        <v>0</v>
      </c>
      <c r="S23" s="80">
        <f t="shared" si="5"/>
        <v>0</v>
      </c>
      <c r="T23" s="80">
        <f t="shared" si="6"/>
        <v>0</v>
      </c>
      <c r="U23" s="80">
        <f t="shared" si="7"/>
        <v>0</v>
      </c>
      <c r="V23" s="81">
        <f t="shared" si="8"/>
        <v>1</v>
      </c>
      <c r="W23" s="82">
        <f t="shared" si="9"/>
        <v>22351000</v>
      </c>
      <c r="X23" s="72"/>
    </row>
    <row r="24" spans="1:24" ht="15" outlineLevel="1">
      <c r="A24" s="65"/>
      <c r="B24" s="66"/>
      <c r="C24" s="83"/>
      <c r="D24" s="84" t="s">
        <v>16</v>
      </c>
      <c r="E24" s="75" t="str">
        <f t="shared" si="0"/>
        <v>тендер</v>
      </c>
      <c r="F24" s="85" t="s">
        <v>91</v>
      </c>
      <c r="G24" s="86"/>
      <c r="H24" s="78"/>
      <c r="I24" s="79"/>
      <c r="J24" s="79"/>
      <c r="K24" s="79"/>
      <c r="L24" s="79"/>
      <c r="M24" s="79"/>
      <c r="N24" s="79"/>
      <c r="O24" s="80">
        <f t="shared" si="1"/>
        <v>0</v>
      </c>
      <c r="P24" s="80">
        <f t="shared" si="2"/>
        <v>0</v>
      </c>
      <c r="Q24" s="80">
        <f t="shared" si="3"/>
        <v>0</v>
      </c>
      <c r="R24" s="80">
        <f t="shared" si="4"/>
        <v>0</v>
      </c>
      <c r="S24" s="80">
        <f t="shared" si="5"/>
        <v>0</v>
      </c>
      <c r="T24" s="80">
        <f t="shared" si="6"/>
        <v>0</v>
      </c>
      <c r="U24" s="80">
        <f t="shared" si="7"/>
        <v>0</v>
      </c>
      <c r="V24" s="81">
        <f t="shared" si="8"/>
        <v>0</v>
      </c>
      <c r="W24" s="82">
        <f t="shared" si="9"/>
        <v>0</v>
      </c>
      <c r="X24" s="72"/>
    </row>
    <row r="25" spans="1:24" ht="15" outlineLevel="1">
      <c r="A25" s="65"/>
      <c r="B25" s="66"/>
      <c r="C25" s="83"/>
      <c r="D25" s="84" t="s">
        <v>17</v>
      </c>
      <c r="E25" s="75" t="str">
        <f t="shared" si="0"/>
        <v>тендер</v>
      </c>
      <c r="F25" s="85" t="s">
        <v>91</v>
      </c>
      <c r="G25" s="86"/>
      <c r="H25" s="78"/>
      <c r="I25" s="79"/>
      <c r="J25" s="79"/>
      <c r="K25" s="79"/>
      <c r="L25" s="79"/>
      <c r="M25" s="79"/>
      <c r="N25" s="79"/>
      <c r="O25" s="80">
        <f t="shared" si="1"/>
        <v>0</v>
      </c>
      <c r="P25" s="80">
        <f t="shared" si="2"/>
        <v>0</v>
      </c>
      <c r="Q25" s="80">
        <f t="shared" si="3"/>
        <v>0</v>
      </c>
      <c r="R25" s="80">
        <f t="shared" si="4"/>
        <v>0</v>
      </c>
      <c r="S25" s="80">
        <f t="shared" si="5"/>
        <v>0</v>
      </c>
      <c r="T25" s="80">
        <f t="shared" si="6"/>
        <v>0</v>
      </c>
      <c r="U25" s="80">
        <f t="shared" si="7"/>
        <v>0</v>
      </c>
      <c r="V25" s="81">
        <f t="shared" si="8"/>
        <v>0</v>
      </c>
      <c r="W25" s="82">
        <f t="shared" si="9"/>
        <v>0</v>
      </c>
      <c r="X25" s="72"/>
    </row>
    <row r="26" spans="1:24" ht="15" outlineLevel="1">
      <c r="A26" s="65"/>
      <c r="B26" s="66"/>
      <c r="C26" s="83"/>
      <c r="D26" s="84" t="s">
        <v>18</v>
      </c>
      <c r="E26" s="75" t="str">
        <f t="shared" si="0"/>
        <v>тендер</v>
      </c>
      <c r="F26" s="85" t="s">
        <v>91</v>
      </c>
      <c r="G26" s="86"/>
      <c r="H26" s="78">
        <v>1</v>
      </c>
      <c r="I26" s="79"/>
      <c r="J26" s="79"/>
      <c r="K26" s="79"/>
      <c r="L26" s="79"/>
      <c r="M26" s="79"/>
      <c r="N26" s="79"/>
      <c r="O26" s="80">
        <f t="shared" si="1"/>
        <v>0</v>
      </c>
      <c r="P26" s="80">
        <f t="shared" si="2"/>
        <v>0</v>
      </c>
      <c r="Q26" s="80">
        <f t="shared" si="3"/>
        <v>0</v>
      </c>
      <c r="R26" s="80">
        <f t="shared" si="4"/>
        <v>0</v>
      </c>
      <c r="S26" s="80">
        <f t="shared" si="5"/>
        <v>0</v>
      </c>
      <c r="T26" s="80">
        <f t="shared" si="6"/>
        <v>0</v>
      </c>
      <c r="U26" s="80">
        <f t="shared" si="7"/>
        <v>0</v>
      </c>
      <c r="V26" s="81">
        <f t="shared" si="8"/>
        <v>1</v>
      </c>
      <c r="W26" s="82">
        <f t="shared" si="9"/>
        <v>0</v>
      </c>
      <c r="X26" s="72"/>
    </row>
    <row r="27" spans="1:24" ht="15" outlineLevel="1">
      <c r="A27" s="65"/>
      <c r="B27" s="66"/>
      <c r="C27" s="83"/>
      <c r="D27" s="84" t="s">
        <v>19</v>
      </c>
      <c r="E27" s="75" t="str">
        <f t="shared" si="0"/>
        <v>тендер</v>
      </c>
      <c r="F27" s="85" t="s">
        <v>91</v>
      </c>
      <c r="G27" s="86">
        <v>1930000</v>
      </c>
      <c r="H27" s="78">
        <v>1</v>
      </c>
      <c r="I27" s="79"/>
      <c r="J27" s="79"/>
      <c r="K27" s="79"/>
      <c r="L27" s="79"/>
      <c r="M27" s="79"/>
      <c r="N27" s="79"/>
      <c r="O27" s="80">
        <f t="shared" si="1"/>
        <v>1930000</v>
      </c>
      <c r="P27" s="80">
        <f t="shared" si="2"/>
        <v>0</v>
      </c>
      <c r="Q27" s="80">
        <f t="shared" si="3"/>
        <v>0</v>
      </c>
      <c r="R27" s="80">
        <f t="shared" si="4"/>
        <v>0</v>
      </c>
      <c r="S27" s="80">
        <f t="shared" si="5"/>
        <v>0</v>
      </c>
      <c r="T27" s="80">
        <f t="shared" si="6"/>
        <v>0</v>
      </c>
      <c r="U27" s="80">
        <f t="shared" si="7"/>
        <v>0</v>
      </c>
      <c r="V27" s="81">
        <f t="shared" si="8"/>
        <v>1</v>
      </c>
      <c r="W27" s="82">
        <f t="shared" si="9"/>
        <v>1930000</v>
      </c>
      <c r="X27" s="72"/>
    </row>
    <row r="28" spans="1:24" ht="15" outlineLevel="1">
      <c r="A28" s="65"/>
      <c r="B28" s="66"/>
      <c r="C28" s="83"/>
      <c r="D28" s="84" t="s">
        <v>20</v>
      </c>
      <c r="E28" s="75" t="str">
        <f t="shared" si="0"/>
        <v>тендер</v>
      </c>
      <c r="F28" s="85" t="s">
        <v>91</v>
      </c>
      <c r="G28" s="86"/>
      <c r="H28" s="78"/>
      <c r="I28" s="79"/>
      <c r="J28" s="79"/>
      <c r="K28" s="79"/>
      <c r="L28" s="79"/>
      <c r="M28" s="79"/>
      <c r="N28" s="79"/>
      <c r="O28" s="80">
        <f t="shared" si="1"/>
        <v>0</v>
      </c>
      <c r="P28" s="80">
        <f t="shared" si="2"/>
        <v>0</v>
      </c>
      <c r="Q28" s="80">
        <f t="shared" si="3"/>
        <v>0</v>
      </c>
      <c r="R28" s="80">
        <f t="shared" si="4"/>
        <v>0</v>
      </c>
      <c r="S28" s="80">
        <f t="shared" si="5"/>
        <v>0</v>
      </c>
      <c r="T28" s="80">
        <f t="shared" si="6"/>
        <v>0</v>
      </c>
      <c r="U28" s="80">
        <f t="shared" si="7"/>
        <v>0</v>
      </c>
      <c r="V28" s="81">
        <f t="shared" si="8"/>
        <v>0</v>
      </c>
      <c r="W28" s="82">
        <f t="shared" si="9"/>
        <v>0</v>
      </c>
      <c r="X28" s="72"/>
    </row>
    <row r="29" spans="1:24" ht="15" outlineLevel="1">
      <c r="A29" s="65"/>
      <c r="B29" s="66"/>
      <c r="C29" s="83"/>
      <c r="D29" s="84" t="s">
        <v>21</v>
      </c>
      <c r="E29" s="75" t="str">
        <f t="shared" si="0"/>
        <v>тендер</v>
      </c>
      <c r="F29" s="85" t="s">
        <v>91</v>
      </c>
      <c r="G29" s="86"/>
      <c r="H29" s="87"/>
      <c r="I29" s="79"/>
      <c r="J29" s="79"/>
      <c r="K29" s="79"/>
      <c r="L29" s="79"/>
      <c r="M29" s="79"/>
      <c r="N29" s="79"/>
      <c r="O29" s="80">
        <f t="shared" si="1"/>
        <v>0</v>
      </c>
      <c r="P29" s="80">
        <f t="shared" si="2"/>
        <v>0</v>
      </c>
      <c r="Q29" s="80">
        <f t="shared" si="3"/>
        <v>0</v>
      </c>
      <c r="R29" s="80">
        <f t="shared" si="4"/>
        <v>0</v>
      </c>
      <c r="S29" s="80">
        <f t="shared" si="5"/>
        <v>0</v>
      </c>
      <c r="T29" s="80">
        <f t="shared" si="6"/>
        <v>0</v>
      </c>
      <c r="U29" s="80">
        <f t="shared" si="7"/>
        <v>0</v>
      </c>
      <c r="V29" s="81">
        <f t="shared" si="8"/>
        <v>0</v>
      </c>
      <c r="W29" s="82">
        <f t="shared" si="9"/>
        <v>0</v>
      </c>
      <c r="X29" s="72"/>
    </row>
    <row r="30" spans="1:24" ht="15" outlineLevel="1">
      <c r="A30" s="65"/>
      <c r="B30" s="66"/>
      <c r="C30" s="83"/>
      <c r="D30" s="84" t="s">
        <v>22</v>
      </c>
      <c r="E30" s="75" t="str">
        <f t="shared" si="0"/>
        <v>тендер</v>
      </c>
      <c r="F30" s="85" t="s">
        <v>91</v>
      </c>
      <c r="G30" s="86"/>
      <c r="H30" s="78"/>
      <c r="I30" s="79"/>
      <c r="J30" s="79"/>
      <c r="K30" s="79"/>
      <c r="L30" s="79"/>
      <c r="M30" s="79"/>
      <c r="N30" s="79"/>
      <c r="O30" s="80">
        <f t="shared" si="1"/>
        <v>0</v>
      </c>
      <c r="P30" s="80">
        <f t="shared" si="2"/>
        <v>0</v>
      </c>
      <c r="Q30" s="80">
        <f t="shared" si="3"/>
        <v>0</v>
      </c>
      <c r="R30" s="80">
        <f t="shared" si="4"/>
        <v>0</v>
      </c>
      <c r="S30" s="80">
        <f t="shared" si="5"/>
        <v>0</v>
      </c>
      <c r="T30" s="80">
        <f t="shared" si="6"/>
        <v>0</v>
      </c>
      <c r="U30" s="80">
        <f t="shared" si="7"/>
        <v>0</v>
      </c>
      <c r="V30" s="81">
        <f t="shared" si="8"/>
        <v>0</v>
      </c>
      <c r="W30" s="82">
        <f t="shared" si="9"/>
        <v>0</v>
      </c>
      <c r="X30" s="72"/>
    </row>
    <row r="31" spans="1:24" ht="15" outlineLevel="1">
      <c r="A31" s="65"/>
      <c r="B31" s="66"/>
      <c r="C31" s="83"/>
      <c r="D31" s="84" t="s">
        <v>23</v>
      </c>
      <c r="E31" s="75" t="str">
        <f t="shared" si="0"/>
        <v>тендер</v>
      </c>
      <c r="F31" s="85" t="s">
        <v>91</v>
      </c>
      <c r="G31" s="86">
        <v>1124880</v>
      </c>
      <c r="H31" s="78"/>
      <c r="I31" s="79"/>
      <c r="J31" s="79"/>
      <c r="K31" s="79"/>
      <c r="L31" s="79"/>
      <c r="M31" s="79"/>
      <c r="N31" s="79"/>
      <c r="O31" s="80">
        <f t="shared" si="1"/>
        <v>0</v>
      </c>
      <c r="P31" s="80">
        <f t="shared" si="2"/>
        <v>0</v>
      </c>
      <c r="Q31" s="80">
        <f t="shared" si="3"/>
        <v>0</v>
      </c>
      <c r="R31" s="80">
        <f t="shared" si="4"/>
        <v>0</v>
      </c>
      <c r="S31" s="80">
        <f t="shared" si="5"/>
        <v>0</v>
      </c>
      <c r="T31" s="80">
        <f t="shared" si="6"/>
        <v>0</v>
      </c>
      <c r="U31" s="80">
        <f t="shared" si="7"/>
        <v>0</v>
      </c>
      <c r="V31" s="81">
        <f t="shared" si="8"/>
        <v>0</v>
      </c>
      <c r="W31" s="82">
        <f t="shared" si="9"/>
        <v>0</v>
      </c>
      <c r="X31" s="72"/>
    </row>
    <row r="32" spans="1:24" ht="15" outlineLevel="1">
      <c r="A32" s="65"/>
      <c r="B32" s="66"/>
      <c r="C32" s="83"/>
      <c r="D32" s="84" t="s">
        <v>24</v>
      </c>
      <c r="E32" s="75" t="str">
        <f t="shared" si="0"/>
        <v>тендер</v>
      </c>
      <c r="F32" s="85" t="s">
        <v>91</v>
      </c>
      <c r="G32" s="86"/>
      <c r="H32" s="78"/>
      <c r="I32" s="79"/>
      <c r="J32" s="79"/>
      <c r="K32" s="79"/>
      <c r="L32" s="79"/>
      <c r="M32" s="79"/>
      <c r="N32" s="79"/>
      <c r="O32" s="80">
        <f t="shared" si="1"/>
        <v>0</v>
      </c>
      <c r="P32" s="80">
        <f t="shared" si="2"/>
        <v>0</v>
      </c>
      <c r="Q32" s="80">
        <f t="shared" si="3"/>
        <v>0</v>
      </c>
      <c r="R32" s="80">
        <f t="shared" si="4"/>
        <v>0</v>
      </c>
      <c r="S32" s="80">
        <f t="shared" si="5"/>
        <v>0</v>
      </c>
      <c r="T32" s="80">
        <f t="shared" si="6"/>
        <v>0</v>
      </c>
      <c r="U32" s="80">
        <f t="shared" si="7"/>
        <v>0</v>
      </c>
      <c r="V32" s="81">
        <f t="shared" si="8"/>
        <v>0</v>
      </c>
      <c r="W32" s="82">
        <f t="shared" si="9"/>
        <v>0</v>
      </c>
      <c r="X32" s="72"/>
    </row>
    <row r="33" spans="1:24" ht="15" outlineLevel="1">
      <c r="A33" s="65"/>
      <c r="B33" s="66"/>
      <c r="C33" s="83"/>
      <c r="D33" s="84" t="s">
        <v>25</v>
      </c>
      <c r="E33" s="75" t="str">
        <f t="shared" si="0"/>
        <v>тендер</v>
      </c>
      <c r="F33" s="85" t="s">
        <v>91</v>
      </c>
      <c r="G33" s="86"/>
      <c r="H33" s="78"/>
      <c r="I33" s="79"/>
      <c r="J33" s="79"/>
      <c r="K33" s="79"/>
      <c r="L33" s="79"/>
      <c r="M33" s="79"/>
      <c r="N33" s="79"/>
      <c r="O33" s="80">
        <f t="shared" si="1"/>
        <v>0</v>
      </c>
      <c r="P33" s="80">
        <f t="shared" si="2"/>
        <v>0</v>
      </c>
      <c r="Q33" s="80">
        <f t="shared" si="3"/>
        <v>0</v>
      </c>
      <c r="R33" s="80">
        <f t="shared" si="4"/>
        <v>0</v>
      </c>
      <c r="S33" s="80">
        <f t="shared" si="5"/>
        <v>0</v>
      </c>
      <c r="T33" s="80">
        <f t="shared" si="6"/>
        <v>0</v>
      </c>
      <c r="U33" s="80">
        <f t="shared" si="7"/>
        <v>0</v>
      </c>
      <c r="V33" s="81">
        <f t="shared" si="8"/>
        <v>0</v>
      </c>
      <c r="W33" s="82">
        <f t="shared" si="9"/>
        <v>0</v>
      </c>
      <c r="X33" s="72"/>
    </row>
    <row r="34" spans="1:24" ht="15" outlineLevel="1">
      <c r="A34" s="65"/>
      <c r="B34" s="66"/>
      <c r="C34" s="83"/>
      <c r="D34" s="84" t="s">
        <v>26</v>
      </c>
      <c r="E34" s="75" t="str">
        <f t="shared" si="0"/>
        <v>тендер</v>
      </c>
      <c r="F34" s="85" t="s">
        <v>91</v>
      </c>
      <c r="G34" s="86">
        <v>13399488</v>
      </c>
      <c r="H34" s="78"/>
      <c r="I34" s="79"/>
      <c r="J34" s="79"/>
      <c r="K34" s="79"/>
      <c r="L34" s="79"/>
      <c r="M34" s="79"/>
      <c r="N34" s="79"/>
      <c r="O34" s="80">
        <f t="shared" si="1"/>
        <v>0</v>
      </c>
      <c r="P34" s="80">
        <f t="shared" si="2"/>
        <v>0</v>
      </c>
      <c r="Q34" s="80">
        <f t="shared" si="3"/>
        <v>0</v>
      </c>
      <c r="R34" s="80">
        <f t="shared" si="4"/>
        <v>0</v>
      </c>
      <c r="S34" s="80">
        <f t="shared" si="5"/>
        <v>0</v>
      </c>
      <c r="T34" s="80">
        <f t="shared" si="6"/>
        <v>0</v>
      </c>
      <c r="U34" s="80">
        <f t="shared" si="7"/>
        <v>0</v>
      </c>
      <c r="V34" s="81">
        <f t="shared" si="8"/>
        <v>0</v>
      </c>
      <c r="W34" s="82">
        <f t="shared" si="9"/>
        <v>0</v>
      </c>
      <c r="X34" s="72"/>
    </row>
    <row r="35" spans="1:24" ht="14.25" customHeight="1" outlineLevel="1">
      <c r="A35" s="88"/>
      <c r="B35" s="89"/>
      <c r="C35" s="83"/>
      <c r="D35" s="84" t="s">
        <v>27</v>
      </c>
      <c r="E35" s="75" t="str">
        <f t="shared" si="0"/>
        <v>тендер</v>
      </c>
      <c r="F35" s="85" t="s">
        <v>91</v>
      </c>
      <c r="G35" s="86"/>
      <c r="H35" s="78"/>
      <c r="I35" s="79"/>
      <c r="J35" s="79"/>
      <c r="K35" s="79"/>
      <c r="L35" s="79"/>
      <c r="M35" s="79"/>
      <c r="N35" s="79"/>
      <c r="O35" s="80">
        <f t="shared" si="1"/>
        <v>0</v>
      </c>
      <c r="P35" s="80">
        <f t="shared" si="2"/>
        <v>0</v>
      </c>
      <c r="Q35" s="80">
        <f t="shared" si="3"/>
        <v>0</v>
      </c>
      <c r="R35" s="80">
        <f t="shared" si="4"/>
        <v>0</v>
      </c>
      <c r="S35" s="80">
        <f t="shared" si="5"/>
        <v>0</v>
      </c>
      <c r="T35" s="80">
        <f t="shared" si="6"/>
        <v>0</v>
      </c>
      <c r="U35" s="80">
        <f t="shared" si="7"/>
        <v>0</v>
      </c>
      <c r="V35" s="81">
        <f t="shared" si="8"/>
        <v>0</v>
      </c>
      <c r="W35" s="82">
        <f t="shared" si="9"/>
        <v>0</v>
      </c>
      <c r="X35" s="72"/>
    </row>
    <row r="36" spans="1:24" ht="15.75" outlineLevel="1" thickBot="1">
      <c r="A36" s="90"/>
      <c r="B36" s="91"/>
      <c r="C36" s="92"/>
      <c r="D36" s="93" t="s">
        <v>28</v>
      </c>
      <c r="E36" s="75" t="str">
        <f>D$5</f>
        <v>тендер</v>
      </c>
      <c r="F36" s="94" t="s">
        <v>91</v>
      </c>
      <c r="G36" s="95"/>
      <c r="H36" s="78"/>
      <c r="I36" s="79"/>
      <c r="J36" s="79"/>
      <c r="K36" s="79"/>
      <c r="L36" s="79"/>
      <c r="M36" s="79"/>
      <c r="N36" s="79"/>
      <c r="O36" s="80">
        <f t="shared" si="1"/>
        <v>0</v>
      </c>
      <c r="P36" s="80">
        <f t="shared" si="2"/>
        <v>0</v>
      </c>
      <c r="Q36" s="80">
        <f t="shared" si="3"/>
        <v>0</v>
      </c>
      <c r="R36" s="80">
        <f t="shared" si="4"/>
        <v>0</v>
      </c>
      <c r="S36" s="80">
        <f>L36*G36</f>
        <v>0</v>
      </c>
      <c r="T36" s="80">
        <f t="shared" si="6"/>
        <v>0</v>
      </c>
      <c r="U36" s="80">
        <f t="shared" si="7"/>
        <v>0</v>
      </c>
      <c r="V36" s="81">
        <f t="shared" si="8"/>
        <v>0</v>
      </c>
      <c r="W36" s="82">
        <f t="shared" si="9"/>
        <v>0</v>
      </c>
      <c r="X36" s="72"/>
    </row>
    <row r="37" spans="1:24" ht="13.5" thickBot="1">
      <c r="A37" s="96"/>
      <c r="B37" s="97"/>
      <c r="C37" s="98" t="s">
        <v>92</v>
      </c>
      <c r="D37" s="99">
        <f>W37</f>
        <v>39281000</v>
      </c>
      <c r="E37" s="100"/>
      <c r="F37" s="100"/>
      <c r="G37" s="100"/>
      <c r="H37" s="101"/>
      <c r="I37" s="101"/>
      <c r="J37" s="101"/>
      <c r="K37" s="101"/>
      <c r="L37" s="101"/>
      <c r="M37" s="101"/>
      <c r="N37" s="101"/>
      <c r="O37" s="102">
        <f>SUM(O20:O36)</f>
        <v>39281000</v>
      </c>
      <c r="P37" s="102"/>
      <c r="Q37" s="102"/>
      <c r="R37" s="102"/>
      <c r="S37" s="102"/>
      <c r="T37" s="102"/>
      <c r="U37" s="102"/>
      <c r="V37" s="102"/>
      <c r="W37" s="103">
        <f>SUM(W20:W36)</f>
        <v>39281000</v>
      </c>
      <c r="X37" s="104"/>
    </row>
    <row r="38" spans="1:24" s="113" customFormat="1" ht="15.75" thickBot="1">
      <c r="A38" s="105"/>
      <c r="B38" s="106"/>
      <c r="C38" s="107"/>
      <c r="D38" s="108"/>
      <c r="E38" s="109"/>
      <c r="F38" s="110"/>
      <c r="G38" s="110"/>
      <c r="H38" s="110"/>
      <c r="I38" s="110"/>
      <c r="J38" s="110"/>
      <c r="K38" s="110"/>
      <c r="L38" s="110"/>
      <c r="M38" s="110"/>
      <c r="N38" s="110"/>
      <c r="O38" s="111"/>
      <c r="P38" s="111"/>
      <c r="Q38" s="111"/>
      <c r="R38" s="111"/>
      <c r="S38" s="111"/>
      <c r="T38" s="111"/>
      <c r="U38" s="111"/>
      <c r="V38" s="111"/>
      <c r="W38" s="112"/>
      <c r="X38" s="104"/>
    </row>
    <row r="39" spans="1:24" ht="15" customHeight="1" thickBot="1">
      <c r="A39" s="114"/>
      <c r="B39" s="115"/>
      <c r="C39" s="594" t="s">
        <v>93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596"/>
      <c r="R39" s="596"/>
      <c r="S39" s="596"/>
      <c r="T39" s="596"/>
      <c r="U39" s="596"/>
      <c r="V39" s="596"/>
      <c r="W39" s="596"/>
      <c r="X39" s="116">
        <f>SUM(W41:W45)</f>
        <v>47244960</v>
      </c>
    </row>
    <row r="40" spans="1:24" ht="15" customHeight="1" outlineLevel="1" thickBot="1">
      <c r="A40" s="117"/>
      <c r="B40" s="118"/>
      <c r="C40" s="67" t="str">
        <f>D5</f>
        <v>тендер</v>
      </c>
      <c r="D40" s="68" t="s">
        <v>11</v>
      </c>
      <c r="E40" s="119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1"/>
      <c r="X40" s="104"/>
    </row>
    <row r="41" spans="1:24" ht="14.25" customHeight="1" outlineLevel="1" thickTop="1">
      <c r="A41" s="122"/>
      <c r="B41" s="123"/>
      <c r="C41" s="124" t="s">
        <v>94</v>
      </c>
      <c r="D41" s="74" t="s">
        <v>95</v>
      </c>
      <c r="E41" s="125" t="str">
        <f>D$5</f>
        <v>тендер</v>
      </c>
      <c r="F41" s="76" t="s">
        <v>96</v>
      </c>
      <c r="G41" s="77">
        <f>1090000*1.032</f>
        <v>1124880</v>
      </c>
      <c r="H41" s="126">
        <f>H6</f>
        <v>1</v>
      </c>
      <c r="I41" s="126">
        <f t="shared" ref="I41:N41" si="10">I6</f>
        <v>4</v>
      </c>
      <c r="J41" s="126">
        <f t="shared" si="10"/>
        <v>8</v>
      </c>
      <c r="K41" s="126">
        <f t="shared" si="10"/>
        <v>0</v>
      </c>
      <c r="L41" s="126">
        <f t="shared" si="10"/>
        <v>18</v>
      </c>
      <c r="M41" s="126">
        <f t="shared" si="10"/>
        <v>0</v>
      </c>
      <c r="N41" s="126">
        <f t="shared" si="10"/>
        <v>11</v>
      </c>
      <c r="O41" s="80">
        <f>H41*G41</f>
        <v>1124880</v>
      </c>
      <c r="P41" s="80">
        <f>I41*G41</f>
        <v>4499520</v>
      </c>
      <c r="Q41" s="80">
        <f>J41*G41</f>
        <v>8999040</v>
      </c>
      <c r="R41" s="80">
        <f>K41*G41</f>
        <v>0</v>
      </c>
      <c r="S41" s="80">
        <f>L41*G41</f>
        <v>20247840</v>
      </c>
      <c r="T41" s="80">
        <f>M41*G41</f>
        <v>0</v>
      </c>
      <c r="U41" s="80">
        <f>N41*G41</f>
        <v>12373680</v>
      </c>
      <c r="V41" s="81">
        <f>SUM(H41:N41)</f>
        <v>42</v>
      </c>
      <c r="W41" s="82">
        <f>SUM(O41:U41)</f>
        <v>47244960</v>
      </c>
      <c r="X41" s="72"/>
    </row>
    <row r="42" spans="1:24" ht="14.25" customHeight="1" outlineLevel="1">
      <c r="A42" s="122"/>
      <c r="B42" s="123"/>
      <c r="C42" s="124"/>
      <c r="D42" s="84" t="s">
        <v>97</v>
      </c>
      <c r="E42" s="125" t="str">
        <f>D$5</f>
        <v>тендер</v>
      </c>
      <c r="F42" s="85" t="s">
        <v>96</v>
      </c>
      <c r="G42" s="86"/>
      <c r="H42" s="126"/>
      <c r="I42" s="127"/>
      <c r="J42" s="127"/>
      <c r="K42" s="127"/>
      <c r="L42" s="127"/>
      <c r="M42" s="127"/>
      <c r="N42" s="127"/>
      <c r="O42" s="80">
        <f>H42*G42</f>
        <v>0</v>
      </c>
      <c r="P42" s="80">
        <f>I42*G42</f>
        <v>0</v>
      </c>
      <c r="Q42" s="80">
        <f>J42*G42</f>
        <v>0</v>
      </c>
      <c r="R42" s="80">
        <f>K42*G42</f>
        <v>0</v>
      </c>
      <c r="S42" s="80">
        <f>L42*G42</f>
        <v>0</v>
      </c>
      <c r="T42" s="80">
        <f>M42*G42</f>
        <v>0</v>
      </c>
      <c r="U42" s="80">
        <f>N42*G42</f>
        <v>0</v>
      </c>
      <c r="V42" s="81">
        <f>SUM(H42:N42)</f>
        <v>0</v>
      </c>
      <c r="W42" s="82">
        <f>SUM(O42:U42)</f>
        <v>0</v>
      </c>
      <c r="X42" s="72"/>
    </row>
    <row r="43" spans="1:24" ht="13.5" customHeight="1" outlineLevel="1">
      <c r="A43" s="122"/>
      <c r="B43" s="123"/>
      <c r="C43" s="124"/>
      <c r="D43" s="84" t="s">
        <v>98</v>
      </c>
      <c r="E43" s="125" t="str">
        <f>D$5</f>
        <v>тендер</v>
      </c>
      <c r="F43" s="85" t="s">
        <v>96</v>
      </c>
      <c r="G43" s="86"/>
      <c r="H43" s="126"/>
      <c r="I43" s="127"/>
      <c r="J43" s="127"/>
      <c r="K43" s="127"/>
      <c r="L43" s="127"/>
      <c r="M43" s="127"/>
      <c r="N43" s="127"/>
      <c r="O43" s="80">
        <f>H43*G43</f>
        <v>0</v>
      </c>
      <c r="P43" s="80">
        <f>I43*G43</f>
        <v>0</v>
      </c>
      <c r="Q43" s="80">
        <f>J43*G43</f>
        <v>0</v>
      </c>
      <c r="R43" s="80">
        <f>K43*G43</f>
        <v>0</v>
      </c>
      <c r="S43" s="80">
        <f>L43*G43</f>
        <v>0</v>
      </c>
      <c r="T43" s="80">
        <f>M43*G43</f>
        <v>0</v>
      </c>
      <c r="U43" s="80">
        <f>N43*G43</f>
        <v>0</v>
      </c>
      <c r="V43" s="81">
        <f>SUM(H43:N43)</f>
        <v>0</v>
      </c>
      <c r="W43" s="82">
        <f>SUM(O43:U43)</f>
        <v>0</v>
      </c>
      <c r="X43" s="72"/>
    </row>
    <row r="44" spans="1:24" ht="13.5" customHeight="1" outlineLevel="1">
      <c r="A44" s="122"/>
      <c r="B44" s="123"/>
      <c r="C44" s="124"/>
      <c r="D44" s="84" t="s">
        <v>99</v>
      </c>
      <c r="E44" s="125" t="str">
        <f>D$5</f>
        <v>тендер</v>
      </c>
      <c r="F44" s="85" t="s">
        <v>96</v>
      </c>
      <c r="G44" s="86"/>
      <c r="H44" s="126"/>
      <c r="I44" s="126"/>
      <c r="J44" s="126"/>
      <c r="K44" s="126"/>
      <c r="L44" s="126"/>
      <c r="M44" s="126"/>
      <c r="N44" s="126"/>
      <c r="O44" s="80">
        <f>H44*G44</f>
        <v>0</v>
      </c>
      <c r="P44" s="80">
        <f>I44*G44</f>
        <v>0</v>
      </c>
      <c r="Q44" s="80">
        <f>J44*G44</f>
        <v>0</v>
      </c>
      <c r="R44" s="80">
        <f>K44*G44</f>
        <v>0</v>
      </c>
      <c r="S44" s="80">
        <f>L44*G44</f>
        <v>0</v>
      </c>
      <c r="T44" s="80">
        <f>M44*G44</f>
        <v>0</v>
      </c>
      <c r="U44" s="80">
        <f>N44*G44</f>
        <v>0</v>
      </c>
      <c r="V44" s="81">
        <f>SUM(H44:N44)</f>
        <v>0</v>
      </c>
      <c r="W44" s="82">
        <f>SUM(O44:U44)</f>
        <v>0</v>
      </c>
      <c r="X44" s="72"/>
    </row>
    <row r="45" spans="1:24" ht="15" customHeight="1" outlineLevel="1" thickBot="1">
      <c r="A45" s="122"/>
      <c r="B45" s="128"/>
      <c r="C45" s="124"/>
      <c r="D45" s="93" t="s">
        <v>100</v>
      </c>
      <c r="E45" s="125" t="str">
        <f>D$5</f>
        <v>тендер</v>
      </c>
      <c r="F45" s="94" t="s">
        <v>96</v>
      </c>
      <c r="G45" s="95"/>
      <c r="H45" s="127"/>
      <c r="I45" s="126"/>
      <c r="J45" s="126"/>
      <c r="K45" s="126"/>
      <c r="L45" s="126"/>
      <c r="M45" s="126"/>
      <c r="N45" s="126"/>
      <c r="O45" s="80">
        <f>H45*G45</f>
        <v>0</v>
      </c>
      <c r="P45" s="80">
        <f>I45*G45</f>
        <v>0</v>
      </c>
      <c r="Q45" s="80">
        <f>J45*G45</f>
        <v>0</v>
      </c>
      <c r="R45" s="80">
        <f>K45*G45</f>
        <v>0</v>
      </c>
      <c r="S45" s="80">
        <f>L45*G45</f>
        <v>0</v>
      </c>
      <c r="T45" s="80">
        <f>M45*G45</f>
        <v>0</v>
      </c>
      <c r="U45" s="80">
        <f>N45*G45</f>
        <v>0</v>
      </c>
      <c r="V45" s="81">
        <f>SUM(H45:N45)</f>
        <v>0</v>
      </c>
      <c r="W45" s="82">
        <f>SUM(O45:U45)</f>
        <v>0</v>
      </c>
      <c r="X45" s="72"/>
    </row>
    <row r="46" spans="1:24" ht="14.25" customHeight="1" thickBot="1">
      <c r="A46" s="129"/>
      <c r="B46" s="130"/>
      <c r="C46" s="594" t="s">
        <v>101</v>
      </c>
      <c r="D46" s="598"/>
      <c r="E46" s="596"/>
      <c r="F46" s="598"/>
      <c r="G46" s="598"/>
      <c r="H46" s="596"/>
      <c r="I46" s="596"/>
      <c r="J46" s="596"/>
      <c r="K46" s="596"/>
      <c r="L46" s="596"/>
      <c r="M46" s="596"/>
      <c r="N46" s="596"/>
      <c r="O46" s="596"/>
      <c r="P46" s="596"/>
      <c r="Q46" s="596"/>
      <c r="R46" s="596"/>
      <c r="S46" s="596"/>
      <c r="T46" s="596"/>
      <c r="U46" s="596"/>
      <c r="V46" s="596"/>
      <c r="W46" s="596"/>
      <c r="X46" s="116">
        <f>SUM(W48:W54)</f>
        <v>1188510.5</v>
      </c>
    </row>
    <row r="47" spans="1:24" ht="13.5" customHeight="1" outlineLevel="1" thickBot="1">
      <c r="A47" s="129"/>
      <c r="B47" s="130"/>
      <c r="C47" s="131" t="s">
        <v>102</v>
      </c>
      <c r="D47" s="68" t="s">
        <v>11</v>
      </c>
      <c r="E47" s="132"/>
      <c r="F47" s="133"/>
      <c r="G47" s="134"/>
      <c r="H47" s="135"/>
      <c r="I47" s="135"/>
      <c r="J47" s="135"/>
      <c r="K47" s="135"/>
      <c r="L47" s="135"/>
      <c r="M47" s="135"/>
      <c r="N47" s="135"/>
      <c r="O47" s="136"/>
      <c r="P47" s="136"/>
      <c r="Q47" s="136"/>
      <c r="R47" s="136"/>
      <c r="S47" s="136"/>
      <c r="T47" s="136"/>
      <c r="U47" s="136"/>
      <c r="V47" s="137"/>
      <c r="W47" s="138"/>
      <c r="X47" s="104"/>
    </row>
    <row r="48" spans="1:24" ht="13.5" customHeight="1" outlineLevel="1" thickTop="1">
      <c r="A48" s="88"/>
      <c r="B48" s="89"/>
      <c r="C48" s="124" t="s">
        <v>94</v>
      </c>
      <c r="D48" s="74" t="s">
        <v>103</v>
      </c>
      <c r="E48" s="125" t="str">
        <f>C$47</f>
        <v>ООО НПП "Буринтех"</v>
      </c>
      <c r="F48" s="76" t="s">
        <v>104</v>
      </c>
      <c r="G48" s="77">
        <v>286.61</v>
      </c>
      <c r="H48" s="139"/>
      <c r="I48" s="139"/>
      <c r="J48" s="139"/>
      <c r="K48" s="139"/>
      <c r="L48" s="139"/>
      <c r="M48" s="139"/>
      <c r="N48" s="139"/>
      <c r="O48" s="140">
        <f t="shared" ref="O48:O54" si="11">H48*G48</f>
        <v>0</v>
      </c>
      <c r="P48" s="140">
        <f t="shared" ref="P48:P54" si="12">I48*G48</f>
        <v>0</v>
      </c>
      <c r="Q48" s="140">
        <f t="shared" ref="Q48:Q54" si="13">J48*G48</f>
        <v>0</v>
      </c>
      <c r="R48" s="140">
        <f t="shared" ref="R48:R54" si="14">K48*G48</f>
        <v>0</v>
      </c>
      <c r="S48" s="140">
        <f t="shared" ref="S48:S54" si="15">L48*G48</f>
        <v>0</v>
      </c>
      <c r="T48" s="80">
        <f>M48*G48</f>
        <v>0</v>
      </c>
      <c r="U48" s="140">
        <f t="shared" ref="U48:U54" si="16">N48*G48</f>
        <v>0</v>
      </c>
      <c r="V48" s="141">
        <f t="shared" ref="V48:V54" si="17">SUM(H48:N48)</f>
        <v>0</v>
      </c>
      <c r="W48" s="142">
        <f t="shared" ref="W48:W54" si="18">SUM(O48:U48)</f>
        <v>0</v>
      </c>
      <c r="X48" s="72"/>
    </row>
    <row r="49" spans="1:24" ht="13.5" customHeight="1" outlineLevel="1">
      <c r="A49" s="88"/>
      <c r="B49" s="89"/>
      <c r="C49" s="143"/>
      <c r="D49" s="84" t="s">
        <v>105</v>
      </c>
      <c r="E49" s="125" t="str">
        <f t="shared" ref="E49:E54" si="19">C$47</f>
        <v>ООО НПП "Буринтех"</v>
      </c>
      <c r="F49" s="85" t="s">
        <v>104</v>
      </c>
      <c r="G49" s="86">
        <v>210.52</v>
      </c>
      <c r="H49" s="139"/>
      <c r="I49" s="144">
        <f>I7</f>
        <v>360</v>
      </c>
      <c r="J49" s="139"/>
      <c r="K49" s="139"/>
      <c r="L49" s="139"/>
      <c r="M49" s="139"/>
      <c r="N49" s="139"/>
      <c r="O49" s="140">
        <f>H49*G49</f>
        <v>0</v>
      </c>
      <c r="P49" s="140">
        <f>I49*G49</f>
        <v>75787.199999999997</v>
      </c>
      <c r="Q49" s="140">
        <f>J49*G49</f>
        <v>0</v>
      </c>
      <c r="R49" s="140">
        <f>K49*G49</f>
        <v>0</v>
      </c>
      <c r="S49" s="140">
        <f>L49*G49</f>
        <v>0</v>
      </c>
      <c r="T49" s="80">
        <f t="shared" ref="T49:T54" si="20">M49*G49</f>
        <v>0</v>
      </c>
      <c r="U49" s="140">
        <f>N49*G49</f>
        <v>0</v>
      </c>
      <c r="V49" s="141">
        <f>SUM(H49:N49)</f>
        <v>360</v>
      </c>
      <c r="W49" s="142">
        <f>SUM(O49:U49)</f>
        <v>75787.199999999997</v>
      </c>
      <c r="X49" s="72"/>
    </row>
    <row r="50" spans="1:24" ht="13.5" customHeight="1" outlineLevel="1">
      <c r="A50" s="88"/>
      <c r="B50" s="89"/>
      <c r="C50" s="143"/>
      <c r="D50" s="84" t="s">
        <v>106</v>
      </c>
      <c r="E50" s="125" t="str">
        <f t="shared" si="19"/>
        <v>ООО НПП "Буринтех"</v>
      </c>
      <c r="F50" s="85" t="s">
        <v>104</v>
      </c>
      <c r="G50" s="86">
        <v>245.72</v>
      </c>
      <c r="H50" s="139"/>
      <c r="I50" s="139"/>
      <c r="J50" s="144">
        <f>J7-I7</f>
        <v>990</v>
      </c>
      <c r="K50" s="139"/>
      <c r="L50" s="139"/>
      <c r="M50" s="139"/>
      <c r="N50" s="139"/>
      <c r="O50" s="140">
        <f t="shared" si="11"/>
        <v>0</v>
      </c>
      <c r="P50" s="140">
        <f t="shared" si="12"/>
        <v>0</v>
      </c>
      <c r="Q50" s="140">
        <f t="shared" si="13"/>
        <v>243262.8</v>
      </c>
      <c r="R50" s="140">
        <f t="shared" si="14"/>
        <v>0</v>
      </c>
      <c r="S50" s="140">
        <f t="shared" si="15"/>
        <v>0</v>
      </c>
      <c r="T50" s="80">
        <f t="shared" si="20"/>
        <v>0</v>
      </c>
      <c r="U50" s="140">
        <f t="shared" si="16"/>
        <v>0</v>
      </c>
      <c r="V50" s="141">
        <f t="shared" si="17"/>
        <v>990</v>
      </c>
      <c r="W50" s="142">
        <f t="shared" si="18"/>
        <v>243262.8</v>
      </c>
      <c r="X50" s="72"/>
    </row>
    <row r="51" spans="1:24" ht="13.5" customHeight="1" outlineLevel="1">
      <c r="A51" s="88"/>
      <c r="B51" s="89"/>
      <c r="C51" s="143"/>
      <c r="D51" s="84" t="s">
        <v>107</v>
      </c>
      <c r="E51" s="125" t="str">
        <f t="shared" si="19"/>
        <v>ООО НПП "Буринтех"</v>
      </c>
      <c r="F51" s="85" t="s">
        <v>104</v>
      </c>
      <c r="G51" s="86">
        <v>208.79</v>
      </c>
      <c r="H51" s="139"/>
      <c r="I51" s="139"/>
      <c r="J51" s="139"/>
      <c r="K51" s="139"/>
      <c r="L51" s="144">
        <f>L7-J7+I11</f>
        <v>2950</v>
      </c>
      <c r="M51" s="144"/>
      <c r="N51" s="139"/>
      <c r="O51" s="140">
        <f t="shared" si="11"/>
        <v>0</v>
      </c>
      <c r="P51" s="140">
        <f t="shared" si="12"/>
        <v>0</v>
      </c>
      <c r="Q51" s="140">
        <f t="shared" si="13"/>
        <v>0</v>
      </c>
      <c r="R51" s="140">
        <f t="shared" si="14"/>
        <v>0</v>
      </c>
      <c r="S51" s="140">
        <f t="shared" si="15"/>
        <v>615930.5</v>
      </c>
      <c r="T51" s="80">
        <f t="shared" si="20"/>
        <v>0</v>
      </c>
      <c r="U51" s="140">
        <f t="shared" si="16"/>
        <v>0</v>
      </c>
      <c r="V51" s="141">
        <f t="shared" si="17"/>
        <v>2950</v>
      </c>
      <c r="W51" s="142">
        <f t="shared" si="18"/>
        <v>615930.5</v>
      </c>
      <c r="X51" s="72"/>
    </row>
    <row r="52" spans="1:24" ht="13.5" customHeight="1" outlineLevel="1">
      <c r="A52" s="88"/>
      <c r="B52" s="89"/>
      <c r="C52" s="143"/>
      <c r="D52" s="84" t="s">
        <v>108</v>
      </c>
      <c r="E52" s="125" t="str">
        <f t="shared" si="19"/>
        <v>ООО НПП "Буринтех"</v>
      </c>
      <c r="F52" s="85" t="s">
        <v>104</v>
      </c>
      <c r="G52" s="86">
        <v>281.7</v>
      </c>
      <c r="H52" s="139"/>
      <c r="I52" s="139"/>
      <c r="J52" s="139"/>
      <c r="K52" s="139"/>
      <c r="L52" s="139"/>
      <c r="M52" s="139"/>
      <c r="N52" s="139">
        <f>N7-L7</f>
        <v>900</v>
      </c>
      <c r="O52" s="140">
        <f t="shared" si="11"/>
        <v>0</v>
      </c>
      <c r="P52" s="140">
        <f t="shared" si="12"/>
        <v>0</v>
      </c>
      <c r="Q52" s="140">
        <f t="shared" si="13"/>
        <v>0</v>
      </c>
      <c r="R52" s="140">
        <f t="shared" si="14"/>
        <v>0</v>
      </c>
      <c r="S52" s="140">
        <f t="shared" si="15"/>
        <v>0</v>
      </c>
      <c r="T52" s="80">
        <f t="shared" si="20"/>
        <v>0</v>
      </c>
      <c r="U52" s="140">
        <f t="shared" si="16"/>
        <v>253530</v>
      </c>
      <c r="V52" s="141">
        <f t="shared" si="17"/>
        <v>900</v>
      </c>
      <c r="W52" s="142">
        <f t="shared" si="18"/>
        <v>253530</v>
      </c>
      <c r="X52" s="72"/>
    </row>
    <row r="53" spans="1:24" ht="13.5" customHeight="1" outlineLevel="1">
      <c r="A53" s="88"/>
      <c r="B53" s="89"/>
      <c r="C53" s="143"/>
      <c r="D53" s="84" t="s">
        <v>109</v>
      </c>
      <c r="E53" s="125" t="str">
        <f t="shared" si="19"/>
        <v>ООО НПП "Буринтех"</v>
      </c>
      <c r="F53" s="85" t="s">
        <v>104</v>
      </c>
      <c r="G53" s="86"/>
      <c r="H53" s="139"/>
      <c r="I53" s="139"/>
      <c r="J53" s="139"/>
      <c r="K53" s="139"/>
      <c r="L53" s="139"/>
      <c r="M53" s="139"/>
      <c r="N53" s="139"/>
      <c r="O53" s="140">
        <f t="shared" si="11"/>
        <v>0</v>
      </c>
      <c r="P53" s="140">
        <f t="shared" si="12"/>
        <v>0</v>
      </c>
      <c r="Q53" s="140">
        <f t="shared" si="13"/>
        <v>0</v>
      </c>
      <c r="R53" s="140">
        <f t="shared" si="14"/>
        <v>0</v>
      </c>
      <c r="S53" s="140">
        <f t="shared" si="15"/>
        <v>0</v>
      </c>
      <c r="T53" s="80">
        <f t="shared" si="20"/>
        <v>0</v>
      </c>
      <c r="U53" s="140">
        <f t="shared" si="16"/>
        <v>0</v>
      </c>
      <c r="V53" s="141">
        <f t="shared" si="17"/>
        <v>0</v>
      </c>
      <c r="W53" s="142">
        <f t="shared" si="18"/>
        <v>0</v>
      </c>
      <c r="X53" s="72"/>
    </row>
    <row r="54" spans="1:24" ht="13.5" customHeight="1" outlineLevel="1" thickBot="1">
      <c r="A54" s="145"/>
      <c r="B54" s="91"/>
      <c r="C54" s="143"/>
      <c r="D54" s="93" t="s">
        <v>110</v>
      </c>
      <c r="E54" s="125" t="str">
        <f t="shared" si="19"/>
        <v>ООО НПП "Буринтех"</v>
      </c>
      <c r="F54" s="94" t="s">
        <v>104</v>
      </c>
      <c r="G54" s="95"/>
      <c r="H54" s="139"/>
      <c r="I54" s="139"/>
      <c r="J54" s="139"/>
      <c r="K54" s="139"/>
      <c r="L54" s="139"/>
      <c r="M54" s="139"/>
      <c r="N54" s="139"/>
      <c r="O54" s="140">
        <f t="shared" si="11"/>
        <v>0</v>
      </c>
      <c r="P54" s="140">
        <f t="shared" si="12"/>
        <v>0</v>
      </c>
      <c r="Q54" s="140">
        <f t="shared" si="13"/>
        <v>0</v>
      </c>
      <c r="R54" s="140">
        <f t="shared" si="14"/>
        <v>0</v>
      </c>
      <c r="S54" s="140">
        <f t="shared" si="15"/>
        <v>0</v>
      </c>
      <c r="T54" s="80">
        <f t="shared" si="20"/>
        <v>0</v>
      </c>
      <c r="U54" s="140">
        <f t="shared" si="16"/>
        <v>0</v>
      </c>
      <c r="V54" s="141">
        <f t="shared" si="17"/>
        <v>0</v>
      </c>
      <c r="W54" s="142">
        <f t="shared" si="18"/>
        <v>0</v>
      </c>
      <c r="X54" s="72"/>
    </row>
    <row r="55" spans="1:24" ht="15.75" customHeight="1" thickBot="1">
      <c r="A55" s="146"/>
      <c r="B55" s="147"/>
      <c r="C55" s="594" t="s">
        <v>111</v>
      </c>
      <c r="D55" s="598"/>
      <c r="E55" s="596"/>
      <c r="F55" s="598"/>
      <c r="G55" s="598"/>
      <c r="H55" s="596"/>
      <c r="I55" s="596"/>
      <c r="J55" s="596"/>
      <c r="K55" s="596"/>
      <c r="L55" s="596"/>
      <c r="M55" s="596"/>
      <c r="N55" s="596"/>
      <c r="O55" s="596"/>
      <c r="P55" s="596"/>
      <c r="Q55" s="596"/>
      <c r="R55" s="596"/>
      <c r="S55" s="596"/>
      <c r="T55" s="596"/>
      <c r="U55" s="596"/>
      <c r="V55" s="596"/>
      <c r="W55" s="604"/>
      <c r="X55" s="116">
        <f>SUM(W57:W75)</f>
        <v>16161004.384999998</v>
      </c>
    </row>
    <row r="56" spans="1:24" ht="13.5" outlineLevel="1" thickBot="1">
      <c r="A56" s="148"/>
      <c r="B56" s="130"/>
      <c r="C56" s="149"/>
      <c r="D56" s="68" t="s">
        <v>11</v>
      </c>
      <c r="E56" s="133"/>
      <c r="F56" s="150"/>
      <c r="G56" s="151"/>
      <c r="H56" s="135"/>
      <c r="I56" s="135"/>
      <c r="J56" s="135"/>
      <c r="K56" s="135"/>
      <c r="L56" s="135"/>
      <c r="M56" s="135"/>
      <c r="N56" s="135"/>
      <c r="O56" s="136"/>
      <c r="P56" s="136"/>
      <c r="Q56" s="136"/>
      <c r="R56" s="136"/>
      <c r="S56" s="136"/>
      <c r="T56" s="136"/>
      <c r="U56" s="136"/>
      <c r="V56" s="137"/>
      <c r="W56" s="138"/>
      <c r="X56" s="72"/>
    </row>
    <row r="57" spans="1:24" ht="15.75" outlineLevel="1" thickTop="1">
      <c r="A57" s="122"/>
      <c r="B57" s="89"/>
      <c r="C57" s="124" t="s">
        <v>94</v>
      </c>
      <c r="D57" s="74" t="s">
        <v>112</v>
      </c>
      <c r="E57" s="75">
        <f>C$56</f>
        <v>0</v>
      </c>
      <c r="F57" s="152" t="s">
        <v>113</v>
      </c>
      <c r="G57" s="153"/>
      <c r="H57" s="126"/>
      <c r="I57" s="154"/>
      <c r="J57" s="127"/>
      <c r="K57" s="127"/>
      <c r="L57" s="127"/>
      <c r="M57" s="127"/>
      <c r="N57" s="127"/>
      <c r="O57" s="80">
        <f>H57*G57</f>
        <v>0</v>
      </c>
      <c r="P57" s="80">
        <f>I57*G57</f>
        <v>0</v>
      </c>
      <c r="Q57" s="80">
        <f>J57*G57</f>
        <v>0</v>
      </c>
      <c r="R57" s="80">
        <f>K57*G57</f>
        <v>0</v>
      </c>
      <c r="S57" s="80">
        <f>L57*G57</f>
        <v>0</v>
      </c>
      <c r="T57" s="80">
        <f t="shared" ref="T57:T67" si="21">M57*G57</f>
        <v>0</v>
      </c>
      <c r="U57" s="80">
        <f>N57*G57</f>
        <v>0</v>
      </c>
      <c r="V57" s="81">
        <f>SUM(H57:N57)</f>
        <v>0</v>
      </c>
      <c r="W57" s="82">
        <f>SUM(O57:U57)</f>
        <v>0</v>
      </c>
      <c r="X57" s="72"/>
    </row>
    <row r="58" spans="1:24" ht="15" outlineLevel="1">
      <c r="A58" s="122"/>
      <c r="B58" s="89"/>
      <c r="C58" s="124"/>
      <c r="D58" s="84" t="s">
        <v>114</v>
      </c>
      <c r="E58" s="75">
        <f t="shared" ref="E58:E67" si="22">C$56</f>
        <v>0</v>
      </c>
      <c r="F58" s="155" t="s">
        <v>113</v>
      </c>
      <c r="G58" s="156"/>
      <c r="H58" s="126"/>
      <c r="I58" s="127"/>
      <c r="J58" s="127"/>
      <c r="K58" s="127"/>
      <c r="L58" s="127"/>
      <c r="M58" s="127"/>
      <c r="N58" s="127"/>
      <c r="O58" s="80">
        <f t="shared" ref="O58:O67" si="23">H58*G58</f>
        <v>0</v>
      </c>
      <c r="P58" s="80">
        <f t="shared" ref="P58:P67" si="24">I58*G58</f>
        <v>0</v>
      </c>
      <c r="Q58" s="80">
        <f t="shared" ref="Q58:Q67" si="25">J58*G58</f>
        <v>0</v>
      </c>
      <c r="R58" s="80">
        <f t="shared" ref="R58:R67" si="26">K58*G58</f>
        <v>0</v>
      </c>
      <c r="S58" s="80">
        <f t="shared" ref="S58:S67" si="27">L58*G58</f>
        <v>0</v>
      </c>
      <c r="T58" s="80">
        <f t="shared" si="21"/>
        <v>0</v>
      </c>
      <c r="U58" s="80">
        <f t="shared" ref="U58:U67" si="28">N58*G58</f>
        <v>0</v>
      </c>
      <c r="V58" s="81">
        <f t="shared" ref="V58:V67" si="29">SUM(H58:N58)</f>
        <v>0</v>
      </c>
      <c r="W58" s="82">
        <f t="shared" ref="W58:W67" si="30">SUM(O58:U58)</f>
        <v>0</v>
      </c>
      <c r="X58" s="72"/>
    </row>
    <row r="59" spans="1:24" ht="15" outlineLevel="1">
      <c r="A59" s="122"/>
      <c r="B59" s="89"/>
      <c r="C59" s="124"/>
      <c r="D59" s="84" t="s">
        <v>115</v>
      </c>
      <c r="E59" s="75">
        <f t="shared" si="22"/>
        <v>0</v>
      </c>
      <c r="F59" s="155" t="s">
        <v>113</v>
      </c>
      <c r="G59" s="156"/>
      <c r="H59" s="126"/>
      <c r="I59" s="127"/>
      <c r="J59" s="154"/>
      <c r="K59" s="127"/>
      <c r="L59" s="127"/>
      <c r="M59" s="127"/>
      <c r="N59" s="127"/>
      <c r="O59" s="80">
        <f t="shared" si="23"/>
        <v>0</v>
      </c>
      <c r="P59" s="80">
        <f t="shared" si="24"/>
        <v>0</v>
      </c>
      <c r="Q59" s="80">
        <f t="shared" si="25"/>
        <v>0</v>
      </c>
      <c r="R59" s="80">
        <f t="shared" si="26"/>
        <v>0</v>
      </c>
      <c r="S59" s="80">
        <f t="shared" si="27"/>
        <v>0</v>
      </c>
      <c r="T59" s="80">
        <f t="shared" si="21"/>
        <v>0</v>
      </c>
      <c r="U59" s="80">
        <f t="shared" si="28"/>
        <v>0</v>
      </c>
      <c r="V59" s="81">
        <f t="shared" si="29"/>
        <v>0</v>
      </c>
      <c r="W59" s="82">
        <f t="shared" si="30"/>
        <v>0</v>
      </c>
      <c r="X59" s="72"/>
    </row>
    <row r="60" spans="1:24" ht="15" outlineLevel="1">
      <c r="A60" s="122"/>
      <c r="B60" s="89"/>
      <c r="C60" s="124"/>
      <c r="D60" s="84" t="s">
        <v>116</v>
      </c>
      <c r="E60" s="75">
        <f t="shared" si="22"/>
        <v>0</v>
      </c>
      <c r="F60" s="155" t="s">
        <v>113</v>
      </c>
      <c r="G60" s="156"/>
      <c r="H60" s="126"/>
      <c r="I60" s="127"/>
      <c r="J60" s="127"/>
      <c r="K60" s="127"/>
      <c r="L60" s="127"/>
      <c r="M60" s="127"/>
      <c r="N60" s="127"/>
      <c r="O60" s="80">
        <f t="shared" si="23"/>
        <v>0</v>
      </c>
      <c r="P60" s="80">
        <f t="shared" si="24"/>
        <v>0</v>
      </c>
      <c r="Q60" s="80">
        <f t="shared" si="25"/>
        <v>0</v>
      </c>
      <c r="R60" s="80">
        <f t="shared" si="26"/>
        <v>0</v>
      </c>
      <c r="S60" s="80">
        <f t="shared" si="27"/>
        <v>0</v>
      </c>
      <c r="T60" s="80">
        <f t="shared" si="21"/>
        <v>0</v>
      </c>
      <c r="U60" s="80">
        <f t="shared" si="28"/>
        <v>0</v>
      </c>
      <c r="V60" s="81">
        <f t="shared" si="29"/>
        <v>0</v>
      </c>
      <c r="W60" s="82">
        <f t="shared" si="30"/>
        <v>0</v>
      </c>
      <c r="X60" s="72"/>
    </row>
    <row r="61" spans="1:24" ht="15" outlineLevel="1">
      <c r="A61" s="122"/>
      <c r="B61" s="89"/>
      <c r="C61" s="124"/>
      <c r="D61" s="84" t="s">
        <v>117</v>
      </c>
      <c r="E61" s="75">
        <f t="shared" si="22"/>
        <v>0</v>
      </c>
      <c r="F61" s="155" t="s">
        <v>113</v>
      </c>
      <c r="G61" s="156"/>
      <c r="H61" s="126"/>
      <c r="I61" s="127"/>
      <c r="J61" s="127"/>
      <c r="K61" s="127"/>
      <c r="L61" s="154"/>
      <c r="M61" s="154"/>
      <c r="N61" s="127"/>
      <c r="O61" s="80">
        <f t="shared" si="23"/>
        <v>0</v>
      </c>
      <c r="P61" s="80">
        <f t="shared" si="24"/>
        <v>0</v>
      </c>
      <c r="Q61" s="80">
        <f t="shared" si="25"/>
        <v>0</v>
      </c>
      <c r="R61" s="80">
        <f t="shared" si="26"/>
        <v>0</v>
      </c>
      <c r="S61" s="80">
        <f t="shared" si="27"/>
        <v>0</v>
      </c>
      <c r="T61" s="80">
        <f t="shared" si="21"/>
        <v>0</v>
      </c>
      <c r="U61" s="80">
        <f t="shared" si="28"/>
        <v>0</v>
      </c>
      <c r="V61" s="81">
        <f t="shared" si="29"/>
        <v>0</v>
      </c>
      <c r="W61" s="82">
        <f t="shared" si="30"/>
        <v>0</v>
      </c>
      <c r="X61" s="72"/>
    </row>
    <row r="62" spans="1:24" ht="15" outlineLevel="1">
      <c r="A62" s="122"/>
      <c r="B62" s="89"/>
      <c r="C62" s="124"/>
      <c r="D62" s="84" t="s">
        <v>118</v>
      </c>
      <c r="E62" s="75">
        <f t="shared" si="22"/>
        <v>0</v>
      </c>
      <c r="F62" s="155" t="s">
        <v>113</v>
      </c>
      <c r="G62" s="156"/>
      <c r="H62" s="126"/>
      <c r="I62" s="127"/>
      <c r="J62" s="127"/>
      <c r="K62" s="127"/>
      <c r="L62" s="127"/>
      <c r="M62" s="127"/>
      <c r="N62" s="127"/>
      <c r="O62" s="80">
        <f t="shared" si="23"/>
        <v>0</v>
      </c>
      <c r="P62" s="80">
        <f t="shared" si="24"/>
        <v>0</v>
      </c>
      <c r="Q62" s="80">
        <f t="shared" si="25"/>
        <v>0</v>
      </c>
      <c r="R62" s="80">
        <f t="shared" si="26"/>
        <v>0</v>
      </c>
      <c r="S62" s="80">
        <f t="shared" si="27"/>
        <v>0</v>
      </c>
      <c r="T62" s="80">
        <f t="shared" si="21"/>
        <v>0</v>
      </c>
      <c r="U62" s="80">
        <f t="shared" si="28"/>
        <v>0</v>
      </c>
      <c r="V62" s="81">
        <f t="shared" si="29"/>
        <v>0</v>
      </c>
      <c r="W62" s="82">
        <f t="shared" si="30"/>
        <v>0</v>
      </c>
      <c r="X62" s="72"/>
    </row>
    <row r="63" spans="1:24" ht="15" outlineLevel="1">
      <c r="A63" s="122"/>
      <c r="B63" s="89"/>
      <c r="C63" s="124"/>
      <c r="D63" s="84" t="s">
        <v>119</v>
      </c>
      <c r="E63" s="75">
        <f t="shared" si="22"/>
        <v>0</v>
      </c>
      <c r="F63" s="155" t="s">
        <v>113</v>
      </c>
      <c r="G63" s="156"/>
      <c r="H63" s="126"/>
      <c r="I63" s="127"/>
      <c r="J63" s="127"/>
      <c r="K63" s="127"/>
      <c r="L63" s="127"/>
      <c r="M63" s="127"/>
      <c r="N63" s="127"/>
      <c r="O63" s="80">
        <f t="shared" si="23"/>
        <v>0</v>
      </c>
      <c r="P63" s="80">
        <f t="shared" si="24"/>
        <v>0</v>
      </c>
      <c r="Q63" s="80">
        <f t="shared" si="25"/>
        <v>0</v>
      </c>
      <c r="R63" s="80">
        <f t="shared" si="26"/>
        <v>0</v>
      </c>
      <c r="S63" s="80">
        <f t="shared" si="27"/>
        <v>0</v>
      </c>
      <c r="T63" s="80">
        <f t="shared" si="21"/>
        <v>0</v>
      </c>
      <c r="U63" s="80">
        <f t="shared" si="28"/>
        <v>0</v>
      </c>
      <c r="V63" s="81">
        <f t="shared" si="29"/>
        <v>0</v>
      </c>
      <c r="W63" s="82">
        <f t="shared" si="30"/>
        <v>0</v>
      </c>
      <c r="X63" s="72"/>
    </row>
    <row r="64" spans="1:24" ht="15" outlineLevel="1">
      <c r="A64" s="122"/>
      <c r="B64" s="89"/>
      <c r="C64" s="124"/>
      <c r="D64" s="84" t="s">
        <v>120</v>
      </c>
      <c r="E64" s="75">
        <f t="shared" si="22"/>
        <v>0</v>
      </c>
      <c r="F64" s="155" t="s">
        <v>113</v>
      </c>
      <c r="G64" s="156"/>
      <c r="H64" s="126"/>
      <c r="I64" s="127"/>
      <c r="J64" s="127"/>
      <c r="K64" s="127"/>
      <c r="L64" s="127"/>
      <c r="M64" s="127"/>
      <c r="N64" s="127"/>
      <c r="O64" s="80">
        <f t="shared" si="23"/>
        <v>0</v>
      </c>
      <c r="P64" s="80">
        <f t="shared" si="24"/>
        <v>0</v>
      </c>
      <c r="Q64" s="80">
        <f t="shared" si="25"/>
        <v>0</v>
      </c>
      <c r="R64" s="80">
        <f t="shared" si="26"/>
        <v>0</v>
      </c>
      <c r="S64" s="80">
        <f t="shared" si="27"/>
        <v>0</v>
      </c>
      <c r="T64" s="80">
        <f t="shared" si="21"/>
        <v>0</v>
      </c>
      <c r="U64" s="80">
        <f t="shared" si="28"/>
        <v>0</v>
      </c>
      <c r="V64" s="81">
        <f t="shared" si="29"/>
        <v>0</v>
      </c>
      <c r="W64" s="82">
        <f t="shared" si="30"/>
        <v>0</v>
      </c>
      <c r="X64" s="72"/>
    </row>
    <row r="65" spans="1:24" ht="15" outlineLevel="1">
      <c r="A65" s="122"/>
      <c r="B65" s="89"/>
      <c r="C65" s="124"/>
      <c r="D65" s="84" t="s">
        <v>121</v>
      </c>
      <c r="E65" s="75">
        <f t="shared" si="22"/>
        <v>0</v>
      </c>
      <c r="F65" s="155" t="s">
        <v>113</v>
      </c>
      <c r="G65" s="156"/>
      <c r="H65" s="126"/>
      <c r="I65" s="127"/>
      <c r="J65" s="127"/>
      <c r="K65" s="127"/>
      <c r="L65" s="127"/>
      <c r="M65" s="127"/>
      <c r="N65" s="127"/>
      <c r="O65" s="80">
        <f t="shared" si="23"/>
        <v>0</v>
      </c>
      <c r="P65" s="80">
        <f t="shared" si="24"/>
        <v>0</v>
      </c>
      <c r="Q65" s="80">
        <f t="shared" si="25"/>
        <v>0</v>
      </c>
      <c r="R65" s="80">
        <f t="shared" si="26"/>
        <v>0</v>
      </c>
      <c r="S65" s="80">
        <f t="shared" si="27"/>
        <v>0</v>
      </c>
      <c r="T65" s="80">
        <f t="shared" si="21"/>
        <v>0</v>
      </c>
      <c r="U65" s="80">
        <f t="shared" si="28"/>
        <v>0</v>
      </c>
      <c r="V65" s="81">
        <f t="shared" si="29"/>
        <v>0</v>
      </c>
      <c r="W65" s="82">
        <f t="shared" si="30"/>
        <v>0</v>
      </c>
      <c r="X65" s="72"/>
    </row>
    <row r="66" spans="1:24" ht="15" outlineLevel="1">
      <c r="A66" s="122"/>
      <c r="B66" s="89"/>
      <c r="C66" s="124"/>
      <c r="D66" s="84" t="s">
        <v>122</v>
      </c>
      <c r="E66" s="75">
        <f t="shared" si="22"/>
        <v>0</v>
      </c>
      <c r="F66" s="155" t="s">
        <v>123</v>
      </c>
      <c r="G66" s="156"/>
      <c r="H66" s="126"/>
      <c r="I66" s="127"/>
      <c r="J66" s="127"/>
      <c r="K66" s="127"/>
      <c r="L66" s="127"/>
      <c r="M66" s="127"/>
      <c r="N66" s="127"/>
      <c r="O66" s="80">
        <f t="shared" si="23"/>
        <v>0</v>
      </c>
      <c r="P66" s="80">
        <f t="shared" si="24"/>
        <v>0</v>
      </c>
      <c r="Q66" s="80">
        <f t="shared" si="25"/>
        <v>0</v>
      </c>
      <c r="R66" s="80">
        <f t="shared" si="26"/>
        <v>0</v>
      </c>
      <c r="S66" s="80">
        <f t="shared" si="27"/>
        <v>0</v>
      </c>
      <c r="T66" s="80">
        <f t="shared" si="21"/>
        <v>0</v>
      </c>
      <c r="U66" s="80">
        <f t="shared" si="28"/>
        <v>0</v>
      </c>
      <c r="V66" s="81">
        <f t="shared" si="29"/>
        <v>0</v>
      </c>
      <c r="W66" s="82">
        <f t="shared" si="30"/>
        <v>0</v>
      </c>
      <c r="X66" s="72"/>
    </row>
    <row r="67" spans="1:24" ht="15.75" outlineLevel="1" thickBot="1">
      <c r="A67" s="122"/>
      <c r="B67" s="89"/>
      <c r="C67" s="124"/>
      <c r="D67" s="93" t="s">
        <v>124</v>
      </c>
      <c r="E67" s="75">
        <f t="shared" si="22"/>
        <v>0</v>
      </c>
      <c r="F67" s="157" t="s">
        <v>123</v>
      </c>
      <c r="G67" s="158"/>
      <c r="H67" s="126"/>
      <c r="I67" s="127"/>
      <c r="J67" s="127"/>
      <c r="K67" s="127"/>
      <c r="L67" s="127"/>
      <c r="M67" s="127"/>
      <c r="N67" s="127"/>
      <c r="O67" s="80">
        <f t="shared" si="23"/>
        <v>0</v>
      </c>
      <c r="P67" s="80">
        <f t="shared" si="24"/>
        <v>0</v>
      </c>
      <c r="Q67" s="80">
        <f t="shared" si="25"/>
        <v>0</v>
      </c>
      <c r="R67" s="80">
        <f t="shared" si="26"/>
        <v>0</v>
      </c>
      <c r="S67" s="80">
        <f t="shared" si="27"/>
        <v>0</v>
      </c>
      <c r="T67" s="80">
        <f t="shared" si="21"/>
        <v>0</v>
      </c>
      <c r="U67" s="80">
        <f t="shared" si="28"/>
        <v>0</v>
      </c>
      <c r="V67" s="81">
        <f t="shared" si="29"/>
        <v>0</v>
      </c>
      <c r="W67" s="82">
        <f t="shared" si="30"/>
        <v>0</v>
      </c>
      <c r="X67" s="72"/>
    </row>
    <row r="68" spans="1:24" ht="14.25" outlineLevel="1" thickTop="1" thickBot="1">
      <c r="A68" s="148"/>
      <c r="B68" s="130"/>
      <c r="C68" s="149" t="s">
        <v>125</v>
      </c>
      <c r="D68" s="159" t="s">
        <v>11</v>
      </c>
      <c r="E68" s="133"/>
      <c r="F68" s="160"/>
      <c r="G68" s="161"/>
      <c r="H68" s="135"/>
      <c r="I68" s="135"/>
      <c r="J68" s="135"/>
      <c r="K68" s="135"/>
      <c r="L68" s="135"/>
      <c r="M68" s="135"/>
      <c r="N68" s="135"/>
      <c r="O68" s="136"/>
      <c r="P68" s="136"/>
      <c r="Q68" s="136"/>
      <c r="R68" s="136"/>
      <c r="S68" s="136"/>
      <c r="T68" s="136"/>
      <c r="U68" s="136"/>
      <c r="V68" s="137"/>
      <c r="W68" s="138"/>
      <c r="X68" s="72"/>
    </row>
    <row r="69" spans="1:24" ht="15.75" outlineLevel="1" thickTop="1">
      <c r="A69" s="122"/>
      <c r="B69" s="89"/>
      <c r="C69" s="124" t="s">
        <v>94</v>
      </c>
      <c r="D69" s="74" t="s">
        <v>126</v>
      </c>
      <c r="E69" s="75" t="str">
        <f>C$68</f>
        <v>ТИС</v>
      </c>
      <c r="F69" s="152" t="s">
        <v>113</v>
      </c>
      <c r="G69" s="153">
        <v>247200.12</v>
      </c>
      <c r="H69" s="126"/>
      <c r="I69" s="127">
        <f>I6-I70</f>
        <v>3.5</v>
      </c>
      <c r="J69" s="127">
        <f>J6-J70</f>
        <v>7</v>
      </c>
      <c r="K69" s="127"/>
      <c r="L69" s="127">
        <f>L6-L70</f>
        <v>14</v>
      </c>
      <c r="M69" s="127"/>
      <c r="N69" s="127"/>
      <c r="O69" s="80">
        <f t="shared" ref="O69:O75" si="31">H69*G69</f>
        <v>0</v>
      </c>
      <c r="P69" s="80">
        <f t="shared" ref="P69:P75" si="32">I69*G69</f>
        <v>865200.41999999993</v>
      </c>
      <c r="Q69" s="80">
        <f t="shared" ref="Q69:Q75" si="33">J69*G69</f>
        <v>1730400.8399999999</v>
      </c>
      <c r="R69" s="80">
        <f t="shared" ref="R69:R75" si="34">K69*G69</f>
        <v>0</v>
      </c>
      <c r="S69" s="80">
        <f t="shared" ref="S69:S75" si="35">L69*G69</f>
        <v>3460801.6799999997</v>
      </c>
      <c r="T69" s="80">
        <f t="shared" ref="T69:T75" si="36">M69*G69</f>
        <v>0</v>
      </c>
      <c r="U69" s="80">
        <f t="shared" ref="U69:U75" si="37">N69*G69</f>
        <v>0</v>
      </c>
      <c r="V69" s="81">
        <f t="shared" ref="V69:V75" si="38">SUM(H69:N69)</f>
        <v>24.5</v>
      </c>
      <c r="W69" s="82">
        <f t="shared" ref="W69:W75" si="39">SUM(O69:U69)</f>
        <v>6056402.9399999995</v>
      </c>
      <c r="X69" s="72"/>
    </row>
    <row r="70" spans="1:24" ht="15" outlineLevel="1">
      <c r="A70" s="122"/>
      <c r="B70" s="89"/>
      <c r="C70" s="143"/>
      <c r="D70" s="84" t="s">
        <v>127</v>
      </c>
      <c r="E70" s="75" t="str">
        <f t="shared" ref="E70:E75" si="40">C$68</f>
        <v>ТИС</v>
      </c>
      <c r="F70" s="155" t="s">
        <v>113</v>
      </c>
      <c r="G70" s="156">
        <v>70275.070000000007</v>
      </c>
      <c r="H70" s="126"/>
      <c r="I70" s="127">
        <v>0.5</v>
      </c>
      <c r="J70" s="127">
        <v>1</v>
      </c>
      <c r="K70" s="127"/>
      <c r="L70" s="127">
        <v>4</v>
      </c>
      <c r="M70" s="127"/>
      <c r="N70" s="127"/>
      <c r="O70" s="80">
        <f t="shared" si="31"/>
        <v>0</v>
      </c>
      <c r="P70" s="80">
        <f t="shared" si="32"/>
        <v>35137.535000000003</v>
      </c>
      <c r="Q70" s="80">
        <f t="shared" si="33"/>
        <v>70275.070000000007</v>
      </c>
      <c r="R70" s="80">
        <f t="shared" si="34"/>
        <v>0</v>
      </c>
      <c r="S70" s="80">
        <f t="shared" si="35"/>
        <v>281100.28000000003</v>
      </c>
      <c r="T70" s="80">
        <f t="shared" si="36"/>
        <v>0</v>
      </c>
      <c r="U70" s="80">
        <f t="shared" si="37"/>
        <v>0</v>
      </c>
      <c r="V70" s="81">
        <f t="shared" si="38"/>
        <v>5.5</v>
      </c>
      <c r="W70" s="82">
        <f t="shared" si="39"/>
        <v>386512.88500000001</v>
      </c>
      <c r="X70" s="72"/>
    </row>
    <row r="71" spans="1:24" ht="15" outlineLevel="1">
      <c r="A71" s="122"/>
      <c r="B71" s="89"/>
      <c r="C71" s="143"/>
      <c r="D71" s="84" t="s">
        <v>128</v>
      </c>
      <c r="E71" s="75" t="str">
        <f t="shared" si="40"/>
        <v>ТИС</v>
      </c>
      <c r="F71" s="155" t="s">
        <v>113</v>
      </c>
      <c r="G71" s="156">
        <v>198854.02</v>
      </c>
      <c r="H71" s="126"/>
      <c r="I71" s="127"/>
      <c r="J71" s="127"/>
      <c r="K71" s="127"/>
      <c r="L71" s="127"/>
      <c r="M71" s="127"/>
      <c r="N71" s="127"/>
      <c r="O71" s="80">
        <f t="shared" si="31"/>
        <v>0</v>
      </c>
      <c r="P71" s="80">
        <f t="shared" si="32"/>
        <v>0</v>
      </c>
      <c r="Q71" s="80">
        <f t="shared" si="33"/>
        <v>0</v>
      </c>
      <c r="R71" s="80">
        <f t="shared" si="34"/>
        <v>0</v>
      </c>
      <c r="S71" s="80">
        <f t="shared" si="35"/>
        <v>0</v>
      </c>
      <c r="T71" s="80">
        <f t="shared" si="36"/>
        <v>0</v>
      </c>
      <c r="U71" s="80">
        <f t="shared" si="37"/>
        <v>0</v>
      </c>
      <c r="V71" s="81">
        <f t="shared" si="38"/>
        <v>0</v>
      </c>
      <c r="W71" s="82">
        <f t="shared" si="39"/>
        <v>0</v>
      </c>
      <c r="X71" s="72"/>
    </row>
    <row r="72" spans="1:24" ht="15" outlineLevel="1">
      <c r="A72" s="122"/>
      <c r="B72" s="89"/>
      <c r="C72" s="143"/>
      <c r="D72" s="84" t="s">
        <v>129</v>
      </c>
      <c r="E72" s="75" t="str">
        <f t="shared" si="40"/>
        <v>ТИС</v>
      </c>
      <c r="F72" s="155" t="s">
        <v>113</v>
      </c>
      <c r="G72" s="156">
        <v>945000</v>
      </c>
      <c r="H72" s="126"/>
      <c r="I72" s="127"/>
      <c r="J72" s="127"/>
      <c r="K72" s="127"/>
      <c r="L72" s="127"/>
      <c r="M72" s="127"/>
      <c r="N72" s="127">
        <f>N6-N73</f>
        <v>9</v>
      </c>
      <c r="O72" s="80">
        <f t="shared" si="31"/>
        <v>0</v>
      </c>
      <c r="P72" s="80">
        <f t="shared" si="32"/>
        <v>0</v>
      </c>
      <c r="Q72" s="80">
        <f t="shared" si="33"/>
        <v>0</v>
      </c>
      <c r="R72" s="80">
        <f t="shared" si="34"/>
        <v>0</v>
      </c>
      <c r="S72" s="80">
        <f t="shared" si="35"/>
        <v>0</v>
      </c>
      <c r="T72" s="80">
        <f t="shared" si="36"/>
        <v>0</v>
      </c>
      <c r="U72" s="80">
        <f t="shared" si="37"/>
        <v>8505000</v>
      </c>
      <c r="V72" s="81">
        <f t="shared" si="38"/>
        <v>9</v>
      </c>
      <c r="W72" s="82">
        <f t="shared" si="39"/>
        <v>8505000</v>
      </c>
      <c r="X72" s="72"/>
    </row>
    <row r="73" spans="1:24" ht="15" outlineLevel="1">
      <c r="A73" s="122"/>
      <c r="B73" s="89"/>
      <c r="C73" s="143"/>
      <c r="D73" s="84" t="s">
        <v>130</v>
      </c>
      <c r="E73" s="75" t="str">
        <f t="shared" si="40"/>
        <v>ТИС</v>
      </c>
      <c r="F73" s="155" t="s">
        <v>113</v>
      </c>
      <c r="G73" s="156">
        <v>389250</v>
      </c>
      <c r="H73" s="126"/>
      <c r="I73" s="127"/>
      <c r="J73" s="127"/>
      <c r="K73" s="127"/>
      <c r="L73" s="127"/>
      <c r="M73" s="127"/>
      <c r="N73" s="127">
        <v>2</v>
      </c>
      <c r="O73" s="80">
        <f t="shared" si="31"/>
        <v>0</v>
      </c>
      <c r="P73" s="80">
        <f t="shared" si="32"/>
        <v>0</v>
      </c>
      <c r="Q73" s="80">
        <f t="shared" si="33"/>
        <v>0</v>
      </c>
      <c r="R73" s="80">
        <f t="shared" si="34"/>
        <v>0</v>
      </c>
      <c r="S73" s="80">
        <f t="shared" si="35"/>
        <v>0</v>
      </c>
      <c r="T73" s="80">
        <f t="shared" si="36"/>
        <v>0</v>
      </c>
      <c r="U73" s="80">
        <f t="shared" si="37"/>
        <v>778500</v>
      </c>
      <c r="V73" s="81">
        <f t="shared" si="38"/>
        <v>2</v>
      </c>
      <c r="W73" s="82">
        <f t="shared" si="39"/>
        <v>778500</v>
      </c>
      <c r="X73" s="72"/>
    </row>
    <row r="74" spans="1:24" ht="15" outlineLevel="1">
      <c r="A74" s="122"/>
      <c r="B74" s="89"/>
      <c r="C74" s="143"/>
      <c r="D74" s="84" t="s">
        <v>131</v>
      </c>
      <c r="E74" s="75" t="str">
        <f t="shared" si="40"/>
        <v>ТИС</v>
      </c>
      <c r="F74" s="155" t="s">
        <v>113</v>
      </c>
      <c r="G74" s="156">
        <v>28407.86</v>
      </c>
      <c r="H74" s="126"/>
      <c r="I74" s="127"/>
      <c r="J74" s="127"/>
      <c r="K74" s="127"/>
      <c r="L74" s="127">
        <f>L69</f>
        <v>14</v>
      </c>
      <c r="M74" s="127"/>
      <c r="N74" s="127"/>
      <c r="O74" s="80">
        <f t="shared" si="31"/>
        <v>0</v>
      </c>
      <c r="P74" s="80">
        <f t="shared" si="32"/>
        <v>0</v>
      </c>
      <c r="Q74" s="80">
        <f t="shared" si="33"/>
        <v>0</v>
      </c>
      <c r="R74" s="80">
        <f t="shared" si="34"/>
        <v>0</v>
      </c>
      <c r="S74" s="80">
        <f t="shared" si="35"/>
        <v>397710.04000000004</v>
      </c>
      <c r="T74" s="80">
        <f t="shared" si="36"/>
        <v>0</v>
      </c>
      <c r="U74" s="80">
        <f t="shared" si="37"/>
        <v>0</v>
      </c>
      <c r="V74" s="81">
        <f t="shared" si="38"/>
        <v>14</v>
      </c>
      <c r="W74" s="82">
        <f t="shared" si="39"/>
        <v>397710.04000000004</v>
      </c>
      <c r="X74" s="72"/>
    </row>
    <row r="75" spans="1:24" ht="15.75" outlineLevel="1" thickBot="1">
      <c r="A75" s="122"/>
      <c r="B75" s="89"/>
      <c r="C75" s="143"/>
      <c r="D75" s="93" t="s">
        <v>132</v>
      </c>
      <c r="E75" s="75" t="str">
        <f t="shared" si="40"/>
        <v>ТИС</v>
      </c>
      <c r="F75" s="157" t="s">
        <v>113</v>
      </c>
      <c r="G75" s="162">
        <v>36878.519999999997</v>
      </c>
      <c r="H75" s="126">
        <v>1</v>
      </c>
      <c r="I75" s="127"/>
      <c r="J75" s="127"/>
      <c r="K75" s="127"/>
      <c r="L75" s="127"/>
      <c r="M75" s="127"/>
      <c r="N75" s="127"/>
      <c r="O75" s="80">
        <f t="shared" si="31"/>
        <v>36878.519999999997</v>
      </c>
      <c r="P75" s="80">
        <f t="shared" si="32"/>
        <v>0</v>
      </c>
      <c r="Q75" s="80">
        <f t="shared" si="33"/>
        <v>0</v>
      </c>
      <c r="R75" s="80">
        <f t="shared" si="34"/>
        <v>0</v>
      </c>
      <c r="S75" s="80">
        <f t="shared" si="35"/>
        <v>0</v>
      </c>
      <c r="T75" s="80">
        <f t="shared" si="36"/>
        <v>0</v>
      </c>
      <c r="U75" s="80">
        <f t="shared" si="37"/>
        <v>0</v>
      </c>
      <c r="V75" s="81">
        <f t="shared" si="38"/>
        <v>1</v>
      </c>
      <c r="W75" s="82">
        <f t="shared" si="39"/>
        <v>36878.519999999997</v>
      </c>
      <c r="X75" s="72"/>
    </row>
    <row r="76" spans="1:24" ht="14.25" thickTop="1" thickBot="1">
      <c r="A76" s="145"/>
      <c r="B76" s="91"/>
      <c r="C76" s="594" t="s">
        <v>133</v>
      </c>
      <c r="D76" s="598"/>
      <c r="E76" s="596"/>
      <c r="F76" s="598"/>
      <c r="G76" s="598"/>
      <c r="H76" s="596"/>
      <c r="I76" s="596"/>
      <c r="J76" s="596"/>
      <c r="K76" s="596"/>
      <c r="L76" s="596"/>
      <c r="M76" s="596"/>
      <c r="N76" s="596"/>
      <c r="O76" s="596"/>
      <c r="P76" s="596"/>
      <c r="Q76" s="596"/>
      <c r="R76" s="596"/>
      <c r="S76" s="596"/>
      <c r="T76" s="596"/>
      <c r="U76" s="596"/>
      <c r="V76" s="596"/>
      <c r="W76" s="596"/>
      <c r="X76" s="116">
        <f>SUM(W78:W83)</f>
        <v>6729768.0985480007</v>
      </c>
    </row>
    <row r="77" spans="1:24" ht="13.5" outlineLevel="1" thickBot="1">
      <c r="A77" s="129"/>
      <c r="B77" s="130"/>
      <c r="C77" s="163" t="s">
        <v>134</v>
      </c>
      <c r="D77" s="68" t="s">
        <v>11</v>
      </c>
      <c r="E77" s="133"/>
      <c r="F77" s="150"/>
      <c r="G77" s="151"/>
      <c r="H77" s="135"/>
      <c r="I77" s="135"/>
      <c r="J77" s="135"/>
      <c r="K77" s="135"/>
      <c r="L77" s="135"/>
      <c r="M77" s="135"/>
      <c r="N77" s="135"/>
      <c r="O77" s="136"/>
      <c r="P77" s="136"/>
      <c r="Q77" s="136"/>
      <c r="R77" s="136"/>
      <c r="S77" s="136"/>
      <c r="T77" s="136"/>
      <c r="U77" s="136"/>
      <c r="V77" s="137"/>
      <c r="W77" s="138"/>
      <c r="X77" s="72"/>
    </row>
    <row r="78" spans="1:24" ht="15.75" outlineLevel="1" thickTop="1">
      <c r="A78" s="88"/>
      <c r="B78" s="89"/>
      <c r="C78" s="124" t="s">
        <v>94</v>
      </c>
      <c r="D78" s="74" t="s">
        <v>135</v>
      </c>
      <c r="E78" s="75" t="str">
        <f t="shared" ref="E78:E83" si="41">C$77</f>
        <v>Биотехальянс</v>
      </c>
      <c r="F78" s="152" t="s">
        <v>136</v>
      </c>
      <c r="G78" s="153">
        <v>3463667</v>
      </c>
      <c r="H78" s="78"/>
      <c r="I78" s="127"/>
      <c r="J78" s="127"/>
      <c r="K78" s="127"/>
      <c r="L78" s="154"/>
      <c r="M78" s="154"/>
      <c r="N78" s="127"/>
      <c r="O78" s="80">
        <f t="shared" ref="O78:O83" si="42">H78*G78</f>
        <v>0</v>
      </c>
      <c r="P78" s="80">
        <f t="shared" ref="P78:P83" si="43">I78*G78</f>
        <v>0</v>
      </c>
      <c r="Q78" s="80">
        <f t="shared" ref="Q78:Q83" si="44">J78*G78</f>
        <v>0</v>
      </c>
      <c r="R78" s="80">
        <f t="shared" ref="R78:R83" si="45">K78*G78</f>
        <v>0</v>
      </c>
      <c r="S78" s="80">
        <f t="shared" ref="S78:S83" si="46">L78*G78</f>
        <v>0</v>
      </c>
      <c r="T78" s="80">
        <f t="shared" ref="T78:T83" si="47">M78*G78</f>
        <v>0</v>
      </c>
      <c r="U78" s="80">
        <f t="shared" ref="U78:U83" si="48">N78*G78</f>
        <v>0</v>
      </c>
      <c r="V78" s="81">
        <f t="shared" ref="V78:V83" si="49">SUM(H78:N78)</f>
        <v>0</v>
      </c>
      <c r="W78" s="82">
        <f t="shared" ref="W78:W83" si="50">SUM(O78:U78)</f>
        <v>0</v>
      </c>
      <c r="X78" s="72"/>
    </row>
    <row r="79" spans="1:24" ht="15" outlineLevel="1">
      <c r="A79" s="88"/>
      <c r="B79" s="89"/>
      <c r="C79" s="124"/>
      <c r="D79" s="84" t="s">
        <v>137</v>
      </c>
      <c r="E79" s="75" t="str">
        <f t="shared" si="41"/>
        <v>Биотехальянс</v>
      </c>
      <c r="F79" s="155" t="s">
        <v>136</v>
      </c>
      <c r="G79" s="156">
        <v>6117970.9986800002</v>
      </c>
      <c r="H79" s="78"/>
      <c r="I79" s="127">
        <f>0.2</f>
        <v>0.2</v>
      </c>
      <c r="J79" s="127">
        <f t="shared" ref="J79:N80" si="51">0.2</f>
        <v>0.2</v>
      </c>
      <c r="K79" s="127">
        <f t="shared" si="51"/>
        <v>0.2</v>
      </c>
      <c r="L79" s="127">
        <f t="shared" si="51"/>
        <v>0.2</v>
      </c>
      <c r="M79" s="127"/>
      <c r="N79" s="127">
        <f t="shared" si="51"/>
        <v>0.2</v>
      </c>
      <c r="O79" s="80">
        <f t="shared" si="42"/>
        <v>0</v>
      </c>
      <c r="P79" s="80">
        <f t="shared" si="43"/>
        <v>1223594.199736</v>
      </c>
      <c r="Q79" s="80">
        <f t="shared" si="44"/>
        <v>1223594.199736</v>
      </c>
      <c r="R79" s="80">
        <f t="shared" si="45"/>
        <v>1223594.199736</v>
      </c>
      <c r="S79" s="80">
        <f t="shared" si="46"/>
        <v>1223594.199736</v>
      </c>
      <c r="T79" s="80">
        <f t="shared" si="47"/>
        <v>0</v>
      </c>
      <c r="U79" s="80">
        <f t="shared" si="48"/>
        <v>1223594.199736</v>
      </c>
      <c r="V79" s="81">
        <f t="shared" si="49"/>
        <v>1</v>
      </c>
      <c r="W79" s="82">
        <f t="shared" si="50"/>
        <v>6117970.9986800002</v>
      </c>
      <c r="X79" s="72"/>
    </row>
    <row r="80" spans="1:24" ht="15" outlineLevel="1">
      <c r="A80" s="88"/>
      <c r="B80" s="89"/>
      <c r="C80" s="124"/>
      <c r="D80" s="84" t="s">
        <v>138</v>
      </c>
      <c r="E80" s="75" t="str">
        <f t="shared" si="41"/>
        <v>Биотехальянс</v>
      </c>
      <c r="F80" s="155" t="s">
        <v>136</v>
      </c>
      <c r="G80" s="156">
        <f>G79*0.1</f>
        <v>611797.09986800002</v>
      </c>
      <c r="H80" s="78"/>
      <c r="I80" s="127">
        <f>0.2</f>
        <v>0.2</v>
      </c>
      <c r="J80" s="127">
        <f t="shared" si="51"/>
        <v>0.2</v>
      </c>
      <c r="K80" s="127">
        <f t="shared" si="51"/>
        <v>0.2</v>
      </c>
      <c r="L80" s="127">
        <f t="shared" si="51"/>
        <v>0.2</v>
      </c>
      <c r="M80" s="127"/>
      <c r="N80" s="127">
        <f t="shared" si="51"/>
        <v>0.2</v>
      </c>
      <c r="O80" s="80">
        <f t="shared" si="42"/>
        <v>0</v>
      </c>
      <c r="P80" s="80">
        <f t="shared" si="43"/>
        <v>122359.41997360002</v>
      </c>
      <c r="Q80" s="80">
        <f t="shared" si="44"/>
        <v>122359.41997360002</v>
      </c>
      <c r="R80" s="80">
        <f t="shared" si="45"/>
        <v>122359.41997360002</v>
      </c>
      <c r="S80" s="80">
        <f t="shared" si="46"/>
        <v>122359.41997360002</v>
      </c>
      <c r="T80" s="80">
        <f t="shared" si="47"/>
        <v>0</v>
      </c>
      <c r="U80" s="80">
        <f t="shared" si="48"/>
        <v>122359.41997360002</v>
      </c>
      <c r="V80" s="81">
        <f t="shared" si="49"/>
        <v>1</v>
      </c>
      <c r="W80" s="82">
        <f t="shared" si="50"/>
        <v>611797.09986800002</v>
      </c>
      <c r="X80" s="72"/>
    </row>
    <row r="81" spans="1:24" ht="15" outlineLevel="1">
      <c r="A81" s="88"/>
      <c r="B81" s="89"/>
      <c r="C81" s="124"/>
      <c r="D81" s="84" t="s">
        <v>139</v>
      </c>
      <c r="E81" s="75" t="str">
        <f t="shared" si="41"/>
        <v>Биотехальянс</v>
      </c>
      <c r="F81" s="155" t="s">
        <v>136</v>
      </c>
      <c r="G81" s="156">
        <f>0.1*G78</f>
        <v>346366.7</v>
      </c>
      <c r="H81" s="78"/>
      <c r="I81" s="139"/>
      <c r="J81" s="139"/>
      <c r="K81" s="139"/>
      <c r="L81" s="139"/>
      <c r="M81" s="139"/>
      <c r="N81" s="139"/>
      <c r="O81" s="80">
        <f t="shared" si="42"/>
        <v>0</v>
      </c>
      <c r="P81" s="80">
        <f t="shared" si="43"/>
        <v>0</v>
      </c>
      <c r="Q81" s="80">
        <f t="shared" si="44"/>
        <v>0</v>
      </c>
      <c r="R81" s="80">
        <f t="shared" si="45"/>
        <v>0</v>
      </c>
      <c r="S81" s="80">
        <f t="shared" si="46"/>
        <v>0</v>
      </c>
      <c r="T81" s="80">
        <f t="shared" si="47"/>
        <v>0</v>
      </c>
      <c r="U81" s="80">
        <f t="shared" si="48"/>
        <v>0</v>
      </c>
      <c r="V81" s="81">
        <f t="shared" si="49"/>
        <v>0</v>
      </c>
      <c r="W81" s="82">
        <f t="shared" si="50"/>
        <v>0</v>
      </c>
      <c r="X81" s="72"/>
    </row>
    <row r="82" spans="1:24" ht="15" outlineLevel="1">
      <c r="A82" s="88"/>
      <c r="B82" s="89"/>
      <c r="C82" s="124"/>
      <c r="D82" s="84" t="s">
        <v>140</v>
      </c>
      <c r="E82" s="75" t="str">
        <f t="shared" si="41"/>
        <v>Биотехальянс</v>
      </c>
      <c r="F82" s="155" t="s">
        <v>96</v>
      </c>
      <c r="G82" s="156"/>
      <c r="H82" s="78"/>
      <c r="I82" s="139"/>
      <c r="J82" s="139"/>
      <c r="K82" s="139"/>
      <c r="L82" s="139"/>
      <c r="M82" s="139"/>
      <c r="N82" s="139"/>
      <c r="O82" s="80">
        <f t="shared" si="42"/>
        <v>0</v>
      </c>
      <c r="P82" s="80">
        <f t="shared" si="43"/>
        <v>0</v>
      </c>
      <c r="Q82" s="80">
        <f t="shared" si="44"/>
        <v>0</v>
      </c>
      <c r="R82" s="80">
        <f t="shared" si="45"/>
        <v>0</v>
      </c>
      <c r="S82" s="80">
        <f t="shared" si="46"/>
        <v>0</v>
      </c>
      <c r="T82" s="80">
        <f t="shared" si="47"/>
        <v>0</v>
      </c>
      <c r="U82" s="80">
        <f t="shared" si="48"/>
        <v>0</v>
      </c>
      <c r="V82" s="81">
        <f t="shared" si="49"/>
        <v>0</v>
      </c>
      <c r="W82" s="82">
        <f t="shared" si="50"/>
        <v>0</v>
      </c>
      <c r="X82" s="72"/>
    </row>
    <row r="83" spans="1:24" ht="15.75" outlineLevel="1" thickBot="1">
      <c r="A83" s="88"/>
      <c r="B83" s="89"/>
      <c r="C83" s="124"/>
      <c r="D83" s="93" t="s">
        <v>141</v>
      </c>
      <c r="E83" s="75" t="str">
        <f t="shared" si="41"/>
        <v>Биотехальянс</v>
      </c>
      <c r="F83" s="157" t="s">
        <v>136</v>
      </c>
      <c r="G83" s="158"/>
      <c r="H83" s="78"/>
      <c r="I83" s="139"/>
      <c r="J83" s="139"/>
      <c r="K83" s="139"/>
      <c r="L83" s="139"/>
      <c r="M83" s="139"/>
      <c r="N83" s="139"/>
      <c r="O83" s="80">
        <f t="shared" si="42"/>
        <v>0</v>
      </c>
      <c r="P83" s="80">
        <f t="shared" si="43"/>
        <v>0</v>
      </c>
      <c r="Q83" s="80">
        <f t="shared" si="44"/>
        <v>0</v>
      </c>
      <c r="R83" s="80">
        <f t="shared" si="45"/>
        <v>0</v>
      </c>
      <c r="S83" s="80">
        <f t="shared" si="46"/>
        <v>0</v>
      </c>
      <c r="T83" s="80">
        <f t="shared" si="47"/>
        <v>0</v>
      </c>
      <c r="U83" s="80">
        <f t="shared" si="48"/>
        <v>0</v>
      </c>
      <c r="V83" s="81">
        <f t="shared" si="49"/>
        <v>0</v>
      </c>
      <c r="W83" s="82">
        <f t="shared" si="50"/>
        <v>0</v>
      </c>
      <c r="X83" s="72"/>
    </row>
    <row r="84" spans="1:24" ht="14.25" thickTop="1" thickBot="1">
      <c r="A84" s="148"/>
      <c r="B84" s="130"/>
      <c r="C84" s="594" t="s">
        <v>142</v>
      </c>
      <c r="D84" s="598"/>
      <c r="E84" s="596"/>
      <c r="F84" s="598"/>
      <c r="G84" s="598"/>
      <c r="H84" s="596"/>
      <c r="I84" s="596"/>
      <c r="J84" s="596"/>
      <c r="K84" s="596"/>
      <c r="L84" s="596"/>
      <c r="M84" s="596"/>
      <c r="N84" s="596"/>
      <c r="O84" s="596"/>
      <c r="P84" s="596"/>
      <c r="Q84" s="596"/>
      <c r="R84" s="596"/>
      <c r="S84" s="596"/>
      <c r="T84" s="596"/>
      <c r="U84" s="596"/>
      <c r="V84" s="596"/>
      <c r="W84" s="596"/>
      <c r="X84" s="116">
        <f>SUM(W86:W101)</f>
        <v>5440594.3350000009</v>
      </c>
    </row>
    <row r="85" spans="1:24" ht="13.5" outlineLevel="1" collapsed="1" thickBot="1">
      <c r="A85" s="148"/>
      <c r="B85" s="130"/>
      <c r="C85" s="163" t="s">
        <v>143</v>
      </c>
      <c r="D85" s="68" t="s">
        <v>11</v>
      </c>
      <c r="E85" s="133"/>
      <c r="F85" s="150"/>
      <c r="G85" s="151"/>
      <c r="H85" s="135"/>
      <c r="I85" s="135"/>
      <c r="J85" s="135"/>
      <c r="K85" s="135"/>
      <c r="L85" s="135"/>
      <c r="M85" s="135"/>
      <c r="N85" s="135"/>
      <c r="O85" s="136"/>
      <c r="P85" s="136"/>
      <c r="Q85" s="136"/>
      <c r="R85" s="136"/>
      <c r="S85" s="136"/>
      <c r="T85" s="136"/>
      <c r="U85" s="136"/>
      <c r="V85" s="137"/>
      <c r="W85" s="138"/>
      <c r="X85" s="72"/>
    </row>
    <row r="86" spans="1:24" ht="15.75" outlineLevel="1" thickTop="1">
      <c r="A86" s="122"/>
      <c r="B86" s="89"/>
      <c r="C86" s="124"/>
      <c r="D86" s="74" t="s">
        <v>144</v>
      </c>
      <c r="E86" s="75" t="str">
        <f>C$85</f>
        <v>ООО "СТК"; ООО "МТУ"</v>
      </c>
      <c r="F86" s="152" t="s">
        <v>145</v>
      </c>
      <c r="G86" s="153"/>
      <c r="H86" s="78"/>
      <c r="I86" s="139"/>
      <c r="J86" s="139"/>
      <c r="K86" s="139"/>
      <c r="L86" s="139"/>
      <c r="M86" s="139"/>
      <c r="N86" s="139"/>
      <c r="O86" s="80">
        <f t="shared" ref="O86:O101" si="52">H86*G86</f>
        <v>0</v>
      </c>
      <c r="P86" s="80">
        <f t="shared" ref="P86:P101" si="53">I86*G86</f>
        <v>0</v>
      </c>
      <c r="Q86" s="80">
        <f t="shared" ref="Q86:Q101" si="54">J86*G86</f>
        <v>0</v>
      </c>
      <c r="R86" s="80">
        <f t="shared" ref="R86:R101" si="55">K86*G86</f>
        <v>0</v>
      </c>
      <c r="S86" s="80">
        <f t="shared" ref="S86:S101" si="56">L86*G86</f>
        <v>0</v>
      </c>
      <c r="T86" s="80">
        <f t="shared" ref="T86:T101" si="57">M86*G86</f>
        <v>0</v>
      </c>
      <c r="U86" s="80">
        <f t="shared" ref="U86:U101" si="58">N86*G86</f>
        <v>0</v>
      </c>
      <c r="V86" s="81">
        <f t="shared" ref="V86:V101" si="59">SUM(H86:N86)</f>
        <v>0</v>
      </c>
      <c r="W86" s="82">
        <f t="shared" ref="W86:W101" si="60">SUM(O86:U86)</f>
        <v>0</v>
      </c>
      <c r="X86" s="72"/>
    </row>
    <row r="87" spans="1:24" ht="15" outlineLevel="1">
      <c r="A87" s="122"/>
      <c r="B87" s="89"/>
      <c r="C87" s="124"/>
      <c r="D87" s="84" t="s">
        <v>146</v>
      </c>
      <c r="E87" s="75" t="str">
        <f t="shared" ref="E87:E101" si="61">C$85</f>
        <v>ООО "СТК"; ООО "МТУ"</v>
      </c>
      <c r="F87" s="155" t="s">
        <v>145</v>
      </c>
      <c r="G87" s="156">
        <v>1108924.71</v>
      </c>
      <c r="H87" s="78"/>
      <c r="I87" s="139">
        <v>1</v>
      </c>
      <c r="J87" s="139"/>
      <c r="K87" s="139"/>
      <c r="L87" s="139"/>
      <c r="M87" s="139"/>
      <c r="N87" s="139"/>
      <c r="O87" s="80">
        <f t="shared" si="52"/>
        <v>0</v>
      </c>
      <c r="P87" s="80">
        <f t="shared" si="53"/>
        <v>1108924.71</v>
      </c>
      <c r="Q87" s="80">
        <f t="shared" si="54"/>
        <v>0</v>
      </c>
      <c r="R87" s="80">
        <f t="shared" si="55"/>
        <v>0</v>
      </c>
      <c r="S87" s="80">
        <f t="shared" si="56"/>
        <v>0</v>
      </c>
      <c r="T87" s="80">
        <f t="shared" si="57"/>
        <v>0</v>
      </c>
      <c r="U87" s="80">
        <f t="shared" si="58"/>
        <v>0</v>
      </c>
      <c r="V87" s="81">
        <f t="shared" si="59"/>
        <v>1</v>
      </c>
      <c r="W87" s="82">
        <f t="shared" si="60"/>
        <v>1108924.71</v>
      </c>
      <c r="X87" s="72"/>
    </row>
    <row r="88" spans="1:24" ht="15" outlineLevel="1">
      <c r="A88" s="122"/>
      <c r="B88" s="89"/>
      <c r="C88" s="124"/>
      <c r="D88" s="84" t="s">
        <v>147</v>
      </c>
      <c r="E88" s="75" t="str">
        <f t="shared" si="61"/>
        <v>ООО "СТК"; ООО "МТУ"</v>
      </c>
      <c r="F88" s="155" t="s">
        <v>145</v>
      </c>
      <c r="G88" s="156">
        <v>1526297.5350000001</v>
      </c>
      <c r="H88" s="78"/>
      <c r="I88" s="139"/>
      <c r="J88" s="139">
        <v>1</v>
      </c>
      <c r="K88" s="139"/>
      <c r="L88" s="139"/>
      <c r="M88" s="139"/>
      <c r="N88" s="139"/>
      <c r="O88" s="80">
        <f t="shared" si="52"/>
        <v>0</v>
      </c>
      <c r="P88" s="80">
        <f t="shared" si="53"/>
        <v>0</v>
      </c>
      <c r="Q88" s="80">
        <f t="shared" si="54"/>
        <v>1526297.5350000001</v>
      </c>
      <c r="R88" s="80">
        <f t="shared" si="55"/>
        <v>0</v>
      </c>
      <c r="S88" s="80">
        <f t="shared" si="56"/>
        <v>0</v>
      </c>
      <c r="T88" s="80">
        <f t="shared" si="57"/>
        <v>0</v>
      </c>
      <c r="U88" s="80">
        <f t="shared" si="58"/>
        <v>0</v>
      </c>
      <c r="V88" s="81">
        <f t="shared" si="59"/>
        <v>1</v>
      </c>
      <c r="W88" s="82">
        <f t="shared" si="60"/>
        <v>1526297.5350000001</v>
      </c>
      <c r="X88" s="72"/>
    </row>
    <row r="89" spans="1:24" ht="15" outlineLevel="1">
      <c r="A89" s="122"/>
      <c r="B89" s="89"/>
      <c r="C89" s="124"/>
      <c r="D89" s="84" t="s">
        <v>148</v>
      </c>
      <c r="E89" s="75" t="str">
        <f t="shared" si="61"/>
        <v>ООО "СТК"; ООО "МТУ"</v>
      </c>
      <c r="F89" s="155" t="s">
        <v>145</v>
      </c>
      <c r="G89" s="156">
        <v>1567470.1500000001</v>
      </c>
      <c r="H89" s="78"/>
      <c r="I89" s="139"/>
      <c r="J89" s="139"/>
      <c r="K89" s="139"/>
      <c r="L89" s="139">
        <v>1</v>
      </c>
      <c r="M89" s="139"/>
      <c r="N89" s="139"/>
      <c r="O89" s="80">
        <f t="shared" si="52"/>
        <v>0</v>
      </c>
      <c r="P89" s="80">
        <f t="shared" si="53"/>
        <v>0</v>
      </c>
      <c r="Q89" s="80">
        <f t="shared" si="54"/>
        <v>0</v>
      </c>
      <c r="R89" s="80">
        <f t="shared" si="55"/>
        <v>0</v>
      </c>
      <c r="S89" s="80">
        <f t="shared" si="56"/>
        <v>1567470.1500000001</v>
      </c>
      <c r="T89" s="80">
        <f t="shared" si="57"/>
        <v>0</v>
      </c>
      <c r="U89" s="80">
        <f t="shared" si="58"/>
        <v>0</v>
      </c>
      <c r="V89" s="81">
        <f t="shared" si="59"/>
        <v>1</v>
      </c>
      <c r="W89" s="82">
        <f t="shared" si="60"/>
        <v>1567470.1500000001</v>
      </c>
      <c r="X89" s="72"/>
    </row>
    <row r="90" spans="1:24" ht="15" outlineLevel="1">
      <c r="A90" s="122"/>
      <c r="B90" s="89"/>
      <c r="C90" s="124"/>
      <c r="D90" s="84" t="s">
        <v>149</v>
      </c>
      <c r="E90" s="75" t="str">
        <f t="shared" si="61"/>
        <v>ООО "СТК"; ООО "МТУ"</v>
      </c>
      <c r="F90" s="155" t="s">
        <v>145</v>
      </c>
      <c r="G90" s="156"/>
      <c r="H90" s="78"/>
      <c r="I90" s="139"/>
      <c r="J90" s="139"/>
      <c r="K90" s="139"/>
      <c r="L90" s="139"/>
      <c r="M90" s="139"/>
      <c r="N90" s="139"/>
      <c r="O90" s="80">
        <f t="shared" si="52"/>
        <v>0</v>
      </c>
      <c r="P90" s="80">
        <f t="shared" si="53"/>
        <v>0</v>
      </c>
      <c r="Q90" s="80">
        <f t="shared" si="54"/>
        <v>0</v>
      </c>
      <c r="R90" s="80">
        <f t="shared" si="55"/>
        <v>0</v>
      </c>
      <c r="S90" s="80">
        <f t="shared" si="56"/>
        <v>0</v>
      </c>
      <c r="T90" s="80">
        <f t="shared" si="57"/>
        <v>0</v>
      </c>
      <c r="U90" s="80">
        <f t="shared" si="58"/>
        <v>0</v>
      </c>
      <c r="V90" s="81">
        <f t="shared" si="59"/>
        <v>0</v>
      </c>
      <c r="W90" s="82">
        <f t="shared" si="60"/>
        <v>0</v>
      </c>
      <c r="X90" s="72"/>
    </row>
    <row r="91" spans="1:24" ht="15" outlineLevel="1">
      <c r="A91" s="122"/>
      <c r="B91" s="89"/>
      <c r="C91" s="124"/>
      <c r="D91" s="84" t="s">
        <v>150</v>
      </c>
      <c r="E91" s="75" t="str">
        <f t="shared" si="61"/>
        <v>ООО "СТК"; ООО "МТУ"</v>
      </c>
      <c r="F91" s="155" t="s">
        <v>145</v>
      </c>
      <c r="G91" s="156"/>
      <c r="H91" s="78"/>
      <c r="I91" s="139"/>
      <c r="J91" s="139"/>
      <c r="K91" s="139"/>
      <c r="L91" s="139"/>
      <c r="M91" s="139"/>
      <c r="N91" s="139"/>
      <c r="O91" s="80">
        <f t="shared" si="52"/>
        <v>0</v>
      </c>
      <c r="P91" s="80">
        <f t="shared" si="53"/>
        <v>0</v>
      </c>
      <c r="Q91" s="80">
        <f t="shared" si="54"/>
        <v>0</v>
      </c>
      <c r="R91" s="80">
        <f t="shared" si="55"/>
        <v>0</v>
      </c>
      <c r="S91" s="80">
        <f t="shared" si="56"/>
        <v>0</v>
      </c>
      <c r="T91" s="80">
        <f t="shared" si="57"/>
        <v>0</v>
      </c>
      <c r="U91" s="80">
        <f t="shared" si="58"/>
        <v>0</v>
      </c>
      <c r="V91" s="81">
        <f t="shared" si="59"/>
        <v>0</v>
      </c>
      <c r="W91" s="82">
        <f t="shared" si="60"/>
        <v>0</v>
      </c>
      <c r="X91" s="72"/>
    </row>
    <row r="92" spans="1:24" ht="15" outlineLevel="1">
      <c r="A92" s="122"/>
      <c r="B92" s="89"/>
      <c r="C92" s="124"/>
      <c r="D92" s="84" t="s">
        <v>151</v>
      </c>
      <c r="E92" s="75" t="str">
        <f t="shared" si="61"/>
        <v>ООО "СТК"; ООО "МТУ"</v>
      </c>
      <c r="F92" s="155" t="s">
        <v>145</v>
      </c>
      <c r="G92" s="156"/>
      <c r="H92" s="78"/>
      <c r="I92" s="139"/>
      <c r="J92" s="139"/>
      <c r="K92" s="139"/>
      <c r="L92" s="139"/>
      <c r="M92" s="139"/>
      <c r="N92" s="139"/>
      <c r="O92" s="80">
        <f t="shared" si="52"/>
        <v>0</v>
      </c>
      <c r="P92" s="80">
        <f t="shared" si="53"/>
        <v>0</v>
      </c>
      <c r="Q92" s="80">
        <f t="shared" si="54"/>
        <v>0</v>
      </c>
      <c r="R92" s="80">
        <f t="shared" si="55"/>
        <v>0</v>
      </c>
      <c r="S92" s="80">
        <f t="shared" si="56"/>
        <v>0</v>
      </c>
      <c r="T92" s="80">
        <f t="shared" si="57"/>
        <v>0</v>
      </c>
      <c r="U92" s="80">
        <f t="shared" si="58"/>
        <v>0</v>
      </c>
      <c r="V92" s="81">
        <f t="shared" si="59"/>
        <v>0</v>
      </c>
      <c r="W92" s="82">
        <f t="shared" si="60"/>
        <v>0</v>
      </c>
      <c r="X92" s="72"/>
    </row>
    <row r="93" spans="1:24" ht="15" outlineLevel="1">
      <c r="A93" s="122"/>
      <c r="B93" s="89"/>
      <c r="C93" s="124"/>
      <c r="D93" s="84" t="s">
        <v>152</v>
      </c>
      <c r="E93" s="75" t="str">
        <f t="shared" si="61"/>
        <v>ООО "СТК"; ООО "МТУ"</v>
      </c>
      <c r="F93" s="155" t="s">
        <v>145</v>
      </c>
      <c r="G93" s="156">
        <v>634645.50000000012</v>
      </c>
      <c r="H93" s="78"/>
      <c r="I93" s="139"/>
      <c r="J93" s="139"/>
      <c r="K93" s="139"/>
      <c r="L93" s="139"/>
      <c r="M93" s="139"/>
      <c r="N93" s="139"/>
      <c r="O93" s="80">
        <f t="shared" si="52"/>
        <v>0</v>
      </c>
      <c r="P93" s="80">
        <f t="shared" si="53"/>
        <v>0</v>
      </c>
      <c r="Q93" s="80">
        <f t="shared" si="54"/>
        <v>0</v>
      </c>
      <c r="R93" s="80">
        <f t="shared" si="55"/>
        <v>0</v>
      </c>
      <c r="S93" s="80">
        <f t="shared" si="56"/>
        <v>0</v>
      </c>
      <c r="T93" s="80">
        <f t="shared" si="57"/>
        <v>0</v>
      </c>
      <c r="U93" s="80">
        <f t="shared" si="58"/>
        <v>0</v>
      </c>
      <c r="V93" s="81">
        <f t="shared" si="59"/>
        <v>0</v>
      </c>
      <c r="W93" s="82">
        <f t="shared" si="60"/>
        <v>0</v>
      </c>
      <c r="X93" s="72"/>
    </row>
    <row r="94" spans="1:24" ht="15" outlineLevel="1">
      <c r="A94" s="122"/>
      <c r="B94" s="89"/>
      <c r="C94" s="124"/>
      <c r="D94" s="84" t="s">
        <v>153</v>
      </c>
      <c r="E94" s="75" t="str">
        <f t="shared" si="61"/>
        <v>ООО "СТК"; ООО "МТУ"</v>
      </c>
      <c r="F94" s="155" t="s">
        <v>145</v>
      </c>
      <c r="G94" s="156"/>
      <c r="H94" s="78"/>
      <c r="I94" s="139"/>
      <c r="J94" s="139"/>
      <c r="K94" s="139"/>
      <c r="L94" s="139"/>
      <c r="M94" s="139"/>
      <c r="N94" s="139"/>
      <c r="O94" s="80">
        <f t="shared" si="52"/>
        <v>0</v>
      </c>
      <c r="P94" s="80">
        <f t="shared" si="53"/>
        <v>0</v>
      </c>
      <c r="Q94" s="80">
        <f t="shared" si="54"/>
        <v>0</v>
      </c>
      <c r="R94" s="80">
        <f t="shared" si="55"/>
        <v>0</v>
      </c>
      <c r="S94" s="80">
        <f t="shared" si="56"/>
        <v>0</v>
      </c>
      <c r="T94" s="80">
        <f t="shared" si="57"/>
        <v>0</v>
      </c>
      <c r="U94" s="80">
        <f t="shared" si="58"/>
        <v>0</v>
      </c>
      <c r="V94" s="81">
        <f t="shared" si="59"/>
        <v>0</v>
      </c>
      <c r="W94" s="82">
        <f t="shared" si="60"/>
        <v>0</v>
      </c>
      <c r="X94" s="72"/>
    </row>
    <row r="95" spans="1:24" ht="15" outlineLevel="1">
      <c r="A95" s="122"/>
      <c r="B95" s="89"/>
      <c r="C95" s="124"/>
      <c r="D95" s="84" t="s">
        <v>154</v>
      </c>
      <c r="E95" s="75" t="str">
        <f t="shared" si="61"/>
        <v>ООО "СТК"; ООО "МТУ"</v>
      </c>
      <c r="F95" s="155" t="s">
        <v>145</v>
      </c>
      <c r="G95" s="156"/>
      <c r="H95" s="78"/>
      <c r="I95" s="139"/>
      <c r="J95" s="139"/>
      <c r="K95" s="139"/>
      <c r="L95" s="139"/>
      <c r="M95" s="139"/>
      <c r="N95" s="139"/>
      <c r="O95" s="80">
        <f t="shared" si="52"/>
        <v>0</v>
      </c>
      <c r="P95" s="80">
        <f t="shared" si="53"/>
        <v>0</v>
      </c>
      <c r="Q95" s="80">
        <f t="shared" si="54"/>
        <v>0</v>
      </c>
      <c r="R95" s="80">
        <f t="shared" si="55"/>
        <v>0</v>
      </c>
      <c r="S95" s="80">
        <f t="shared" si="56"/>
        <v>0</v>
      </c>
      <c r="T95" s="80">
        <f t="shared" si="57"/>
        <v>0</v>
      </c>
      <c r="U95" s="80">
        <f t="shared" si="58"/>
        <v>0</v>
      </c>
      <c r="V95" s="81">
        <f t="shared" si="59"/>
        <v>0</v>
      </c>
      <c r="W95" s="82">
        <f t="shared" si="60"/>
        <v>0</v>
      </c>
      <c r="X95" s="72"/>
    </row>
    <row r="96" spans="1:24" ht="15" outlineLevel="1">
      <c r="A96" s="122"/>
      <c r="B96" s="89"/>
      <c r="C96" s="124"/>
      <c r="D96" s="84" t="s">
        <v>155</v>
      </c>
      <c r="E96" s="75" t="str">
        <f t="shared" si="61"/>
        <v>ООО "СТК"; ООО "МТУ"</v>
      </c>
      <c r="F96" s="155" t="s">
        <v>145</v>
      </c>
      <c r="G96" s="156"/>
      <c r="H96" s="78"/>
      <c r="I96" s="139"/>
      <c r="J96" s="139"/>
      <c r="K96" s="139"/>
      <c r="L96" s="139"/>
      <c r="M96" s="139"/>
      <c r="N96" s="139"/>
      <c r="O96" s="80">
        <f t="shared" si="52"/>
        <v>0</v>
      </c>
      <c r="P96" s="80">
        <f t="shared" si="53"/>
        <v>0</v>
      </c>
      <c r="Q96" s="80">
        <f t="shared" si="54"/>
        <v>0</v>
      </c>
      <c r="R96" s="80">
        <f t="shared" si="55"/>
        <v>0</v>
      </c>
      <c r="S96" s="80">
        <f t="shared" si="56"/>
        <v>0</v>
      </c>
      <c r="T96" s="80">
        <f t="shared" si="57"/>
        <v>0</v>
      </c>
      <c r="U96" s="80">
        <f t="shared" si="58"/>
        <v>0</v>
      </c>
      <c r="V96" s="81">
        <f t="shared" si="59"/>
        <v>0</v>
      </c>
      <c r="W96" s="82">
        <f t="shared" si="60"/>
        <v>0</v>
      </c>
      <c r="X96" s="72"/>
    </row>
    <row r="97" spans="1:24" ht="15" outlineLevel="1">
      <c r="A97" s="122"/>
      <c r="B97" s="89"/>
      <c r="C97" s="124"/>
      <c r="D97" s="84" t="s">
        <v>156</v>
      </c>
      <c r="E97" s="75" t="str">
        <f t="shared" si="61"/>
        <v>ООО "СТК"; ООО "МТУ"</v>
      </c>
      <c r="F97" s="155" t="s">
        <v>145</v>
      </c>
      <c r="G97" s="156"/>
      <c r="H97" s="78"/>
      <c r="I97" s="139"/>
      <c r="J97" s="139"/>
      <c r="K97" s="139"/>
      <c r="L97" s="139"/>
      <c r="M97" s="139"/>
      <c r="N97" s="139"/>
      <c r="O97" s="80">
        <f t="shared" si="52"/>
        <v>0</v>
      </c>
      <c r="P97" s="80">
        <f t="shared" si="53"/>
        <v>0</v>
      </c>
      <c r="Q97" s="80">
        <f t="shared" si="54"/>
        <v>0</v>
      </c>
      <c r="R97" s="80">
        <f t="shared" si="55"/>
        <v>0</v>
      </c>
      <c r="S97" s="80">
        <f t="shared" si="56"/>
        <v>0</v>
      </c>
      <c r="T97" s="80">
        <f t="shared" si="57"/>
        <v>0</v>
      </c>
      <c r="U97" s="80">
        <f t="shared" si="58"/>
        <v>0</v>
      </c>
      <c r="V97" s="81">
        <f t="shared" si="59"/>
        <v>0</v>
      </c>
      <c r="W97" s="82">
        <f t="shared" si="60"/>
        <v>0</v>
      </c>
      <c r="X97" s="72"/>
    </row>
    <row r="98" spans="1:24" ht="15" outlineLevel="1">
      <c r="A98" s="122"/>
      <c r="B98" s="89"/>
      <c r="C98" s="124"/>
      <c r="D98" s="84" t="s">
        <v>157</v>
      </c>
      <c r="E98" s="75" t="str">
        <f t="shared" si="61"/>
        <v>ООО "СТК"; ООО "МТУ"</v>
      </c>
      <c r="F98" s="155" t="s">
        <v>145</v>
      </c>
      <c r="G98" s="156"/>
      <c r="H98" s="78"/>
      <c r="I98" s="139"/>
      <c r="J98" s="139"/>
      <c r="K98" s="139"/>
      <c r="L98" s="139"/>
      <c r="M98" s="139"/>
      <c r="N98" s="139"/>
      <c r="O98" s="80">
        <f t="shared" si="52"/>
        <v>0</v>
      </c>
      <c r="P98" s="80">
        <f t="shared" si="53"/>
        <v>0</v>
      </c>
      <c r="Q98" s="80">
        <f t="shared" si="54"/>
        <v>0</v>
      </c>
      <c r="R98" s="80">
        <f t="shared" si="55"/>
        <v>0</v>
      </c>
      <c r="S98" s="80">
        <f t="shared" si="56"/>
        <v>0</v>
      </c>
      <c r="T98" s="80">
        <f t="shared" si="57"/>
        <v>0</v>
      </c>
      <c r="U98" s="80">
        <f t="shared" si="58"/>
        <v>0</v>
      </c>
      <c r="V98" s="81">
        <f t="shared" si="59"/>
        <v>0</v>
      </c>
      <c r="W98" s="82">
        <f t="shared" si="60"/>
        <v>0</v>
      </c>
      <c r="X98" s="72"/>
    </row>
    <row r="99" spans="1:24" ht="15" outlineLevel="1">
      <c r="A99" s="122"/>
      <c r="B99" s="89"/>
      <c r="C99" s="124"/>
      <c r="D99" s="84" t="s">
        <v>155</v>
      </c>
      <c r="E99" s="75" t="str">
        <f t="shared" si="61"/>
        <v>ООО "СТК"; ООО "МТУ"</v>
      </c>
      <c r="F99" s="155" t="s">
        <v>145</v>
      </c>
      <c r="G99" s="156"/>
      <c r="H99" s="78"/>
      <c r="I99" s="139"/>
      <c r="J99" s="139"/>
      <c r="K99" s="139"/>
      <c r="L99" s="139"/>
      <c r="M99" s="139"/>
      <c r="N99" s="139"/>
      <c r="O99" s="80">
        <f t="shared" si="52"/>
        <v>0</v>
      </c>
      <c r="P99" s="80">
        <f t="shared" si="53"/>
        <v>0</v>
      </c>
      <c r="Q99" s="80">
        <f t="shared" si="54"/>
        <v>0</v>
      </c>
      <c r="R99" s="80">
        <f t="shared" si="55"/>
        <v>0</v>
      </c>
      <c r="S99" s="80">
        <f t="shared" si="56"/>
        <v>0</v>
      </c>
      <c r="T99" s="80">
        <f t="shared" si="57"/>
        <v>0</v>
      </c>
      <c r="U99" s="80">
        <f t="shared" si="58"/>
        <v>0</v>
      </c>
      <c r="V99" s="81">
        <f t="shared" si="59"/>
        <v>0</v>
      </c>
      <c r="W99" s="82">
        <f t="shared" si="60"/>
        <v>0</v>
      </c>
      <c r="X99" s="72"/>
    </row>
    <row r="100" spans="1:24" ht="15" outlineLevel="1">
      <c r="A100" s="122"/>
      <c r="B100" s="164"/>
      <c r="C100" s="124"/>
      <c r="D100" s="84" t="s">
        <v>156</v>
      </c>
      <c r="E100" s="75" t="str">
        <f t="shared" si="61"/>
        <v>ООО "СТК"; ООО "МТУ"</v>
      </c>
      <c r="F100" s="155" t="s">
        <v>145</v>
      </c>
      <c r="G100" s="156"/>
      <c r="H100" s="78"/>
      <c r="I100" s="139"/>
      <c r="J100" s="139"/>
      <c r="K100" s="139"/>
      <c r="L100" s="139"/>
      <c r="M100" s="139"/>
      <c r="N100" s="139"/>
      <c r="O100" s="80">
        <f t="shared" si="52"/>
        <v>0</v>
      </c>
      <c r="P100" s="80">
        <f t="shared" si="53"/>
        <v>0</v>
      </c>
      <c r="Q100" s="80">
        <f t="shared" si="54"/>
        <v>0</v>
      </c>
      <c r="R100" s="80">
        <f t="shared" si="55"/>
        <v>0</v>
      </c>
      <c r="S100" s="80">
        <f t="shared" si="56"/>
        <v>0</v>
      </c>
      <c r="T100" s="80">
        <f t="shared" si="57"/>
        <v>0</v>
      </c>
      <c r="U100" s="80">
        <f t="shared" si="58"/>
        <v>0</v>
      </c>
      <c r="V100" s="81">
        <f t="shared" si="59"/>
        <v>0</v>
      </c>
      <c r="W100" s="82">
        <f t="shared" si="60"/>
        <v>0</v>
      </c>
      <c r="X100" s="72"/>
    </row>
    <row r="101" spans="1:24" ht="15.75" outlineLevel="1" thickBot="1">
      <c r="A101" s="122"/>
      <c r="B101" s="164"/>
      <c r="C101" s="124"/>
      <c r="D101" s="93" t="s">
        <v>158</v>
      </c>
      <c r="E101" s="75" t="str">
        <f t="shared" si="61"/>
        <v>ООО "СТК"; ООО "МТУ"</v>
      </c>
      <c r="F101" s="157" t="s">
        <v>145</v>
      </c>
      <c r="G101" s="158">
        <v>412633.98</v>
      </c>
      <c r="H101" s="78"/>
      <c r="I101" s="139"/>
      <c r="J101" s="139"/>
      <c r="K101" s="139"/>
      <c r="L101" s="139">
        <v>3</v>
      </c>
      <c r="M101" s="139"/>
      <c r="N101" s="139"/>
      <c r="O101" s="80">
        <f t="shared" si="52"/>
        <v>0</v>
      </c>
      <c r="P101" s="80">
        <f t="shared" si="53"/>
        <v>0</v>
      </c>
      <c r="Q101" s="80">
        <f t="shared" si="54"/>
        <v>0</v>
      </c>
      <c r="R101" s="80">
        <f t="shared" si="55"/>
        <v>0</v>
      </c>
      <c r="S101" s="80">
        <f t="shared" si="56"/>
        <v>1237901.94</v>
      </c>
      <c r="T101" s="80">
        <f t="shared" si="57"/>
        <v>0</v>
      </c>
      <c r="U101" s="80">
        <f t="shared" si="58"/>
        <v>0</v>
      </c>
      <c r="V101" s="81">
        <f t="shared" si="59"/>
        <v>3</v>
      </c>
      <c r="W101" s="82">
        <f t="shared" si="60"/>
        <v>1237901.94</v>
      </c>
      <c r="X101" s="72"/>
    </row>
    <row r="102" spans="1:24" ht="14.25" thickTop="1" thickBot="1">
      <c r="A102" s="129"/>
      <c r="B102" s="130"/>
      <c r="C102" s="594" t="s">
        <v>159</v>
      </c>
      <c r="D102" s="598"/>
      <c r="E102" s="596"/>
      <c r="F102" s="598"/>
      <c r="G102" s="598"/>
      <c r="H102" s="596"/>
      <c r="I102" s="596"/>
      <c r="J102" s="596"/>
      <c r="K102" s="596"/>
      <c r="L102" s="596"/>
      <c r="M102" s="596"/>
      <c r="N102" s="596"/>
      <c r="O102" s="596"/>
      <c r="P102" s="596"/>
      <c r="Q102" s="596"/>
      <c r="R102" s="596"/>
      <c r="S102" s="596"/>
      <c r="T102" s="596"/>
      <c r="U102" s="596"/>
      <c r="V102" s="596"/>
      <c r="W102" s="596"/>
      <c r="X102" s="116">
        <f>SUM(W104:W106)</f>
        <v>1451153.34</v>
      </c>
    </row>
    <row r="103" spans="1:24" ht="13.5" outlineLevel="1" collapsed="1" thickBot="1">
      <c r="A103" s="129"/>
      <c r="B103" s="130"/>
      <c r="C103" s="163" t="s">
        <v>160</v>
      </c>
      <c r="D103" s="68" t="s">
        <v>11</v>
      </c>
      <c r="E103" s="133"/>
      <c r="F103" s="150"/>
      <c r="G103" s="151"/>
      <c r="H103" s="135"/>
      <c r="I103" s="135"/>
      <c r="J103" s="135"/>
      <c r="K103" s="135"/>
      <c r="L103" s="135"/>
      <c r="M103" s="135"/>
      <c r="N103" s="135"/>
      <c r="O103" s="136"/>
      <c r="P103" s="136"/>
      <c r="Q103" s="136"/>
      <c r="R103" s="136"/>
      <c r="S103" s="136"/>
      <c r="T103" s="136"/>
      <c r="U103" s="136"/>
      <c r="V103" s="137"/>
      <c r="W103" s="138"/>
      <c r="X103" s="72"/>
    </row>
    <row r="104" spans="1:24" ht="15.75" outlineLevel="1" thickTop="1">
      <c r="A104" s="88"/>
      <c r="B104" s="89"/>
      <c r="C104" s="124" t="s">
        <v>94</v>
      </c>
      <c r="D104" s="74" t="s">
        <v>161</v>
      </c>
      <c r="E104" s="75" t="str">
        <f>C$103</f>
        <v>ННГГФ</v>
      </c>
      <c r="F104" s="152" t="s">
        <v>113</v>
      </c>
      <c r="G104" s="153"/>
      <c r="H104" s="78"/>
      <c r="I104" s="139"/>
      <c r="J104" s="139"/>
      <c r="K104" s="139"/>
      <c r="L104" s="139"/>
      <c r="M104" s="139"/>
      <c r="N104" s="139"/>
      <c r="O104" s="80">
        <f>H104*G104</f>
        <v>0</v>
      </c>
      <c r="P104" s="80">
        <f>I104*G104</f>
        <v>0</v>
      </c>
      <c r="Q104" s="80">
        <f>J104*G104</f>
        <v>0</v>
      </c>
      <c r="R104" s="80">
        <f>K104*G104</f>
        <v>0</v>
      </c>
      <c r="S104" s="80">
        <f>L104*G104</f>
        <v>0</v>
      </c>
      <c r="T104" s="80">
        <f>M104*G104</f>
        <v>0</v>
      </c>
      <c r="U104" s="80">
        <f>N104*G104</f>
        <v>0</v>
      </c>
      <c r="V104" s="81">
        <f>SUM(H104:N104)</f>
        <v>0</v>
      </c>
      <c r="W104" s="82">
        <f>SUM(O104:U104)</f>
        <v>0</v>
      </c>
      <c r="X104" s="72"/>
    </row>
    <row r="105" spans="1:24" ht="15" outlineLevel="1">
      <c r="A105" s="88"/>
      <c r="B105" s="89"/>
      <c r="C105" s="124"/>
      <c r="D105" s="84" t="s">
        <v>162</v>
      </c>
      <c r="E105" s="75" t="str">
        <f>C$103</f>
        <v>ННГГФ</v>
      </c>
      <c r="F105" s="155" t="s">
        <v>113</v>
      </c>
      <c r="G105" s="156">
        <v>27961.27</v>
      </c>
      <c r="H105" s="78">
        <f t="shared" ref="H105:N105" si="62">H6</f>
        <v>1</v>
      </c>
      <c r="I105" s="139">
        <f t="shared" ref="I105" si="63">I6</f>
        <v>4</v>
      </c>
      <c r="J105" s="139">
        <f t="shared" si="62"/>
        <v>8</v>
      </c>
      <c r="K105" s="139">
        <f t="shared" si="62"/>
        <v>0</v>
      </c>
      <c r="L105" s="139">
        <f t="shared" si="62"/>
        <v>18</v>
      </c>
      <c r="M105" s="139">
        <f t="shared" si="62"/>
        <v>0</v>
      </c>
      <c r="N105" s="139">
        <f t="shared" si="62"/>
        <v>11</v>
      </c>
      <c r="O105" s="80">
        <f>H105*G105</f>
        <v>27961.27</v>
      </c>
      <c r="P105" s="80">
        <f>I105*G105</f>
        <v>111845.08</v>
      </c>
      <c r="Q105" s="80">
        <f>J105*G105</f>
        <v>223690.16</v>
      </c>
      <c r="R105" s="80">
        <f>K105*G105</f>
        <v>0</v>
      </c>
      <c r="S105" s="80">
        <f>L105*G105</f>
        <v>503302.86</v>
      </c>
      <c r="T105" s="80">
        <f>M105*G105</f>
        <v>0</v>
      </c>
      <c r="U105" s="80">
        <f>N105*G105</f>
        <v>307573.97000000003</v>
      </c>
      <c r="V105" s="81">
        <f>SUM(H105:N105)</f>
        <v>42</v>
      </c>
      <c r="W105" s="82">
        <f>SUM(O105:U105)</f>
        <v>1174373.3400000001</v>
      </c>
      <c r="X105" s="72"/>
    </row>
    <row r="106" spans="1:24" ht="15.75" outlineLevel="1" thickBot="1">
      <c r="A106" s="88"/>
      <c r="B106" s="89"/>
      <c r="C106" s="124"/>
      <c r="D106" s="93" t="s">
        <v>163</v>
      </c>
      <c r="E106" s="75" t="str">
        <f>C$103</f>
        <v>ННГГФ</v>
      </c>
      <c r="F106" s="157" t="s">
        <v>113</v>
      </c>
      <c r="G106" s="158">
        <v>6590</v>
      </c>
      <c r="H106" s="78">
        <f t="shared" ref="H106:N106" si="64">H6</f>
        <v>1</v>
      </c>
      <c r="I106" s="139">
        <f t="shared" ref="I106" si="65">I6</f>
        <v>4</v>
      </c>
      <c r="J106" s="139">
        <f t="shared" si="64"/>
        <v>8</v>
      </c>
      <c r="K106" s="139">
        <f t="shared" si="64"/>
        <v>0</v>
      </c>
      <c r="L106" s="139">
        <f t="shared" si="64"/>
        <v>18</v>
      </c>
      <c r="M106" s="139">
        <f t="shared" si="64"/>
        <v>0</v>
      </c>
      <c r="N106" s="139">
        <f t="shared" si="64"/>
        <v>11</v>
      </c>
      <c r="O106" s="80">
        <f>H106*G106</f>
        <v>6590</v>
      </c>
      <c r="P106" s="80">
        <f>I106*G106</f>
        <v>26360</v>
      </c>
      <c r="Q106" s="80">
        <f>J106*G106</f>
        <v>52720</v>
      </c>
      <c r="R106" s="80">
        <f>K106*G106</f>
        <v>0</v>
      </c>
      <c r="S106" s="80">
        <f>L106*G106</f>
        <v>118620</v>
      </c>
      <c r="T106" s="80">
        <f>M106*G106</f>
        <v>0</v>
      </c>
      <c r="U106" s="80">
        <f>N106*G106</f>
        <v>72490</v>
      </c>
      <c r="V106" s="81">
        <f>SUM(H106:N106)</f>
        <v>42</v>
      </c>
      <c r="W106" s="82">
        <f>SUM(O106:U106)</f>
        <v>276780</v>
      </c>
      <c r="X106" s="72"/>
    </row>
    <row r="107" spans="1:24" ht="14.25" customHeight="1" thickTop="1" thickBot="1">
      <c r="A107" s="146"/>
      <c r="B107" s="147"/>
      <c r="C107" s="594" t="s">
        <v>164</v>
      </c>
      <c r="D107" s="598"/>
      <c r="E107" s="596"/>
      <c r="F107" s="598"/>
      <c r="G107" s="598"/>
      <c r="H107" s="596"/>
      <c r="I107" s="596"/>
      <c r="J107" s="596"/>
      <c r="K107" s="596"/>
      <c r="L107" s="596"/>
      <c r="M107" s="596"/>
      <c r="N107" s="596"/>
      <c r="O107" s="596"/>
      <c r="P107" s="596"/>
      <c r="Q107" s="596"/>
      <c r="R107" s="596"/>
      <c r="S107" s="596"/>
      <c r="T107" s="596"/>
      <c r="U107" s="596"/>
      <c r="V107" s="596"/>
      <c r="W107" s="596"/>
      <c r="X107" s="116">
        <f>SUM(W109:W115)</f>
        <v>2710000</v>
      </c>
    </row>
    <row r="108" spans="1:24" ht="14.25" customHeight="1" outlineLevel="1" thickBot="1">
      <c r="A108" s="165"/>
      <c r="B108" s="89"/>
      <c r="C108" s="163" t="s">
        <v>160</v>
      </c>
      <c r="D108" s="68" t="s">
        <v>11</v>
      </c>
      <c r="E108" s="133"/>
      <c r="F108" s="150"/>
      <c r="G108" s="151"/>
      <c r="H108" s="135"/>
      <c r="I108" s="135"/>
      <c r="J108" s="135"/>
      <c r="K108" s="135"/>
      <c r="L108" s="135"/>
      <c r="M108" s="135"/>
      <c r="N108" s="135"/>
      <c r="O108" s="136"/>
      <c r="P108" s="136"/>
      <c r="Q108" s="136"/>
      <c r="R108" s="136"/>
      <c r="S108" s="136"/>
      <c r="T108" s="136"/>
      <c r="U108" s="136"/>
      <c r="V108" s="137"/>
      <c r="W108" s="138"/>
      <c r="X108" s="72"/>
    </row>
    <row r="109" spans="1:24" ht="27.75" customHeight="1" outlineLevel="1" thickTop="1">
      <c r="A109" s="122"/>
      <c r="B109" s="89"/>
      <c r="C109" s="124" t="s">
        <v>94</v>
      </c>
      <c r="D109" s="166" t="s">
        <v>165</v>
      </c>
      <c r="E109" s="75" t="str">
        <f>C$108</f>
        <v>ННГГФ</v>
      </c>
      <c r="F109" s="152" t="s">
        <v>91</v>
      </c>
      <c r="G109" s="153">
        <v>90000</v>
      </c>
      <c r="H109" s="78"/>
      <c r="I109" s="144">
        <v>1</v>
      </c>
      <c r="J109" s="139"/>
      <c r="K109" s="139"/>
      <c r="L109" s="139"/>
      <c r="M109" s="139"/>
      <c r="N109" s="139"/>
      <c r="O109" s="80">
        <f t="shared" ref="O109:O115" si="66">H109*G109</f>
        <v>0</v>
      </c>
      <c r="P109" s="80">
        <f t="shared" ref="P109:P115" si="67">I109*G109</f>
        <v>90000</v>
      </c>
      <c r="Q109" s="80">
        <f t="shared" ref="Q109:Q115" si="68">J109*G109</f>
        <v>0</v>
      </c>
      <c r="R109" s="80">
        <f t="shared" ref="R109:R115" si="69">K109*G109</f>
        <v>0</v>
      </c>
      <c r="S109" s="80">
        <f t="shared" ref="S109:S115" si="70">L109*G109</f>
        <v>0</v>
      </c>
      <c r="T109" s="80">
        <f t="shared" ref="T109:T115" si="71">M109*G109</f>
        <v>0</v>
      </c>
      <c r="U109" s="80">
        <f t="shared" ref="U109:U115" si="72">N109*G109</f>
        <v>0</v>
      </c>
      <c r="V109" s="81">
        <f t="shared" ref="V109:V115" si="73">SUM(H109:N109)</f>
        <v>1</v>
      </c>
      <c r="W109" s="82">
        <f t="shared" ref="W109:W115" si="74">SUM(O109:U109)</f>
        <v>90000</v>
      </c>
      <c r="X109" s="72"/>
    </row>
    <row r="110" spans="1:24" ht="15" outlineLevel="1">
      <c r="A110" s="122"/>
      <c r="B110" s="89"/>
      <c r="C110" s="124"/>
      <c r="D110" s="167" t="s">
        <v>166</v>
      </c>
      <c r="E110" s="75" t="str">
        <f t="shared" ref="E110:E115" si="75">C$108</f>
        <v>ННГГФ</v>
      </c>
      <c r="F110" s="155" t="s">
        <v>91</v>
      </c>
      <c r="G110" s="156">
        <v>120000</v>
      </c>
      <c r="H110" s="78"/>
      <c r="I110" s="139"/>
      <c r="J110" s="144">
        <v>1</v>
      </c>
      <c r="K110" s="139"/>
      <c r="L110" s="139"/>
      <c r="M110" s="139"/>
      <c r="N110" s="139"/>
      <c r="O110" s="80">
        <f t="shared" si="66"/>
        <v>0</v>
      </c>
      <c r="P110" s="80">
        <f t="shared" si="67"/>
        <v>0</v>
      </c>
      <c r="Q110" s="80">
        <f t="shared" si="68"/>
        <v>120000</v>
      </c>
      <c r="R110" s="80">
        <f t="shared" si="69"/>
        <v>0</v>
      </c>
      <c r="S110" s="80">
        <f t="shared" si="70"/>
        <v>0</v>
      </c>
      <c r="T110" s="80">
        <f t="shared" si="71"/>
        <v>0</v>
      </c>
      <c r="U110" s="80">
        <f t="shared" si="72"/>
        <v>0</v>
      </c>
      <c r="V110" s="81">
        <f t="shared" si="73"/>
        <v>1</v>
      </c>
      <c r="W110" s="82">
        <f t="shared" si="74"/>
        <v>120000</v>
      </c>
      <c r="X110" s="72"/>
    </row>
    <row r="111" spans="1:24" ht="29.25" customHeight="1" outlineLevel="1">
      <c r="A111" s="24"/>
      <c r="B111" s="89"/>
      <c r="C111" s="124"/>
      <c r="D111" s="167" t="s">
        <v>167</v>
      </c>
      <c r="E111" s="75" t="str">
        <f t="shared" si="75"/>
        <v>ННГГФ</v>
      </c>
      <c r="F111" s="155" t="s">
        <v>91</v>
      </c>
      <c r="G111" s="156">
        <v>1500000</v>
      </c>
      <c r="H111" s="78"/>
      <c r="I111" s="139"/>
      <c r="J111" s="139"/>
      <c r="K111" s="139"/>
      <c r="L111" s="139">
        <v>1</v>
      </c>
      <c r="M111" s="139"/>
      <c r="N111" s="139"/>
      <c r="O111" s="80">
        <f t="shared" si="66"/>
        <v>0</v>
      </c>
      <c r="P111" s="80">
        <f t="shared" si="67"/>
        <v>0</v>
      </c>
      <c r="Q111" s="80">
        <f t="shared" si="68"/>
        <v>0</v>
      </c>
      <c r="R111" s="80">
        <f t="shared" si="69"/>
        <v>0</v>
      </c>
      <c r="S111" s="80">
        <f t="shared" si="70"/>
        <v>1500000</v>
      </c>
      <c r="T111" s="80">
        <f t="shared" si="71"/>
        <v>0</v>
      </c>
      <c r="U111" s="80">
        <f t="shared" si="72"/>
        <v>0</v>
      </c>
      <c r="V111" s="81">
        <f t="shared" si="73"/>
        <v>1</v>
      </c>
      <c r="W111" s="82">
        <f t="shared" si="74"/>
        <v>1500000</v>
      </c>
      <c r="X111" s="72"/>
    </row>
    <row r="112" spans="1:24" ht="29.25" customHeight="1" outlineLevel="1">
      <c r="A112" s="165"/>
      <c r="B112" s="89"/>
      <c r="C112" s="124"/>
      <c r="D112" s="167" t="s">
        <v>168</v>
      </c>
      <c r="E112" s="75" t="str">
        <f t="shared" si="75"/>
        <v>ННГГФ</v>
      </c>
      <c r="F112" s="155" t="s">
        <v>91</v>
      </c>
      <c r="G112" s="156">
        <v>200000</v>
      </c>
      <c r="H112" s="78"/>
      <c r="I112" s="139"/>
      <c r="J112" s="139"/>
      <c r="K112" s="139"/>
      <c r="L112" s="144">
        <v>1</v>
      </c>
      <c r="M112" s="144"/>
      <c r="N112" s="139"/>
      <c r="O112" s="80">
        <f t="shared" si="66"/>
        <v>0</v>
      </c>
      <c r="P112" s="80">
        <f t="shared" si="67"/>
        <v>0</v>
      </c>
      <c r="Q112" s="80">
        <f t="shared" si="68"/>
        <v>0</v>
      </c>
      <c r="R112" s="80">
        <f t="shared" si="69"/>
        <v>0</v>
      </c>
      <c r="S112" s="80">
        <f t="shared" si="70"/>
        <v>200000</v>
      </c>
      <c r="T112" s="80">
        <f t="shared" si="71"/>
        <v>0</v>
      </c>
      <c r="U112" s="80">
        <f t="shared" si="72"/>
        <v>0</v>
      </c>
      <c r="V112" s="81">
        <f t="shared" si="73"/>
        <v>1</v>
      </c>
      <c r="W112" s="82">
        <f t="shared" si="74"/>
        <v>200000</v>
      </c>
      <c r="X112" s="72"/>
    </row>
    <row r="113" spans="1:24" ht="30" outlineLevel="1">
      <c r="A113" s="165"/>
      <c r="B113" s="89"/>
      <c r="C113" s="124"/>
      <c r="D113" s="167" t="s">
        <v>169</v>
      </c>
      <c r="E113" s="75" t="str">
        <f t="shared" si="75"/>
        <v>ННГГФ</v>
      </c>
      <c r="F113" s="155" t="s">
        <v>170</v>
      </c>
      <c r="G113" s="156">
        <v>400000</v>
      </c>
      <c r="H113" s="78"/>
      <c r="I113" s="139"/>
      <c r="J113" s="139"/>
      <c r="K113" s="139"/>
      <c r="L113" s="139"/>
      <c r="M113" s="139"/>
      <c r="N113" s="139"/>
      <c r="O113" s="80">
        <f t="shared" si="66"/>
        <v>0</v>
      </c>
      <c r="P113" s="80">
        <f t="shared" si="67"/>
        <v>0</v>
      </c>
      <c r="Q113" s="80">
        <f t="shared" si="68"/>
        <v>0</v>
      </c>
      <c r="R113" s="80">
        <f t="shared" si="69"/>
        <v>0</v>
      </c>
      <c r="S113" s="80">
        <f t="shared" si="70"/>
        <v>0</v>
      </c>
      <c r="T113" s="80">
        <f t="shared" si="71"/>
        <v>0</v>
      </c>
      <c r="U113" s="80">
        <f t="shared" si="72"/>
        <v>0</v>
      </c>
      <c r="V113" s="81">
        <f t="shared" si="73"/>
        <v>0</v>
      </c>
      <c r="W113" s="82">
        <f t="shared" si="74"/>
        <v>0</v>
      </c>
      <c r="X113" s="72"/>
    </row>
    <row r="114" spans="1:24" ht="15" outlineLevel="1">
      <c r="A114" s="165"/>
      <c r="B114" s="89"/>
      <c r="C114" s="124"/>
      <c r="D114" s="167" t="s">
        <v>171</v>
      </c>
      <c r="E114" s="75" t="str">
        <f t="shared" si="75"/>
        <v>ННГГФ</v>
      </c>
      <c r="F114" s="155" t="s">
        <v>170</v>
      </c>
      <c r="G114" s="156">
        <v>250000</v>
      </c>
      <c r="H114" s="78"/>
      <c r="I114" s="139"/>
      <c r="J114" s="139"/>
      <c r="K114" s="139"/>
      <c r="L114" s="139"/>
      <c r="M114" s="139"/>
      <c r="N114" s="139"/>
      <c r="O114" s="80">
        <f t="shared" si="66"/>
        <v>0</v>
      </c>
      <c r="P114" s="80">
        <f t="shared" si="67"/>
        <v>0</v>
      </c>
      <c r="Q114" s="80">
        <f t="shared" si="68"/>
        <v>0</v>
      </c>
      <c r="R114" s="80">
        <f t="shared" si="69"/>
        <v>0</v>
      </c>
      <c r="S114" s="80">
        <f t="shared" si="70"/>
        <v>0</v>
      </c>
      <c r="T114" s="80">
        <f t="shared" si="71"/>
        <v>0</v>
      </c>
      <c r="U114" s="80">
        <f t="shared" si="72"/>
        <v>0</v>
      </c>
      <c r="V114" s="81">
        <f t="shared" si="73"/>
        <v>0</v>
      </c>
      <c r="W114" s="82">
        <f t="shared" si="74"/>
        <v>0</v>
      </c>
      <c r="X114" s="72"/>
    </row>
    <row r="115" spans="1:24" ht="30.75" outlineLevel="1" thickBot="1">
      <c r="A115" s="168"/>
      <c r="B115" s="91"/>
      <c r="C115" s="124"/>
      <c r="D115" s="169" t="s">
        <v>172</v>
      </c>
      <c r="E115" s="75" t="str">
        <f t="shared" si="75"/>
        <v>ННГГФ</v>
      </c>
      <c r="F115" s="157" t="s">
        <v>91</v>
      </c>
      <c r="G115" s="158">
        <v>800000</v>
      </c>
      <c r="H115" s="87"/>
      <c r="I115" s="139"/>
      <c r="J115" s="139"/>
      <c r="K115" s="139"/>
      <c r="L115" s="139"/>
      <c r="M115" s="139"/>
      <c r="N115" s="139">
        <v>1</v>
      </c>
      <c r="O115" s="80">
        <f t="shared" si="66"/>
        <v>0</v>
      </c>
      <c r="P115" s="80">
        <f t="shared" si="67"/>
        <v>0</v>
      </c>
      <c r="Q115" s="80">
        <f t="shared" si="68"/>
        <v>0</v>
      </c>
      <c r="R115" s="80">
        <f t="shared" si="69"/>
        <v>0</v>
      </c>
      <c r="S115" s="80">
        <f t="shared" si="70"/>
        <v>0</v>
      </c>
      <c r="T115" s="80">
        <f t="shared" si="71"/>
        <v>0</v>
      </c>
      <c r="U115" s="80">
        <f t="shared" si="72"/>
        <v>800000</v>
      </c>
      <c r="V115" s="81">
        <f t="shared" si="73"/>
        <v>1</v>
      </c>
      <c r="W115" s="82">
        <f t="shared" si="74"/>
        <v>800000</v>
      </c>
      <c r="X115" s="72"/>
    </row>
    <row r="116" spans="1:24" ht="13.5" thickBot="1">
      <c r="A116" s="146"/>
      <c r="B116" s="147"/>
      <c r="C116" s="594" t="s">
        <v>173</v>
      </c>
      <c r="D116" s="598"/>
      <c r="E116" s="596"/>
      <c r="F116" s="598"/>
      <c r="G116" s="598"/>
      <c r="H116" s="596"/>
      <c r="I116" s="596"/>
      <c r="J116" s="596"/>
      <c r="K116" s="596"/>
      <c r="L116" s="596"/>
      <c r="M116" s="596"/>
      <c r="N116" s="596"/>
      <c r="O116" s="596"/>
      <c r="P116" s="596"/>
      <c r="Q116" s="596"/>
      <c r="R116" s="596"/>
      <c r="S116" s="596"/>
      <c r="T116" s="596"/>
      <c r="U116" s="596"/>
      <c r="V116" s="596"/>
      <c r="W116" s="596"/>
      <c r="X116" s="116">
        <f>SUM(W118:W120)</f>
        <v>0</v>
      </c>
    </row>
    <row r="117" spans="1:24" ht="13.5" outlineLevel="1" thickBot="1">
      <c r="A117" s="122"/>
      <c r="B117" s="89"/>
      <c r="C117" s="163"/>
      <c r="D117" s="68" t="s">
        <v>11</v>
      </c>
      <c r="E117" s="133"/>
      <c r="F117" s="170"/>
      <c r="G117" s="171"/>
      <c r="H117" s="135"/>
      <c r="I117" s="135"/>
      <c r="J117" s="135"/>
      <c r="K117" s="135"/>
      <c r="L117" s="135"/>
      <c r="M117" s="135"/>
      <c r="N117" s="135"/>
      <c r="O117" s="136"/>
      <c r="P117" s="136"/>
      <c r="Q117" s="136"/>
      <c r="R117" s="136"/>
      <c r="S117" s="136"/>
      <c r="T117" s="136"/>
      <c r="U117" s="136"/>
      <c r="V117" s="137"/>
      <c r="W117" s="138"/>
      <c r="X117" s="72"/>
    </row>
    <row r="118" spans="1:24" ht="15.75" outlineLevel="1" thickTop="1">
      <c r="A118" s="122"/>
      <c r="B118" s="89"/>
      <c r="C118" s="124" t="s">
        <v>94</v>
      </c>
      <c r="D118" s="166" t="s">
        <v>174</v>
      </c>
      <c r="E118" s="75">
        <f>C$117</f>
        <v>0</v>
      </c>
      <c r="F118" s="152" t="s">
        <v>175</v>
      </c>
      <c r="G118" s="153"/>
      <c r="H118" s="78"/>
      <c r="I118" s="139"/>
      <c r="J118" s="139"/>
      <c r="K118" s="139"/>
      <c r="L118" s="139"/>
      <c r="M118" s="139"/>
      <c r="N118" s="139"/>
      <c r="O118" s="140">
        <f>H118*G118</f>
        <v>0</v>
      </c>
      <c r="P118" s="140">
        <f>I118*G118</f>
        <v>0</v>
      </c>
      <c r="Q118" s="140">
        <f>J118*G118</f>
        <v>0</v>
      </c>
      <c r="R118" s="140">
        <f>K118*G118</f>
        <v>0</v>
      </c>
      <c r="S118" s="140">
        <f>L118*G118</f>
        <v>0</v>
      </c>
      <c r="T118" s="80">
        <f>M118*G118</f>
        <v>0</v>
      </c>
      <c r="U118" s="140">
        <f>N118*G118</f>
        <v>0</v>
      </c>
      <c r="V118" s="141">
        <f>SUM(H118:N118)</f>
        <v>0</v>
      </c>
      <c r="W118" s="142">
        <f>SUM(O118:U118)</f>
        <v>0</v>
      </c>
      <c r="X118" s="72"/>
    </row>
    <row r="119" spans="1:24" ht="15" outlineLevel="1">
      <c r="A119" s="122"/>
      <c r="B119" s="89"/>
      <c r="C119" s="124"/>
      <c r="D119" s="167" t="s">
        <v>176</v>
      </c>
      <c r="E119" s="75">
        <f>C$117</f>
        <v>0</v>
      </c>
      <c r="F119" s="155" t="s">
        <v>175</v>
      </c>
      <c r="G119" s="156"/>
      <c r="H119" s="78"/>
      <c r="I119" s="139"/>
      <c r="J119" s="139"/>
      <c r="K119" s="139"/>
      <c r="L119" s="139"/>
      <c r="M119" s="139"/>
      <c r="N119" s="139"/>
      <c r="O119" s="140">
        <f>H119*G119</f>
        <v>0</v>
      </c>
      <c r="P119" s="140">
        <f>I119*G119</f>
        <v>0</v>
      </c>
      <c r="Q119" s="140">
        <f>J119*G119</f>
        <v>0</v>
      </c>
      <c r="R119" s="140">
        <f>K119*G119</f>
        <v>0</v>
      </c>
      <c r="S119" s="140">
        <f>L119*G119</f>
        <v>0</v>
      </c>
      <c r="T119" s="80">
        <f>M119*G119</f>
        <v>0</v>
      </c>
      <c r="U119" s="140">
        <f>N119*G119</f>
        <v>0</v>
      </c>
      <c r="V119" s="141">
        <f>SUM(H119:N119)</f>
        <v>0</v>
      </c>
      <c r="W119" s="142">
        <f>SUM(O119:U119)</f>
        <v>0</v>
      </c>
      <c r="X119" s="72"/>
    </row>
    <row r="120" spans="1:24" ht="15.75" outlineLevel="1" thickBot="1">
      <c r="A120" s="122"/>
      <c r="B120" s="89"/>
      <c r="C120" s="124"/>
      <c r="D120" s="169" t="s">
        <v>177</v>
      </c>
      <c r="E120" s="75">
        <f>C$117</f>
        <v>0</v>
      </c>
      <c r="F120" s="157" t="s">
        <v>175</v>
      </c>
      <c r="G120" s="162"/>
      <c r="H120" s="78"/>
      <c r="I120" s="139"/>
      <c r="J120" s="139"/>
      <c r="K120" s="139"/>
      <c r="L120" s="139"/>
      <c r="M120" s="139"/>
      <c r="N120" s="139"/>
      <c r="O120" s="140">
        <f>H120*G120</f>
        <v>0</v>
      </c>
      <c r="P120" s="140">
        <f>I120*G120</f>
        <v>0</v>
      </c>
      <c r="Q120" s="140">
        <f>J120*G120</f>
        <v>0</v>
      </c>
      <c r="R120" s="140">
        <f>K120*G120</f>
        <v>0</v>
      </c>
      <c r="S120" s="140">
        <f>L120*G120</f>
        <v>0</v>
      </c>
      <c r="T120" s="80">
        <f>M120*G120</f>
        <v>0</v>
      </c>
      <c r="U120" s="140">
        <f>N120*G120</f>
        <v>0</v>
      </c>
      <c r="V120" s="141">
        <f>SUM(H120:N120)</f>
        <v>0</v>
      </c>
      <c r="W120" s="142">
        <f>SUM(O120:U120)</f>
        <v>0</v>
      </c>
      <c r="X120" s="72"/>
    </row>
    <row r="121" spans="1:24" ht="14.25" thickTop="1" thickBot="1">
      <c r="A121" s="146"/>
      <c r="B121" s="147"/>
      <c r="C121" s="594" t="s">
        <v>178</v>
      </c>
      <c r="D121" s="598"/>
      <c r="E121" s="596"/>
      <c r="F121" s="598"/>
      <c r="G121" s="598"/>
      <c r="H121" s="596"/>
      <c r="I121" s="596"/>
      <c r="J121" s="596"/>
      <c r="K121" s="596"/>
      <c r="L121" s="596"/>
      <c r="M121" s="596"/>
      <c r="N121" s="596"/>
      <c r="O121" s="596"/>
      <c r="P121" s="596"/>
      <c r="Q121" s="596"/>
      <c r="R121" s="596"/>
      <c r="S121" s="596"/>
      <c r="T121" s="596"/>
      <c r="U121" s="596"/>
      <c r="V121" s="596"/>
      <c r="W121" s="596"/>
      <c r="X121" s="116">
        <f>SUM(W123:W124)</f>
        <v>903144</v>
      </c>
    </row>
    <row r="122" spans="1:24" ht="13.5" outlineLevel="1" collapsed="1" thickBot="1">
      <c r="A122" s="165"/>
      <c r="B122" s="89"/>
      <c r="C122" s="163" t="s">
        <v>179</v>
      </c>
      <c r="D122" s="68" t="s">
        <v>11</v>
      </c>
      <c r="E122" s="133"/>
      <c r="F122" s="150"/>
      <c r="G122" s="151"/>
      <c r="H122" s="135"/>
      <c r="I122" s="135"/>
      <c r="J122" s="135"/>
      <c r="K122" s="135"/>
      <c r="L122" s="135"/>
      <c r="M122" s="135"/>
      <c r="N122" s="135"/>
      <c r="O122" s="136"/>
      <c r="P122" s="136"/>
      <c r="Q122" s="136"/>
      <c r="R122" s="136"/>
      <c r="S122" s="136"/>
      <c r="T122" s="136"/>
      <c r="U122" s="136"/>
      <c r="V122" s="137"/>
      <c r="W122" s="138"/>
      <c r="X122" s="72"/>
    </row>
    <row r="123" spans="1:24" ht="15.75" outlineLevel="1" thickTop="1">
      <c r="A123" s="165"/>
      <c r="B123" s="89"/>
      <c r="C123" s="124" t="s">
        <v>94</v>
      </c>
      <c r="D123" s="166" t="s">
        <v>180</v>
      </c>
      <c r="E123" s="75" t="str">
        <f>C$122</f>
        <v>НТ-сервис</v>
      </c>
      <c r="F123" s="152" t="s">
        <v>113</v>
      </c>
      <c r="G123" s="153">
        <v>20526</v>
      </c>
      <c r="H123" s="172">
        <f>H6</f>
        <v>1</v>
      </c>
      <c r="I123" s="172">
        <v>6</v>
      </c>
      <c r="J123" s="172">
        <f>J6</f>
        <v>8</v>
      </c>
      <c r="K123" s="172">
        <f>K6</f>
        <v>0</v>
      </c>
      <c r="L123" s="172">
        <f>L6</f>
        <v>18</v>
      </c>
      <c r="M123" s="172">
        <f>M6</f>
        <v>0</v>
      </c>
      <c r="N123" s="172">
        <f>N6</f>
        <v>11</v>
      </c>
      <c r="O123" s="80">
        <f>H123*G123</f>
        <v>20526</v>
      </c>
      <c r="P123" s="80">
        <f>I123*G123</f>
        <v>123156</v>
      </c>
      <c r="Q123" s="80">
        <f>J123*G123</f>
        <v>164208</v>
      </c>
      <c r="R123" s="80">
        <f>K123*G123</f>
        <v>0</v>
      </c>
      <c r="S123" s="80">
        <f>L123*G123</f>
        <v>369468</v>
      </c>
      <c r="T123" s="80">
        <f>M123*G123</f>
        <v>0</v>
      </c>
      <c r="U123" s="80">
        <f>N123*G123</f>
        <v>225786</v>
      </c>
      <c r="V123" s="81">
        <f>SUM(H123:N123)</f>
        <v>44</v>
      </c>
      <c r="W123" s="82">
        <f>SUM(O123:U123)</f>
        <v>903144</v>
      </c>
      <c r="X123" s="72"/>
    </row>
    <row r="124" spans="1:24" ht="15.75" outlineLevel="1" thickBot="1">
      <c r="A124" s="165"/>
      <c r="B124" s="89"/>
      <c r="C124" s="124"/>
      <c r="D124" s="169" t="s">
        <v>177</v>
      </c>
      <c r="E124" s="75" t="str">
        <f>C$122</f>
        <v>НТ-сервис</v>
      </c>
      <c r="F124" s="157" t="s">
        <v>113</v>
      </c>
      <c r="G124" s="158"/>
      <c r="H124" s="173"/>
      <c r="I124" s="174"/>
      <c r="J124" s="174"/>
      <c r="K124" s="174"/>
      <c r="L124" s="174"/>
      <c r="M124" s="174"/>
      <c r="N124" s="174"/>
      <c r="O124" s="80">
        <f>H124*G124</f>
        <v>0</v>
      </c>
      <c r="P124" s="80">
        <f>I124*G124</f>
        <v>0</v>
      </c>
      <c r="Q124" s="80">
        <f>J124*G124</f>
        <v>0</v>
      </c>
      <c r="R124" s="80">
        <f>K124*G124</f>
        <v>0</v>
      </c>
      <c r="S124" s="80">
        <f>L124*G124</f>
        <v>0</v>
      </c>
      <c r="T124" s="80">
        <f>M124*G124</f>
        <v>0</v>
      </c>
      <c r="U124" s="80">
        <f>N124*G124</f>
        <v>0</v>
      </c>
      <c r="V124" s="81">
        <f>SUM(H124:N124)</f>
        <v>0</v>
      </c>
      <c r="W124" s="82">
        <f>SUM(O124:U124)</f>
        <v>0</v>
      </c>
      <c r="X124" s="72"/>
    </row>
    <row r="125" spans="1:24" ht="14.25" thickTop="1" thickBot="1">
      <c r="A125" s="146"/>
      <c r="B125" s="147"/>
      <c r="C125" s="594" t="s">
        <v>181</v>
      </c>
      <c r="D125" s="598"/>
      <c r="E125" s="596"/>
      <c r="F125" s="598"/>
      <c r="G125" s="598"/>
      <c r="H125" s="596"/>
      <c r="I125" s="596"/>
      <c r="J125" s="596"/>
      <c r="K125" s="596"/>
      <c r="L125" s="596"/>
      <c r="M125" s="596"/>
      <c r="N125" s="596"/>
      <c r="O125" s="596"/>
      <c r="P125" s="596"/>
      <c r="Q125" s="596"/>
      <c r="R125" s="596"/>
      <c r="S125" s="596"/>
      <c r="T125" s="596"/>
      <c r="U125" s="596"/>
      <c r="V125" s="596"/>
      <c r="W125" s="596"/>
      <c r="X125" s="116">
        <f>SUM(W126:W145)</f>
        <v>4648500</v>
      </c>
    </row>
    <row r="126" spans="1:24" ht="13.5" outlineLevel="1" collapsed="1" thickBot="1">
      <c r="A126" s="122"/>
      <c r="B126" s="89"/>
      <c r="C126" s="120"/>
      <c r="D126" s="68" t="s">
        <v>11</v>
      </c>
      <c r="E126" s="133"/>
      <c r="F126" s="150"/>
      <c r="G126" s="151"/>
      <c r="H126" s="135"/>
      <c r="I126" s="135"/>
      <c r="J126" s="135"/>
      <c r="K126" s="135"/>
      <c r="L126" s="135"/>
      <c r="M126" s="135"/>
      <c r="N126" s="135"/>
      <c r="O126" s="136"/>
      <c r="P126" s="136"/>
      <c r="Q126" s="136"/>
      <c r="R126" s="136"/>
      <c r="S126" s="136"/>
      <c r="T126" s="136"/>
      <c r="U126" s="136"/>
      <c r="V126" s="137"/>
      <c r="W126" s="138"/>
      <c r="X126" s="72"/>
    </row>
    <row r="127" spans="1:24" ht="15.75" outlineLevel="1" thickTop="1">
      <c r="A127" s="122"/>
      <c r="B127" s="89"/>
      <c r="C127" s="124" t="s">
        <v>182</v>
      </c>
      <c r="D127" s="166" t="s">
        <v>183</v>
      </c>
      <c r="E127" s="75" t="s">
        <v>184</v>
      </c>
      <c r="F127" s="152" t="s">
        <v>91</v>
      </c>
      <c r="G127" s="175">
        <v>115300</v>
      </c>
      <c r="H127" s="173"/>
      <c r="I127" s="174"/>
      <c r="J127" s="174"/>
      <c r="K127" s="174"/>
      <c r="L127" s="174"/>
      <c r="M127" s="174"/>
      <c r="N127" s="174">
        <v>1</v>
      </c>
      <c r="O127" s="80">
        <f t="shared" ref="O127:O137" si="76">H127*G127</f>
        <v>0</v>
      </c>
      <c r="P127" s="80">
        <f t="shared" ref="P127:P137" si="77">I127*G127</f>
        <v>0</v>
      </c>
      <c r="Q127" s="80">
        <f t="shared" ref="Q127:Q137" si="78">J127*G127</f>
        <v>0</v>
      </c>
      <c r="R127" s="80">
        <f t="shared" ref="R127:R137" si="79">K127*G127</f>
        <v>0</v>
      </c>
      <c r="S127" s="80">
        <f t="shared" ref="S127:S137" si="80">L127*G127</f>
        <v>0</v>
      </c>
      <c r="T127" s="80">
        <f t="shared" ref="T127:T137" si="81">M127*G127</f>
        <v>0</v>
      </c>
      <c r="U127" s="80">
        <f t="shared" ref="U127:U137" si="82">N127*G127</f>
        <v>115300</v>
      </c>
      <c r="V127" s="81">
        <f t="shared" ref="V127:V137" si="83">SUM(H127:N127)</f>
        <v>1</v>
      </c>
      <c r="W127" s="82">
        <f t="shared" ref="W127:W137" si="84">SUM(O127:U127)</f>
        <v>115300</v>
      </c>
      <c r="X127" s="72"/>
    </row>
    <row r="128" spans="1:24" ht="15" outlineLevel="1">
      <c r="A128" s="122"/>
      <c r="B128" s="89"/>
      <c r="C128" s="124"/>
      <c r="D128" s="167" t="s">
        <v>185</v>
      </c>
      <c r="E128" s="75"/>
      <c r="F128" s="155"/>
      <c r="G128" s="176"/>
      <c r="H128" s="173"/>
      <c r="I128" s="174"/>
      <c r="J128" s="174"/>
      <c r="K128" s="174"/>
      <c r="L128" s="174"/>
      <c r="M128" s="174"/>
      <c r="N128" s="174"/>
      <c r="O128" s="80">
        <f t="shared" si="76"/>
        <v>0</v>
      </c>
      <c r="P128" s="80">
        <f t="shared" si="77"/>
        <v>0</v>
      </c>
      <c r="Q128" s="80">
        <f t="shared" si="78"/>
        <v>0</v>
      </c>
      <c r="R128" s="80">
        <f t="shared" si="79"/>
        <v>0</v>
      </c>
      <c r="S128" s="80">
        <f t="shared" si="80"/>
        <v>0</v>
      </c>
      <c r="T128" s="80">
        <f t="shared" si="81"/>
        <v>0</v>
      </c>
      <c r="U128" s="80">
        <f t="shared" si="82"/>
        <v>0</v>
      </c>
      <c r="V128" s="81">
        <f t="shared" si="83"/>
        <v>0</v>
      </c>
      <c r="W128" s="82">
        <f t="shared" si="84"/>
        <v>0</v>
      </c>
      <c r="X128" s="72"/>
    </row>
    <row r="129" spans="1:24" ht="15" outlineLevel="1">
      <c r="A129" s="122"/>
      <c r="B129" s="89"/>
      <c r="C129" s="124"/>
      <c r="D129" s="167" t="s">
        <v>185</v>
      </c>
      <c r="E129" s="75"/>
      <c r="F129" s="155"/>
      <c r="G129" s="176"/>
      <c r="H129" s="173"/>
      <c r="I129" s="174"/>
      <c r="J129" s="174"/>
      <c r="K129" s="174"/>
      <c r="L129" s="174"/>
      <c r="M129" s="174"/>
      <c r="N129" s="174"/>
      <c r="O129" s="80">
        <f t="shared" si="76"/>
        <v>0</v>
      </c>
      <c r="P129" s="80">
        <f t="shared" si="77"/>
        <v>0</v>
      </c>
      <c r="Q129" s="80">
        <f t="shared" si="78"/>
        <v>0</v>
      </c>
      <c r="R129" s="80">
        <f t="shared" si="79"/>
        <v>0</v>
      </c>
      <c r="S129" s="80">
        <f t="shared" si="80"/>
        <v>0</v>
      </c>
      <c r="T129" s="80">
        <f t="shared" si="81"/>
        <v>0</v>
      </c>
      <c r="U129" s="80">
        <f t="shared" si="82"/>
        <v>0</v>
      </c>
      <c r="V129" s="81">
        <f t="shared" si="83"/>
        <v>0</v>
      </c>
      <c r="W129" s="82">
        <f t="shared" si="84"/>
        <v>0</v>
      </c>
      <c r="X129" s="72"/>
    </row>
    <row r="130" spans="1:24" ht="15" outlineLevel="1">
      <c r="A130" s="122"/>
      <c r="B130" s="89"/>
      <c r="C130" s="124"/>
      <c r="D130" s="167" t="s">
        <v>185</v>
      </c>
      <c r="E130" s="75"/>
      <c r="F130" s="155"/>
      <c r="G130" s="176"/>
      <c r="H130" s="173"/>
      <c r="I130" s="174"/>
      <c r="J130" s="174"/>
      <c r="K130" s="174"/>
      <c r="L130" s="174"/>
      <c r="M130" s="174"/>
      <c r="N130" s="174"/>
      <c r="O130" s="80">
        <f t="shared" si="76"/>
        <v>0</v>
      </c>
      <c r="P130" s="80">
        <f t="shared" si="77"/>
        <v>0</v>
      </c>
      <c r="Q130" s="80">
        <f t="shared" si="78"/>
        <v>0</v>
      </c>
      <c r="R130" s="80">
        <f t="shared" si="79"/>
        <v>0</v>
      </c>
      <c r="S130" s="80">
        <f t="shared" si="80"/>
        <v>0</v>
      </c>
      <c r="T130" s="80">
        <f t="shared" si="81"/>
        <v>0</v>
      </c>
      <c r="U130" s="80">
        <f t="shared" si="82"/>
        <v>0</v>
      </c>
      <c r="V130" s="81">
        <f t="shared" si="83"/>
        <v>0</v>
      </c>
      <c r="W130" s="82">
        <f t="shared" si="84"/>
        <v>0</v>
      </c>
      <c r="X130" s="72"/>
    </row>
    <row r="131" spans="1:24" ht="15" outlineLevel="1">
      <c r="A131" s="122"/>
      <c r="B131" s="89"/>
      <c r="C131" s="124"/>
      <c r="D131" s="167" t="s">
        <v>185</v>
      </c>
      <c r="E131" s="75"/>
      <c r="F131" s="155"/>
      <c r="G131" s="176"/>
      <c r="H131" s="173"/>
      <c r="I131" s="174"/>
      <c r="J131" s="174"/>
      <c r="K131" s="174"/>
      <c r="L131" s="174"/>
      <c r="M131" s="174"/>
      <c r="N131" s="174"/>
      <c r="O131" s="80">
        <f t="shared" si="76"/>
        <v>0</v>
      </c>
      <c r="P131" s="80">
        <f t="shared" si="77"/>
        <v>0</v>
      </c>
      <c r="Q131" s="80">
        <f t="shared" si="78"/>
        <v>0</v>
      </c>
      <c r="R131" s="80">
        <f t="shared" si="79"/>
        <v>0</v>
      </c>
      <c r="S131" s="80">
        <f t="shared" si="80"/>
        <v>0</v>
      </c>
      <c r="T131" s="80">
        <f t="shared" si="81"/>
        <v>0</v>
      </c>
      <c r="U131" s="80">
        <f t="shared" si="82"/>
        <v>0</v>
      </c>
      <c r="V131" s="81">
        <f t="shared" si="83"/>
        <v>0</v>
      </c>
      <c r="W131" s="82">
        <f t="shared" si="84"/>
        <v>0</v>
      </c>
      <c r="X131" s="72"/>
    </row>
    <row r="132" spans="1:24" ht="15" outlineLevel="1">
      <c r="A132" s="122"/>
      <c r="B132" s="89"/>
      <c r="C132" s="124"/>
      <c r="D132" s="167" t="s">
        <v>185</v>
      </c>
      <c r="E132" s="75"/>
      <c r="F132" s="155"/>
      <c r="G132" s="176"/>
      <c r="H132" s="173"/>
      <c r="I132" s="174"/>
      <c r="J132" s="174"/>
      <c r="K132" s="174"/>
      <c r="L132" s="174"/>
      <c r="M132" s="174"/>
      <c r="N132" s="174"/>
      <c r="O132" s="80">
        <f t="shared" si="76"/>
        <v>0</v>
      </c>
      <c r="P132" s="80">
        <f t="shared" si="77"/>
        <v>0</v>
      </c>
      <c r="Q132" s="80">
        <f t="shared" si="78"/>
        <v>0</v>
      </c>
      <c r="R132" s="80">
        <f t="shared" si="79"/>
        <v>0</v>
      </c>
      <c r="S132" s="80">
        <f t="shared" si="80"/>
        <v>0</v>
      </c>
      <c r="T132" s="80">
        <f t="shared" si="81"/>
        <v>0</v>
      </c>
      <c r="U132" s="80">
        <f t="shared" si="82"/>
        <v>0</v>
      </c>
      <c r="V132" s="81">
        <f t="shared" si="83"/>
        <v>0</v>
      </c>
      <c r="W132" s="82">
        <f t="shared" si="84"/>
        <v>0</v>
      </c>
      <c r="X132" s="72"/>
    </row>
    <row r="133" spans="1:24" ht="15" outlineLevel="1">
      <c r="A133" s="122"/>
      <c r="B133" s="89"/>
      <c r="C133" s="124"/>
      <c r="D133" s="167" t="s">
        <v>185</v>
      </c>
      <c r="E133" s="75"/>
      <c r="F133" s="155"/>
      <c r="G133" s="176"/>
      <c r="H133" s="173"/>
      <c r="I133" s="174"/>
      <c r="J133" s="174"/>
      <c r="K133" s="174"/>
      <c r="L133" s="174"/>
      <c r="M133" s="174"/>
      <c r="N133" s="174"/>
      <c r="O133" s="80">
        <f t="shared" si="76"/>
        <v>0</v>
      </c>
      <c r="P133" s="80">
        <f t="shared" si="77"/>
        <v>0</v>
      </c>
      <c r="Q133" s="80">
        <f t="shared" si="78"/>
        <v>0</v>
      </c>
      <c r="R133" s="80">
        <f t="shared" si="79"/>
        <v>0</v>
      </c>
      <c r="S133" s="80">
        <f t="shared" si="80"/>
        <v>0</v>
      </c>
      <c r="T133" s="80">
        <f t="shared" si="81"/>
        <v>0</v>
      </c>
      <c r="U133" s="80">
        <f t="shared" si="82"/>
        <v>0</v>
      </c>
      <c r="V133" s="81">
        <f t="shared" si="83"/>
        <v>0</v>
      </c>
      <c r="W133" s="82">
        <f t="shared" si="84"/>
        <v>0</v>
      </c>
      <c r="X133" s="72"/>
    </row>
    <row r="134" spans="1:24" ht="15" outlineLevel="1">
      <c r="A134" s="122"/>
      <c r="B134" s="89"/>
      <c r="C134" s="124"/>
      <c r="D134" s="167" t="s">
        <v>185</v>
      </c>
      <c r="E134" s="75"/>
      <c r="F134" s="155"/>
      <c r="G134" s="176"/>
      <c r="H134" s="173"/>
      <c r="I134" s="174"/>
      <c r="J134" s="174"/>
      <c r="K134" s="174"/>
      <c r="L134" s="174"/>
      <c r="M134" s="174"/>
      <c r="N134" s="174"/>
      <c r="O134" s="80">
        <f t="shared" si="76"/>
        <v>0</v>
      </c>
      <c r="P134" s="80">
        <f t="shared" si="77"/>
        <v>0</v>
      </c>
      <c r="Q134" s="80">
        <f t="shared" si="78"/>
        <v>0</v>
      </c>
      <c r="R134" s="80">
        <f t="shared" si="79"/>
        <v>0</v>
      </c>
      <c r="S134" s="80">
        <f t="shared" si="80"/>
        <v>0</v>
      </c>
      <c r="T134" s="80">
        <f t="shared" si="81"/>
        <v>0</v>
      </c>
      <c r="U134" s="80">
        <f t="shared" si="82"/>
        <v>0</v>
      </c>
      <c r="V134" s="81">
        <f t="shared" si="83"/>
        <v>0</v>
      </c>
      <c r="W134" s="82">
        <f t="shared" si="84"/>
        <v>0</v>
      </c>
      <c r="X134" s="72"/>
    </row>
    <row r="135" spans="1:24" ht="15" outlineLevel="1">
      <c r="A135" s="122"/>
      <c r="B135" s="89"/>
      <c r="C135" s="124"/>
      <c r="D135" s="167" t="s">
        <v>185</v>
      </c>
      <c r="E135" s="75"/>
      <c r="F135" s="155"/>
      <c r="G135" s="176"/>
      <c r="H135" s="173"/>
      <c r="I135" s="174"/>
      <c r="J135" s="174"/>
      <c r="K135" s="174"/>
      <c r="L135" s="174"/>
      <c r="M135" s="174"/>
      <c r="N135" s="174"/>
      <c r="O135" s="80">
        <f>H135*G135</f>
        <v>0</v>
      </c>
      <c r="P135" s="80">
        <f>I135*G135</f>
        <v>0</v>
      </c>
      <c r="Q135" s="80">
        <f>J135*G135</f>
        <v>0</v>
      </c>
      <c r="R135" s="80">
        <f>K135*G135</f>
        <v>0</v>
      </c>
      <c r="S135" s="80">
        <f>L135*G135</f>
        <v>0</v>
      </c>
      <c r="T135" s="80">
        <f t="shared" si="81"/>
        <v>0</v>
      </c>
      <c r="U135" s="80">
        <f>N135*G135</f>
        <v>0</v>
      </c>
      <c r="V135" s="81">
        <f>SUM(H135:N135)</f>
        <v>0</v>
      </c>
      <c r="W135" s="82">
        <f>SUM(O135:U135)</f>
        <v>0</v>
      </c>
      <c r="X135" s="72"/>
    </row>
    <row r="136" spans="1:24" ht="15" outlineLevel="1">
      <c r="A136" s="122"/>
      <c r="B136" s="89"/>
      <c r="C136" s="124"/>
      <c r="D136" s="167" t="s">
        <v>185</v>
      </c>
      <c r="E136" s="75"/>
      <c r="F136" s="155"/>
      <c r="G136" s="176"/>
      <c r="H136" s="173"/>
      <c r="I136" s="174"/>
      <c r="J136" s="174"/>
      <c r="K136" s="174"/>
      <c r="L136" s="174"/>
      <c r="M136" s="174"/>
      <c r="N136" s="174"/>
      <c r="O136" s="80">
        <f>H136*G136</f>
        <v>0</v>
      </c>
      <c r="P136" s="80">
        <f>I136*G136</f>
        <v>0</v>
      </c>
      <c r="Q136" s="80">
        <f>J136*G136</f>
        <v>0</v>
      </c>
      <c r="R136" s="80">
        <f>K136*G136</f>
        <v>0</v>
      </c>
      <c r="S136" s="80">
        <f>L136*G136</f>
        <v>0</v>
      </c>
      <c r="T136" s="80">
        <f t="shared" si="81"/>
        <v>0</v>
      </c>
      <c r="U136" s="80">
        <f>N136*G136</f>
        <v>0</v>
      </c>
      <c r="V136" s="81">
        <f>SUM(H136:N136)</f>
        <v>0</v>
      </c>
      <c r="W136" s="82">
        <f>SUM(O136:U136)</f>
        <v>0</v>
      </c>
      <c r="X136" s="72"/>
    </row>
    <row r="137" spans="1:24" ht="15.75" outlineLevel="1" thickBot="1">
      <c r="A137" s="122"/>
      <c r="B137" s="89"/>
      <c r="C137" s="124"/>
      <c r="D137" s="169" t="s">
        <v>185</v>
      </c>
      <c r="E137" s="75"/>
      <c r="F137" s="157"/>
      <c r="G137" s="162"/>
      <c r="H137" s="173"/>
      <c r="I137" s="174"/>
      <c r="J137" s="174"/>
      <c r="K137" s="174"/>
      <c r="L137" s="174"/>
      <c r="M137" s="174"/>
      <c r="N137" s="174"/>
      <c r="O137" s="80">
        <f t="shared" si="76"/>
        <v>0</v>
      </c>
      <c r="P137" s="80">
        <f t="shared" si="77"/>
        <v>0</v>
      </c>
      <c r="Q137" s="80">
        <f t="shared" si="78"/>
        <v>0</v>
      </c>
      <c r="R137" s="80">
        <f t="shared" si="79"/>
        <v>0</v>
      </c>
      <c r="S137" s="80">
        <f t="shared" si="80"/>
        <v>0</v>
      </c>
      <c r="T137" s="80">
        <f t="shared" si="81"/>
        <v>0</v>
      </c>
      <c r="U137" s="80">
        <f t="shared" si="82"/>
        <v>0</v>
      </c>
      <c r="V137" s="81">
        <f t="shared" si="83"/>
        <v>0</v>
      </c>
      <c r="W137" s="82">
        <f t="shared" si="84"/>
        <v>0</v>
      </c>
      <c r="X137" s="72"/>
    </row>
    <row r="138" spans="1:24" ht="13.5" outlineLevel="1" thickTop="1">
      <c r="A138" s="122"/>
      <c r="B138" s="89"/>
      <c r="C138" s="120" t="s">
        <v>186</v>
      </c>
      <c r="D138" s="177"/>
      <c r="E138" s="133"/>
      <c r="F138" s="178"/>
      <c r="G138" s="179"/>
      <c r="H138" s="180"/>
      <c r="I138" s="180"/>
      <c r="J138" s="180"/>
      <c r="K138" s="180"/>
      <c r="L138" s="180"/>
      <c r="M138" s="180"/>
      <c r="N138" s="180"/>
      <c r="O138" s="181"/>
      <c r="P138" s="181"/>
      <c r="Q138" s="181"/>
      <c r="R138" s="181"/>
      <c r="S138" s="181"/>
      <c r="T138" s="181"/>
      <c r="U138" s="181"/>
      <c r="V138" s="180"/>
      <c r="W138" s="182"/>
      <c r="X138" s="72"/>
    </row>
    <row r="139" spans="1:24" ht="13.5" outlineLevel="1" collapsed="1" thickBot="1">
      <c r="A139" s="122"/>
      <c r="B139" s="89"/>
      <c r="C139" s="163" t="s">
        <v>187</v>
      </c>
      <c r="D139" s="68" t="s">
        <v>11</v>
      </c>
      <c r="E139" s="133"/>
      <c r="F139" s="150"/>
      <c r="G139" s="151"/>
      <c r="H139" s="180"/>
      <c r="I139" s="180"/>
      <c r="J139" s="180"/>
      <c r="K139" s="180"/>
      <c r="L139" s="180"/>
      <c r="M139" s="180"/>
      <c r="N139" s="180"/>
      <c r="O139" s="181"/>
      <c r="P139" s="181"/>
      <c r="Q139" s="181"/>
      <c r="R139" s="181"/>
      <c r="S139" s="181"/>
      <c r="T139" s="181"/>
      <c r="U139" s="181"/>
      <c r="V139" s="180"/>
      <c r="W139" s="182"/>
      <c r="X139" s="72"/>
    </row>
    <row r="140" spans="1:24" ht="16.5" outlineLevel="1" thickTop="1" thickBot="1">
      <c r="A140" s="122"/>
      <c r="B140" s="89"/>
      <c r="C140" s="124" t="s">
        <v>188</v>
      </c>
      <c r="D140" s="183" t="s">
        <v>189</v>
      </c>
      <c r="E140" s="75" t="str">
        <f>C$139</f>
        <v>Везерфорд</v>
      </c>
      <c r="F140" s="184" t="s">
        <v>91</v>
      </c>
      <c r="G140" s="185">
        <v>4533200</v>
      </c>
      <c r="H140" s="173"/>
      <c r="I140" s="174"/>
      <c r="J140" s="174"/>
      <c r="K140" s="174"/>
      <c r="L140" s="174"/>
      <c r="M140" s="174"/>
      <c r="N140" s="174">
        <v>1</v>
      </c>
      <c r="O140" s="80">
        <f>H140*G140</f>
        <v>0</v>
      </c>
      <c r="P140" s="80">
        <f>I140*G140</f>
        <v>0</v>
      </c>
      <c r="Q140" s="80">
        <f>J140*G140</f>
        <v>0</v>
      </c>
      <c r="R140" s="80">
        <f>K140*G140</f>
        <v>0</v>
      </c>
      <c r="S140" s="80">
        <f>L140*G140</f>
        <v>0</v>
      </c>
      <c r="T140" s="80">
        <f>M140*G140</f>
        <v>0</v>
      </c>
      <c r="U140" s="80">
        <f>N140*G140</f>
        <v>4533200</v>
      </c>
      <c r="V140" s="81">
        <f>SUM(H140:N140)</f>
        <v>1</v>
      </c>
      <c r="W140" s="82">
        <f>SUM(O140:U140)</f>
        <v>4533200</v>
      </c>
      <c r="X140" s="72"/>
    </row>
    <row r="141" spans="1:24" ht="14.25" outlineLevel="1" thickTop="1" thickBot="1">
      <c r="A141" s="122"/>
      <c r="B141" s="89"/>
      <c r="C141" s="163" t="s">
        <v>190</v>
      </c>
      <c r="D141" s="159" t="s">
        <v>11</v>
      </c>
      <c r="E141" s="186"/>
      <c r="F141" s="187"/>
      <c r="G141" s="187"/>
      <c r="H141" s="180"/>
      <c r="I141" s="180"/>
      <c r="J141" s="180"/>
      <c r="K141" s="180"/>
      <c r="L141" s="180"/>
      <c r="M141" s="180"/>
      <c r="N141" s="180"/>
      <c r="O141" s="181"/>
      <c r="P141" s="181"/>
      <c r="Q141" s="181"/>
      <c r="R141" s="181"/>
      <c r="S141" s="181"/>
      <c r="T141" s="181"/>
      <c r="U141" s="181"/>
      <c r="V141" s="180"/>
      <c r="W141" s="182"/>
      <c r="X141" s="72"/>
    </row>
    <row r="142" spans="1:24" ht="30.75" outlineLevel="1" thickTop="1">
      <c r="A142" s="122"/>
      <c r="B142" s="89"/>
      <c r="C142" s="124"/>
      <c r="D142" s="166" t="s">
        <v>191</v>
      </c>
      <c r="E142" s="75" t="str">
        <f>C$141</f>
        <v>ЗЭРС</v>
      </c>
      <c r="F142" s="152" t="s">
        <v>91</v>
      </c>
      <c r="G142" s="153"/>
      <c r="H142" s="173"/>
      <c r="I142" s="174"/>
      <c r="J142" s="174"/>
      <c r="K142" s="174"/>
      <c r="L142" s="174"/>
      <c r="M142" s="174"/>
      <c r="N142" s="174"/>
      <c r="O142" s="80">
        <f>H142*G142</f>
        <v>0</v>
      </c>
      <c r="P142" s="80">
        <f>I142*G142</f>
        <v>0</v>
      </c>
      <c r="Q142" s="80">
        <f>J142*G142</f>
        <v>0</v>
      </c>
      <c r="R142" s="80">
        <f>K142*G142</f>
        <v>0</v>
      </c>
      <c r="S142" s="80">
        <f>L142*G142</f>
        <v>0</v>
      </c>
      <c r="T142" s="80">
        <f>M142*G142</f>
        <v>0</v>
      </c>
      <c r="U142" s="80">
        <f>N142*G142</f>
        <v>0</v>
      </c>
      <c r="V142" s="81">
        <f>SUM(H142:N142)</f>
        <v>0</v>
      </c>
      <c r="W142" s="82">
        <f>SUM(O142:U142)</f>
        <v>0</v>
      </c>
      <c r="X142" s="72"/>
    </row>
    <row r="143" spans="1:24" ht="15" outlineLevel="1">
      <c r="A143" s="122"/>
      <c r="B143" s="89"/>
      <c r="C143" s="124"/>
      <c r="D143" s="167" t="s">
        <v>192</v>
      </c>
      <c r="E143" s="75" t="str">
        <f>C$141</f>
        <v>ЗЭРС</v>
      </c>
      <c r="F143" s="155" t="s">
        <v>91</v>
      </c>
      <c r="G143" s="156">
        <v>515460</v>
      </c>
      <c r="H143" s="173"/>
      <c r="I143" s="174"/>
      <c r="J143" s="174"/>
      <c r="K143" s="174"/>
      <c r="L143" s="174"/>
      <c r="M143" s="174"/>
      <c r="N143" s="174"/>
      <c r="O143" s="80">
        <f>H143*G143</f>
        <v>0</v>
      </c>
      <c r="P143" s="80">
        <f>I143*G143</f>
        <v>0</v>
      </c>
      <c r="Q143" s="80">
        <f>J143*G143</f>
        <v>0</v>
      </c>
      <c r="R143" s="80">
        <f>K143*G143</f>
        <v>0</v>
      </c>
      <c r="S143" s="80">
        <f>L143*G143</f>
        <v>0</v>
      </c>
      <c r="T143" s="80">
        <f>M143*G143</f>
        <v>0</v>
      </c>
      <c r="U143" s="80">
        <f>N143*G143</f>
        <v>0</v>
      </c>
      <c r="V143" s="81">
        <f>SUM(H143:N143)</f>
        <v>0</v>
      </c>
      <c r="W143" s="82">
        <f>SUM(O143:U143)</f>
        <v>0</v>
      </c>
      <c r="X143" s="72"/>
    </row>
    <row r="144" spans="1:24" ht="15" outlineLevel="1">
      <c r="A144" s="122"/>
      <c r="B144" s="89"/>
      <c r="C144" s="124"/>
      <c r="D144" s="167" t="s">
        <v>193</v>
      </c>
      <c r="E144" s="75" t="str">
        <f>C$141</f>
        <v>ЗЭРС</v>
      </c>
      <c r="F144" s="155" t="s">
        <v>91</v>
      </c>
      <c r="G144" s="156"/>
      <c r="H144" s="173"/>
      <c r="I144" s="174"/>
      <c r="J144" s="174"/>
      <c r="K144" s="174"/>
      <c r="L144" s="174"/>
      <c r="M144" s="174"/>
      <c r="N144" s="174"/>
      <c r="O144" s="80">
        <f>H144*G144</f>
        <v>0</v>
      </c>
      <c r="P144" s="80">
        <f>I144*G144</f>
        <v>0</v>
      </c>
      <c r="Q144" s="80">
        <f>J144*G144</f>
        <v>0</v>
      </c>
      <c r="R144" s="80">
        <f>K144*G144</f>
        <v>0</v>
      </c>
      <c r="S144" s="80">
        <f>L144*G144</f>
        <v>0</v>
      </c>
      <c r="T144" s="80">
        <f>M144*G144</f>
        <v>0</v>
      </c>
      <c r="U144" s="80">
        <f>N144*G144</f>
        <v>0</v>
      </c>
      <c r="V144" s="81">
        <f>SUM(H144:N144)</f>
        <v>0</v>
      </c>
      <c r="W144" s="82">
        <f>SUM(O144:U144)</f>
        <v>0</v>
      </c>
      <c r="X144" s="72"/>
    </row>
    <row r="145" spans="1:25" ht="30.75" outlineLevel="1" thickBot="1">
      <c r="A145" s="122"/>
      <c r="B145" s="89"/>
      <c r="C145" s="124"/>
      <c r="D145" s="169" t="s">
        <v>194</v>
      </c>
      <c r="E145" s="75" t="str">
        <f>C$141</f>
        <v>ЗЭРС</v>
      </c>
      <c r="F145" s="157" t="s">
        <v>91</v>
      </c>
      <c r="G145" s="158"/>
      <c r="H145" s="173"/>
      <c r="I145" s="174"/>
      <c r="J145" s="174"/>
      <c r="K145" s="174"/>
      <c r="L145" s="174"/>
      <c r="M145" s="174"/>
      <c r="N145" s="174"/>
      <c r="O145" s="80">
        <f>H145*G145</f>
        <v>0</v>
      </c>
      <c r="P145" s="80">
        <f>I145*G145</f>
        <v>0</v>
      </c>
      <c r="Q145" s="80">
        <f>J145*G145</f>
        <v>0</v>
      </c>
      <c r="R145" s="80">
        <f>K145*G145</f>
        <v>0</v>
      </c>
      <c r="S145" s="80">
        <f>L145*G145</f>
        <v>0</v>
      </c>
      <c r="T145" s="80">
        <f>M145*G145</f>
        <v>0</v>
      </c>
      <c r="U145" s="80">
        <f>N145*G145</f>
        <v>0</v>
      </c>
      <c r="V145" s="81">
        <f>SUM(H145:N145)</f>
        <v>0</v>
      </c>
      <c r="W145" s="82">
        <f>SUM(O145:U145)</f>
        <v>0</v>
      </c>
      <c r="X145" s="72"/>
    </row>
    <row r="146" spans="1:25" ht="15.75" customHeight="1" thickTop="1" thickBot="1">
      <c r="A146" s="188"/>
      <c r="B146" s="189"/>
      <c r="C146" s="594" t="s">
        <v>195</v>
      </c>
      <c r="D146" s="595"/>
      <c r="E146" s="596"/>
      <c r="F146" s="595"/>
      <c r="G146" s="595"/>
      <c r="H146" s="596"/>
      <c r="I146" s="596"/>
      <c r="J146" s="596"/>
      <c r="K146" s="596"/>
      <c r="L146" s="596"/>
      <c r="M146" s="596"/>
      <c r="N146" s="596"/>
      <c r="O146" s="596"/>
      <c r="P146" s="596"/>
      <c r="Q146" s="596"/>
      <c r="R146" s="596"/>
      <c r="S146" s="596"/>
      <c r="T146" s="596"/>
      <c r="U146" s="596"/>
      <c r="V146" s="596"/>
      <c r="W146" s="596"/>
      <c r="X146" s="116">
        <f>SUM(W147:W162)</f>
        <v>11871828.960000001</v>
      </c>
    </row>
    <row r="147" spans="1:25" ht="15.75" outlineLevel="1" thickTop="1">
      <c r="A147" s="122"/>
      <c r="B147" s="89"/>
      <c r="C147" s="124"/>
      <c r="D147" s="166" t="s">
        <v>196</v>
      </c>
      <c r="E147" s="190"/>
      <c r="F147" s="152" t="s">
        <v>175</v>
      </c>
      <c r="G147" s="153">
        <v>4977.4500000000007</v>
      </c>
      <c r="H147" s="78"/>
      <c r="I147" s="139"/>
      <c r="J147" s="139"/>
      <c r="K147" s="139"/>
      <c r="L147" s="139"/>
      <c r="M147" s="139"/>
      <c r="N147" s="139"/>
      <c r="O147" s="140">
        <f>H147*G147</f>
        <v>0</v>
      </c>
      <c r="P147" s="140">
        <f>I147*G147</f>
        <v>0</v>
      </c>
      <c r="Q147" s="140">
        <f>J147*G147</f>
        <v>0</v>
      </c>
      <c r="R147" s="140">
        <f>K147*G147</f>
        <v>0</v>
      </c>
      <c r="S147" s="140">
        <f>L147*G147</f>
        <v>0</v>
      </c>
      <c r="T147" s="80">
        <f t="shared" ref="T147:T162" si="85">M147*G147</f>
        <v>0</v>
      </c>
      <c r="U147" s="140">
        <f>N147*G147</f>
        <v>0</v>
      </c>
      <c r="V147" s="141">
        <f>SUM(H147:N147)</f>
        <v>0</v>
      </c>
      <c r="W147" s="142">
        <f>SUM(O147:U147)</f>
        <v>0</v>
      </c>
      <c r="X147" s="72"/>
      <c r="Y147" s="191"/>
    </row>
    <row r="148" spans="1:25" ht="15" outlineLevel="1">
      <c r="A148" s="122"/>
      <c r="B148" s="89"/>
      <c r="C148" s="124"/>
      <c r="D148" s="167" t="s">
        <v>197</v>
      </c>
      <c r="E148" s="190"/>
      <c r="F148" s="155" t="s">
        <v>175</v>
      </c>
      <c r="G148" s="156">
        <v>2586</v>
      </c>
      <c r="H148" s="78"/>
      <c r="I148" s="144">
        <f>380</f>
        <v>380</v>
      </c>
      <c r="J148" s="139"/>
      <c r="K148" s="139"/>
      <c r="L148" s="139"/>
      <c r="M148" s="139"/>
      <c r="N148" s="139"/>
      <c r="O148" s="140">
        <f t="shared" ref="O148:O161" si="86">H148*G148</f>
        <v>0</v>
      </c>
      <c r="P148" s="140">
        <f t="shared" ref="P148:P161" si="87">I148*G148</f>
        <v>982680</v>
      </c>
      <c r="Q148" s="140">
        <f t="shared" ref="Q148:Q161" si="88">J148*G148</f>
        <v>0</v>
      </c>
      <c r="R148" s="140">
        <f t="shared" ref="R148:R161" si="89">K148*G148</f>
        <v>0</v>
      </c>
      <c r="S148" s="140">
        <f t="shared" ref="S148:S161" si="90">L148*G148</f>
        <v>0</v>
      </c>
      <c r="T148" s="80">
        <f t="shared" si="85"/>
        <v>0</v>
      </c>
      <c r="U148" s="140">
        <f t="shared" ref="U148:U161" si="91">N148*G148</f>
        <v>0</v>
      </c>
      <c r="V148" s="141">
        <f t="shared" ref="V148:V161" si="92">SUM(H148:N148)</f>
        <v>380</v>
      </c>
      <c r="W148" s="142">
        <f t="shared" ref="W148:W161" si="93">SUM(O148:U148)</f>
        <v>982680</v>
      </c>
      <c r="X148" s="72"/>
      <c r="Y148" s="192"/>
    </row>
    <row r="149" spans="1:25" ht="15" outlineLevel="1">
      <c r="A149" s="122"/>
      <c r="B149" s="89"/>
      <c r="C149" s="124"/>
      <c r="D149" s="167" t="s">
        <v>198</v>
      </c>
      <c r="E149" s="190"/>
      <c r="F149" s="155" t="s">
        <v>175</v>
      </c>
      <c r="G149" s="156">
        <v>1807.92</v>
      </c>
      <c r="H149" s="78"/>
      <c r="I149" s="139"/>
      <c r="J149" s="144"/>
      <c r="K149" s="139"/>
      <c r="L149" s="139"/>
      <c r="M149" s="139"/>
      <c r="N149" s="139"/>
      <c r="O149" s="140">
        <f t="shared" si="86"/>
        <v>0</v>
      </c>
      <c r="P149" s="140">
        <f t="shared" si="87"/>
        <v>0</v>
      </c>
      <c r="Q149" s="140">
        <f t="shared" si="88"/>
        <v>0</v>
      </c>
      <c r="R149" s="140">
        <f t="shared" si="89"/>
        <v>0</v>
      </c>
      <c r="S149" s="140">
        <f t="shared" si="90"/>
        <v>0</v>
      </c>
      <c r="T149" s="80">
        <f t="shared" si="85"/>
        <v>0</v>
      </c>
      <c r="U149" s="140">
        <f t="shared" si="91"/>
        <v>0</v>
      </c>
      <c r="V149" s="141">
        <f t="shared" si="92"/>
        <v>0</v>
      </c>
      <c r="W149" s="142">
        <f t="shared" si="93"/>
        <v>0</v>
      </c>
      <c r="X149" s="72"/>
    </row>
    <row r="150" spans="1:25" ht="15" outlineLevel="1">
      <c r="A150" s="122"/>
      <c r="B150" s="89"/>
      <c r="C150" s="124"/>
      <c r="D150" s="167" t="s">
        <v>199</v>
      </c>
      <c r="E150" s="190"/>
      <c r="F150" s="155" t="s">
        <v>175</v>
      </c>
      <c r="G150" s="156">
        <v>1799.6</v>
      </c>
      <c r="H150" s="78"/>
      <c r="I150" s="139"/>
      <c r="J150" s="139">
        <f>1380</f>
        <v>1380</v>
      </c>
      <c r="K150" s="139"/>
      <c r="L150" s="139"/>
      <c r="M150" s="139"/>
      <c r="N150" s="139"/>
      <c r="O150" s="140">
        <f t="shared" si="86"/>
        <v>0</v>
      </c>
      <c r="P150" s="140">
        <f t="shared" si="87"/>
        <v>0</v>
      </c>
      <c r="Q150" s="140">
        <f t="shared" si="88"/>
        <v>2483448</v>
      </c>
      <c r="R150" s="140">
        <f t="shared" si="89"/>
        <v>0</v>
      </c>
      <c r="S150" s="140">
        <f t="shared" si="90"/>
        <v>0</v>
      </c>
      <c r="T150" s="80">
        <f t="shared" si="85"/>
        <v>0</v>
      </c>
      <c r="U150" s="140">
        <f t="shared" si="91"/>
        <v>0</v>
      </c>
      <c r="V150" s="141">
        <f t="shared" si="92"/>
        <v>1380</v>
      </c>
      <c r="W150" s="142">
        <f t="shared" si="93"/>
        <v>2483448</v>
      </c>
      <c r="X150" s="72"/>
    </row>
    <row r="151" spans="1:25" ht="15" outlineLevel="1">
      <c r="A151" s="122"/>
      <c r="B151" s="89"/>
      <c r="C151" s="124"/>
      <c r="D151" s="167" t="s">
        <v>200</v>
      </c>
      <c r="E151" s="190"/>
      <c r="F151" s="155" t="s">
        <v>175</v>
      </c>
      <c r="G151" s="156">
        <v>1534.95</v>
      </c>
      <c r="H151" s="78"/>
      <c r="I151" s="139"/>
      <c r="J151" s="139"/>
      <c r="K151" s="139"/>
      <c r="L151" s="144"/>
      <c r="M151" s="144"/>
      <c r="N151" s="139"/>
      <c r="O151" s="140">
        <f t="shared" si="86"/>
        <v>0</v>
      </c>
      <c r="P151" s="140">
        <f t="shared" si="87"/>
        <v>0</v>
      </c>
      <c r="Q151" s="140">
        <f t="shared" si="88"/>
        <v>0</v>
      </c>
      <c r="R151" s="140">
        <f t="shared" si="89"/>
        <v>0</v>
      </c>
      <c r="S151" s="140">
        <f t="shared" si="90"/>
        <v>0</v>
      </c>
      <c r="T151" s="80">
        <f t="shared" si="85"/>
        <v>0</v>
      </c>
      <c r="U151" s="140">
        <f t="shared" si="91"/>
        <v>0</v>
      </c>
      <c r="V151" s="141">
        <f t="shared" si="92"/>
        <v>0</v>
      </c>
      <c r="W151" s="142">
        <f t="shared" si="93"/>
        <v>0</v>
      </c>
      <c r="X151" s="72"/>
    </row>
    <row r="152" spans="1:25" ht="15" outlineLevel="1">
      <c r="A152" s="122"/>
      <c r="B152" s="89"/>
      <c r="C152" s="124"/>
      <c r="D152" s="167" t="s">
        <v>201</v>
      </c>
      <c r="E152" s="190"/>
      <c r="F152" s="155" t="s">
        <v>175</v>
      </c>
      <c r="G152" s="156">
        <v>1660</v>
      </c>
      <c r="H152" s="78"/>
      <c r="I152" s="139"/>
      <c r="J152" s="139"/>
      <c r="K152" s="139"/>
      <c r="L152" s="139">
        <f>2400</f>
        <v>2400</v>
      </c>
      <c r="M152" s="139"/>
      <c r="N152" s="139"/>
      <c r="O152" s="140">
        <f t="shared" si="86"/>
        <v>0</v>
      </c>
      <c r="P152" s="140">
        <f t="shared" si="87"/>
        <v>0</v>
      </c>
      <c r="Q152" s="140">
        <f t="shared" si="88"/>
        <v>0</v>
      </c>
      <c r="R152" s="140">
        <f t="shared" si="89"/>
        <v>0</v>
      </c>
      <c r="S152" s="140">
        <f t="shared" si="90"/>
        <v>3984000</v>
      </c>
      <c r="T152" s="80">
        <f t="shared" si="85"/>
        <v>0</v>
      </c>
      <c r="U152" s="140">
        <f t="shared" si="91"/>
        <v>0</v>
      </c>
      <c r="V152" s="141">
        <f t="shared" si="92"/>
        <v>2400</v>
      </c>
      <c r="W152" s="142">
        <f t="shared" si="93"/>
        <v>3984000</v>
      </c>
      <c r="X152" s="72"/>
    </row>
    <row r="153" spans="1:25" ht="15" outlineLevel="1">
      <c r="A153" s="122"/>
      <c r="B153" s="89"/>
      <c r="C153" s="124"/>
      <c r="D153" s="167" t="s">
        <v>202</v>
      </c>
      <c r="E153" s="190"/>
      <c r="F153" s="155" t="s">
        <v>175</v>
      </c>
      <c r="G153" s="156">
        <v>1880</v>
      </c>
      <c r="H153" s="78"/>
      <c r="I153" s="139"/>
      <c r="J153" s="139"/>
      <c r="K153" s="139"/>
      <c r="L153" s="139">
        <f>L7*1.05-L152</f>
        <v>1800</v>
      </c>
      <c r="M153" s="139"/>
      <c r="N153" s="139"/>
      <c r="O153" s="140">
        <f t="shared" si="86"/>
        <v>0</v>
      </c>
      <c r="P153" s="140">
        <f t="shared" si="87"/>
        <v>0</v>
      </c>
      <c r="Q153" s="140">
        <f t="shared" si="88"/>
        <v>0</v>
      </c>
      <c r="R153" s="140">
        <f t="shared" si="89"/>
        <v>0</v>
      </c>
      <c r="S153" s="140">
        <f t="shared" si="90"/>
        <v>3384000</v>
      </c>
      <c r="T153" s="80">
        <f t="shared" si="85"/>
        <v>0</v>
      </c>
      <c r="U153" s="140">
        <f t="shared" si="91"/>
        <v>0</v>
      </c>
      <c r="V153" s="141">
        <f t="shared" si="92"/>
        <v>1800</v>
      </c>
      <c r="W153" s="142">
        <f t="shared" si="93"/>
        <v>3384000</v>
      </c>
      <c r="X153" s="72"/>
    </row>
    <row r="154" spans="1:25" ht="15" outlineLevel="1">
      <c r="A154" s="122"/>
      <c r="B154" s="89"/>
      <c r="C154" s="124"/>
      <c r="D154" s="167" t="s">
        <v>203</v>
      </c>
      <c r="E154" s="190"/>
      <c r="F154" s="155" t="s">
        <v>175</v>
      </c>
      <c r="G154" s="156">
        <v>1889.0861186440682</v>
      </c>
      <c r="H154" s="78"/>
      <c r="I154" s="139"/>
      <c r="J154" s="139"/>
      <c r="K154" s="139"/>
      <c r="L154" s="139"/>
      <c r="M154" s="139"/>
      <c r="N154" s="139"/>
      <c r="O154" s="140">
        <f t="shared" si="86"/>
        <v>0</v>
      </c>
      <c r="P154" s="140">
        <f t="shared" si="87"/>
        <v>0</v>
      </c>
      <c r="Q154" s="140">
        <f t="shared" si="88"/>
        <v>0</v>
      </c>
      <c r="R154" s="140">
        <f t="shared" si="89"/>
        <v>0</v>
      </c>
      <c r="S154" s="140">
        <f t="shared" si="90"/>
        <v>0</v>
      </c>
      <c r="T154" s="80">
        <f t="shared" si="85"/>
        <v>0</v>
      </c>
      <c r="U154" s="140">
        <f t="shared" si="91"/>
        <v>0</v>
      </c>
      <c r="V154" s="141">
        <f t="shared" si="92"/>
        <v>0</v>
      </c>
      <c r="W154" s="142">
        <f t="shared" si="93"/>
        <v>0</v>
      </c>
      <c r="X154" s="72"/>
    </row>
    <row r="155" spans="1:25" ht="15" outlineLevel="1">
      <c r="A155" s="122"/>
      <c r="B155" s="89"/>
      <c r="C155" s="124"/>
      <c r="D155" s="167" t="s">
        <v>204</v>
      </c>
      <c r="E155" s="190"/>
      <c r="F155" s="155" t="s">
        <v>205</v>
      </c>
      <c r="G155" s="156">
        <v>1247.2901694915256</v>
      </c>
      <c r="H155" s="78"/>
      <c r="I155" s="139"/>
      <c r="J155" s="139"/>
      <c r="K155" s="139"/>
      <c r="L155" s="139"/>
      <c r="M155" s="139"/>
      <c r="N155" s="139"/>
      <c r="O155" s="140">
        <f t="shared" si="86"/>
        <v>0</v>
      </c>
      <c r="P155" s="140">
        <f t="shared" si="87"/>
        <v>0</v>
      </c>
      <c r="Q155" s="140">
        <f t="shared" si="88"/>
        <v>0</v>
      </c>
      <c r="R155" s="140">
        <f t="shared" si="89"/>
        <v>0</v>
      </c>
      <c r="S155" s="140">
        <f t="shared" si="90"/>
        <v>0</v>
      </c>
      <c r="T155" s="80">
        <f t="shared" si="85"/>
        <v>0</v>
      </c>
      <c r="U155" s="140">
        <f t="shared" si="91"/>
        <v>0</v>
      </c>
      <c r="V155" s="141">
        <f t="shared" si="92"/>
        <v>0</v>
      </c>
      <c r="W155" s="142">
        <f t="shared" si="93"/>
        <v>0</v>
      </c>
      <c r="X155" s="72"/>
    </row>
    <row r="156" spans="1:25" ht="15" outlineLevel="1">
      <c r="A156" s="122"/>
      <c r="B156" s="89"/>
      <c r="C156" s="124"/>
      <c r="D156" s="167" t="s">
        <v>206</v>
      </c>
      <c r="E156" s="190"/>
      <c r="F156" s="155" t="s">
        <v>205</v>
      </c>
      <c r="G156" s="156">
        <v>950</v>
      </c>
      <c r="H156" s="78"/>
      <c r="I156" s="139"/>
      <c r="J156" s="139"/>
      <c r="K156" s="139"/>
      <c r="L156" s="139"/>
      <c r="M156" s="139"/>
      <c r="N156" s="139">
        <f>1020</f>
        <v>1020</v>
      </c>
      <c r="O156" s="140">
        <f t="shared" si="86"/>
        <v>0</v>
      </c>
      <c r="P156" s="140">
        <f t="shared" si="87"/>
        <v>0</v>
      </c>
      <c r="Q156" s="140">
        <f t="shared" si="88"/>
        <v>0</v>
      </c>
      <c r="R156" s="140">
        <f t="shared" si="89"/>
        <v>0</v>
      </c>
      <c r="S156" s="140">
        <f t="shared" si="90"/>
        <v>0</v>
      </c>
      <c r="T156" s="80">
        <f t="shared" si="85"/>
        <v>0</v>
      </c>
      <c r="U156" s="140">
        <f t="shared" si="91"/>
        <v>969000</v>
      </c>
      <c r="V156" s="141">
        <f t="shared" si="92"/>
        <v>1020</v>
      </c>
      <c r="W156" s="142">
        <f t="shared" si="93"/>
        <v>969000</v>
      </c>
      <c r="X156" s="72"/>
    </row>
    <row r="157" spans="1:25" ht="15" outlineLevel="1">
      <c r="A157" s="122"/>
      <c r="B157" s="89"/>
      <c r="C157" s="124"/>
      <c r="D157" s="167" t="s">
        <v>207</v>
      </c>
      <c r="E157" s="190"/>
      <c r="F157" s="155" t="s">
        <v>205</v>
      </c>
      <c r="G157" s="156">
        <v>1889.0861186440682</v>
      </c>
      <c r="H157" s="78"/>
      <c r="I157" s="139"/>
      <c r="J157" s="139"/>
      <c r="K157" s="139"/>
      <c r="L157" s="139"/>
      <c r="M157" s="139"/>
      <c r="N157" s="139"/>
      <c r="O157" s="140">
        <f t="shared" si="86"/>
        <v>0</v>
      </c>
      <c r="P157" s="140">
        <f t="shared" si="87"/>
        <v>0</v>
      </c>
      <c r="Q157" s="140">
        <f t="shared" si="88"/>
        <v>0</v>
      </c>
      <c r="R157" s="140">
        <f t="shared" si="89"/>
        <v>0</v>
      </c>
      <c r="S157" s="140">
        <f t="shared" si="90"/>
        <v>0</v>
      </c>
      <c r="T157" s="80">
        <f t="shared" si="85"/>
        <v>0</v>
      </c>
      <c r="U157" s="140">
        <f t="shared" si="91"/>
        <v>0</v>
      </c>
      <c r="V157" s="141">
        <f t="shared" si="92"/>
        <v>0</v>
      </c>
      <c r="W157" s="142">
        <f t="shared" si="93"/>
        <v>0</v>
      </c>
      <c r="X157" s="72"/>
    </row>
    <row r="158" spans="1:25" ht="15" outlineLevel="1">
      <c r="A158" s="122"/>
      <c r="B158" s="89"/>
      <c r="C158" s="124"/>
      <c r="D158" s="167" t="s">
        <v>208</v>
      </c>
      <c r="E158" s="190"/>
      <c r="F158" s="155" t="s">
        <v>205</v>
      </c>
      <c r="G158" s="156">
        <v>0</v>
      </c>
      <c r="H158" s="78"/>
      <c r="I158" s="139"/>
      <c r="J158" s="139"/>
      <c r="K158" s="139"/>
      <c r="L158" s="139"/>
      <c r="M158" s="139"/>
      <c r="N158" s="139"/>
      <c r="O158" s="140">
        <f t="shared" si="86"/>
        <v>0</v>
      </c>
      <c r="P158" s="140">
        <f t="shared" si="87"/>
        <v>0</v>
      </c>
      <c r="Q158" s="140">
        <f t="shared" si="88"/>
        <v>0</v>
      </c>
      <c r="R158" s="140">
        <f t="shared" si="89"/>
        <v>0</v>
      </c>
      <c r="S158" s="140">
        <f t="shared" si="90"/>
        <v>0</v>
      </c>
      <c r="T158" s="80">
        <f t="shared" si="85"/>
        <v>0</v>
      </c>
      <c r="U158" s="140">
        <f t="shared" si="91"/>
        <v>0</v>
      </c>
      <c r="V158" s="141">
        <f t="shared" si="92"/>
        <v>0</v>
      </c>
      <c r="W158" s="142">
        <f t="shared" si="93"/>
        <v>0</v>
      </c>
      <c r="X158" s="72"/>
    </row>
    <row r="159" spans="1:25" ht="15" outlineLevel="1">
      <c r="A159" s="122"/>
      <c r="B159" s="89"/>
      <c r="C159" s="124"/>
      <c r="D159" s="167" t="s">
        <v>209</v>
      </c>
      <c r="E159" s="190"/>
      <c r="F159" s="155" t="s">
        <v>205</v>
      </c>
      <c r="G159" s="156">
        <v>0</v>
      </c>
      <c r="H159" s="78"/>
      <c r="I159" s="139"/>
      <c r="J159" s="139"/>
      <c r="K159" s="139"/>
      <c r="L159" s="139"/>
      <c r="M159" s="139"/>
      <c r="N159" s="139"/>
      <c r="O159" s="140">
        <f t="shared" si="86"/>
        <v>0</v>
      </c>
      <c r="P159" s="140">
        <f t="shared" si="87"/>
        <v>0</v>
      </c>
      <c r="Q159" s="140">
        <f t="shared" si="88"/>
        <v>0</v>
      </c>
      <c r="R159" s="140">
        <f t="shared" si="89"/>
        <v>0</v>
      </c>
      <c r="S159" s="140">
        <f t="shared" si="90"/>
        <v>0</v>
      </c>
      <c r="T159" s="80">
        <f t="shared" si="85"/>
        <v>0</v>
      </c>
      <c r="U159" s="140">
        <f t="shared" si="91"/>
        <v>0</v>
      </c>
      <c r="V159" s="141">
        <f t="shared" si="92"/>
        <v>0</v>
      </c>
      <c r="W159" s="142">
        <f t="shared" si="93"/>
        <v>0</v>
      </c>
      <c r="X159" s="72"/>
    </row>
    <row r="160" spans="1:25" ht="30" outlineLevel="1">
      <c r="A160" s="122"/>
      <c r="B160" s="89"/>
      <c r="C160" s="124"/>
      <c r="D160" s="167" t="s">
        <v>210</v>
      </c>
      <c r="E160" s="190"/>
      <c r="F160" s="155" t="s">
        <v>205</v>
      </c>
      <c r="G160" s="156">
        <v>0</v>
      </c>
      <c r="H160" s="78"/>
      <c r="I160" s="139"/>
      <c r="J160" s="139"/>
      <c r="K160" s="139"/>
      <c r="L160" s="144"/>
      <c r="M160" s="144"/>
      <c r="N160" s="139"/>
      <c r="O160" s="140">
        <f t="shared" si="86"/>
        <v>0</v>
      </c>
      <c r="P160" s="140">
        <f t="shared" si="87"/>
        <v>0</v>
      </c>
      <c r="Q160" s="140">
        <f t="shared" si="88"/>
        <v>0</v>
      </c>
      <c r="R160" s="140">
        <f t="shared" si="89"/>
        <v>0</v>
      </c>
      <c r="S160" s="140">
        <f t="shared" si="90"/>
        <v>0</v>
      </c>
      <c r="T160" s="80">
        <f t="shared" si="85"/>
        <v>0</v>
      </c>
      <c r="U160" s="140">
        <f t="shared" si="91"/>
        <v>0</v>
      </c>
      <c r="V160" s="141">
        <f t="shared" si="92"/>
        <v>0</v>
      </c>
      <c r="W160" s="142">
        <f t="shared" si="93"/>
        <v>0</v>
      </c>
      <c r="X160" s="72"/>
    </row>
    <row r="161" spans="1:24" ht="15" outlineLevel="1">
      <c r="A161" s="122"/>
      <c r="B161" s="89"/>
      <c r="C161" s="124"/>
      <c r="D161" s="167" t="s">
        <v>211</v>
      </c>
      <c r="E161" s="190"/>
      <c r="F161" s="155" t="s">
        <v>205</v>
      </c>
      <c r="G161" s="156">
        <v>0</v>
      </c>
      <c r="H161" s="78"/>
      <c r="I161" s="139"/>
      <c r="J161" s="139"/>
      <c r="K161" s="139"/>
      <c r="L161" s="139"/>
      <c r="M161" s="139"/>
      <c r="N161" s="139"/>
      <c r="O161" s="140">
        <f t="shared" si="86"/>
        <v>0</v>
      </c>
      <c r="P161" s="140">
        <f t="shared" si="87"/>
        <v>0</v>
      </c>
      <c r="Q161" s="140">
        <f t="shared" si="88"/>
        <v>0</v>
      </c>
      <c r="R161" s="140">
        <f t="shared" si="89"/>
        <v>0</v>
      </c>
      <c r="S161" s="140">
        <f t="shared" si="90"/>
        <v>0</v>
      </c>
      <c r="T161" s="80">
        <f t="shared" si="85"/>
        <v>0</v>
      </c>
      <c r="U161" s="140">
        <f t="shared" si="91"/>
        <v>0</v>
      </c>
      <c r="V161" s="141">
        <f t="shared" si="92"/>
        <v>0</v>
      </c>
      <c r="W161" s="142">
        <f t="shared" si="93"/>
        <v>0</v>
      </c>
      <c r="X161" s="72"/>
    </row>
    <row r="162" spans="1:24" ht="15.75" outlineLevel="1" thickBot="1">
      <c r="A162" s="122"/>
      <c r="B162" s="89"/>
      <c r="C162" s="124"/>
      <c r="D162" s="169" t="s">
        <v>212</v>
      </c>
      <c r="E162" s="190"/>
      <c r="F162" s="157" t="s">
        <v>205</v>
      </c>
      <c r="G162" s="158">
        <v>68700.960000000006</v>
      </c>
      <c r="H162" s="78"/>
      <c r="I162" s="139"/>
      <c r="J162" s="144"/>
      <c r="K162" s="127">
        <v>0.6</v>
      </c>
      <c r="L162" s="154">
        <v>0.4</v>
      </c>
      <c r="M162" s="144"/>
      <c r="N162" s="139"/>
      <c r="O162" s="140">
        <f>H162*G162</f>
        <v>0</v>
      </c>
      <c r="P162" s="140">
        <f>I162*G162</f>
        <v>0</v>
      </c>
      <c r="Q162" s="140">
        <f>J162*G162</f>
        <v>0</v>
      </c>
      <c r="R162" s="140">
        <f>K162*G162</f>
        <v>41220.576000000001</v>
      </c>
      <c r="S162" s="140">
        <f>L162*G162</f>
        <v>27480.384000000005</v>
      </c>
      <c r="T162" s="80">
        <f t="shared" si="85"/>
        <v>0</v>
      </c>
      <c r="U162" s="140">
        <f>N162*G162</f>
        <v>0</v>
      </c>
      <c r="V162" s="141">
        <f>SUM(H162:N162)</f>
        <v>1</v>
      </c>
      <c r="W162" s="142">
        <f>SUM(O162:U162)</f>
        <v>68700.960000000006</v>
      </c>
      <c r="X162" s="72"/>
    </row>
    <row r="163" spans="1:24" ht="14.25" outlineLevel="1" thickTop="1" thickBot="1">
      <c r="A163" s="122"/>
      <c r="B163" s="89"/>
      <c r="C163" s="83"/>
      <c r="D163" s="193"/>
      <c r="E163" s="194"/>
      <c r="F163" s="195"/>
      <c r="G163" s="196"/>
      <c r="H163" s="197"/>
      <c r="I163" s="197"/>
      <c r="J163" s="197"/>
      <c r="K163" s="197"/>
      <c r="L163" s="197"/>
      <c r="M163" s="197"/>
      <c r="N163" s="197"/>
      <c r="O163" s="198"/>
      <c r="P163" s="198"/>
      <c r="Q163" s="198"/>
      <c r="R163" s="198"/>
      <c r="S163" s="198"/>
      <c r="T163" s="198"/>
      <c r="U163" s="198"/>
      <c r="V163" s="197"/>
      <c r="W163" s="197"/>
      <c r="X163" s="72"/>
    </row>
    <row r="164" spans="1:24" ht="13.5" thickBot="1">
      <c r="A164" s="146"/>
      <c r="B164" s="147"/>
      <c r="C164" s="594" t="s">
        <v>213</v>
      </c>
      <c r="D164" s="596"/>
      <c r="E164" s="596"/>
      <c r="F164" s="596"/>
      <c r="G164" s="596"/>
      <c r="H164" s="596"/>
      <c r="I164" s="596"/>
      <c r="J164" s="596"/>
      <c r="K164" s="596"/>
      <c r="L164" s="596"/>
      <c r="M164" s="596"/>
      <c r="N164" s="596"/>
      <c r="O164" s="596"/>
      <c r="P164" s="596"/>
      <c r="Q164" s="596"/>
      <c r="R164" s="596"/>
      <c r="S164" s="596"/>
      <c r="T164" s="596"/>
      <c r="U164" s="596"/>
      <c r="V164" s="596"/>
      <c r="W164" s="596"/>
      <c r="X164" s="116">
        <f>SUM(W166:W170)</f>
        <v>2550637.373418177</v>
      </c>
    </row>
    <row r="165" spans="1:24" ht="13.5" outlineLevel="1" thickBot="1">
      <c r="A165" s="148"/>
      <c r="B165" s="130"/>
      <c r="C165" s="120"/>
      <c r="D165" s="68" t="s">
        <v>11</v>
      </c>
      <c r="E165" s="133"/>
      <c r="F165" s="150"/>
      <c r="G165" s="151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99"/>
      <c r="X165" s="72"/>
    </row>
    <row r="166" spans="1:24" ht="30.75" outlineLevel="1" thickTop="1">
      <c r="A166" s="148"/>
      <c r="B166" s="130"/>
      <c r="C166" s="124"/>
      <c r="D166" s="166" t="s">
        <v>214</v>
      </c>
      <c r="E166" s="75"/>
      <c r="F166" s="152" t="s">
        <v>136</v>
      </c>
      <c r="G166" s="153">
        <v>500000</v>
      </c>
      <c r="H166" s="87">
        <v>1</v>
      </c>
      <c r="I166" s="154"/>
      <c r="J166" s="154"/>
      <c r="K166" s="127"/>
      <c r="L166" s="154"/>
      <c r="M166" s="154"/>
      <c r="N166" s="127"/>
      <c r="O166" s="80">
        <f t="shared" ref="O166:O171" si="94">H166*G166</f>
        <v>500000</v>
      </c>
      <c r="P166" s="80">
        <f t="shared" ref="P166:P171" si="95">I166*G166</f>
        <v>0</v>
      </c>
      <c r="Q166" s="80">
        <f t="shared" ref="Q166:Q171" si="96">J166*G166</f>
        <v>0</v>
      </c>
      <c r="R166" s="80">
        <f t="shared" ref="R166:R171" si="97">K166*G166</f>
        <v>0</v>
      </c>
      <c r="S166" s="80">
        <f t="shared" ref="S166:S171" si="98">L166*G166</f>
        <v>0</v>
      </c>
      <c r="T166" s="80">
        <f t="shared" ref="T166:T171" si="99">M166*G166</f>
        <v>0</v>
      </c>
      <c r="U166" s="80">
        <f t="shared" ref="U166:U171" si="100">N166*G166</f>
        <v>0</v>
      </c>
      <c r="V166" s="81">
        <f t="shared" ref="V166:V171" si="101">SUM(H166:N166)</f>
        <v>1</v>
      </c>
      <c r="W166" s="82">
        <f t="shared" ref="W166:W171" si="102">SUM(O166:U166)</f>
        <v>500000</v>
      </c>
      <c r="X166" s="72"/>
    </row>
    <row r="167" spans="1:24" ht="15" outlineLevel="1">
      <c r="A167" s="122"/>
      <c r="B167" s="89"/>
      <c r="C167" s="124"/>
      <c r="D167" s="167" t="s">
        <v>215</v>
      </c>
      <c r="E167" s="75"/>
      <c r="F167" s="155" t="s">
        <v>216</v>
      </c>
      <c r="G167" s="156"/>
      <c r="H167" s="78"/>
      <c r="I167" s="139"/>
      <c r="J167" s="139"/>
      <c r="K167" s="139"/>
      <c r="L167" s="139"/>
      <c r="M167" s="139"/>
      <c r="N167" s="139"/>
      <c r="O167" s="80">
        <f t="shared" si="94"/>
        <v>0</v>
      </c>
      <c r="P167" s="80">
        <f t="shared" si="95"/>
        <v>0</v>
      </c>
      <c r="Q167" s="80">
        <f t="shared" si="96"/>
        <v>0</v>
      </c>
      <c r="R167" s="80">
        <f t="shared" si="97"/>
        <v>0</v>
      </c>
      <c r="S167" s="80">
        <f t="shared" si="98"/>
        <v>0</v>
      </c>
      <c r="T167" s="80">
        <f t="shared" si="99"/>
        <v>0</v>
      </c>
      <c r="U167" s="80">
        <f t="shared" si="100"/>
        <v>0</v>
      </c>
      <c r="V167" s="81">
        <f t="shared" si="101"/>
        <v>0</v>
      </c>
      <c r="W167" s="82">
        <f t="shared" si="102"/>
        <v>0</v>
      </c>
      <c r="X167" s="72"/>
    </row>
    <row r="168" spans="1:24" ht="30" outlineLevel="1">
      <c r="A168" s="122"/>
      <c r="B168" s="89"/>
      <c r="C168" s="124"/>
      <c r="D168" s="167" t="s">
        <v>217</v>
      </c>
      <c r="E168" s="75"/>
      <c r="F168" s="155" t="s">
        <v>136</v>
      </c>
      <c r="G168" s="156">
        <f>X146+X191+W182+G184</f>
        <v>19123178.037599999</v>
      </c>
      <c r="H168" s="87"/>
      <c r="I168" s="127"/>
      <c r="J168" s="127"/>
      <c r="K168" s="127"/>
      <c r="L168" s="127"/>
      <c r="M168" s="127"/>
      <c r="N168" s="127"/>
      <c r="O168" s="80">
        <f>G168*0.0875845</f>
        <v>1674893.986834177</v>
      </c>
      <c r="P168" s="80">
        <f t="shared" si="95"/>
        <v>0</v>
      </c>
      <c r="Q168" s="80">
        <f t="shared" si="96"/>
        <v>0</v>
      </c>
      <c r="R168" s="80">
        <f t="shared" si="97"/>
        <v>0</v>
      </c>
      <c r="S168" s="80">
        <f t="shared" si="98"/>
        <v>0</v>
      </c>
      <c r="T168" s="80">
        <f t="shared" si="99"/>
        <v>0</v>
      </c>
      <c r="U168" s="80">
        <f t="shared" si="100"/>
        <v>0</v>
      </c>
      <c r="V168" s="81">
        <f t="shared" si="101"/>
        <v>0</v>
      </c>
      <c r="W168" s="82">
        <f t="shared" si="102"/>
        <v>1674893.986834177</v>
      </c>
      <c r="X168" s="72"/>
    </row>
    <row r="169" spans="1:24" ht="15" outlineLevel="1">
      <c r="A169" s="122"/>
      <c r="B169" s="89"/>
      <c r="C169" s="124"/>
      <c r="D169" s="167" t="s">
        <v>218</v>
      </c>
      <c r="E169" s="75"/>
      <c r="F169" s="155" t="s">
        <v>219</v>
      </c>
      <c r="G169" s="156">
        <f>X146</f>
        <v>11871828.960000001</v>
      </c>
      <c r="H169" s="78"/>
      <c r="I169" s="144"/>
      <c r="J169" s="144"/>
      <c r="K169" s="127"/>
      <c r="L169" s="154"/>
      <c r="M169" s="154"/>
      <c r="N169" s="127"/>
      <c r="O169" s="80">
        <f>G169*0.03165</f>
        <v>375743.38658400002</v>
      </c>
      <c r="P169" s="80">
        <f t="shared" si="95"/>
        <v>0</v>
      </c>
      <c r="Q169" s="80">
        <f t="shared" si="96"/>
        <v>0</v>
      </c>
      <c r="R169" s="80">
        <f t="shared" si="97"/>
        <v>0</v>
      </c>
      <c r="S169" s="80">
        <f t="shared" si="98"/>
        <v>0</v>
      </c>
      <c r="T169" s="80">
        <f t="shared" si="99"/>
        <v>0</v>
      </c>
      <c r="U169" s="80">
        <f t="shared" si="100"/>
        <v>0</v>
      </c>
      <c r="V169" s="81">
        <f t="shared" si="101"/>
        <v>0</v>
      </c>
      <c r="W169" s="82">
        <f t="shared" si="102"/>
        <v>375743.38658400002</v>
      </c>
      <c r="X169" s="72"/>
    </row>
    <row r="170" spans="1:24" ht="30" outlineLevel="1">
      <c r="A170" s="122"/>
      <c r="B170" s="89"/>
      <c r="C170" s="124"/>
      <c r="D170" s="167" t="s">
        <v>220</v>
      </c>
      <c r="E170" s="75"/>
      <c r="F170" s="155" t="s">
        <v>136</v>
      </c>
      <c r="G170" s="156"/>
      <c r="H170" s="87"/>
      <c r="I170" s="139"/>
      <c r="J170" s="139"/>
      <c r="K170" s="139"/>
      <c r="L170" s="139"/>
      <c r="M170" s="139"/>
      <c r="N170" s="139"/>
      <c r="O170" s="80">
        <f t="shared" si="94"/>
        <v>0</v>
      </c>
      <c r="P170" s="80">
        <f t="shared" si="95"/>
        <v>0</v>
      </c>
      <c r="Q170" s="80">
        <f t="shared" si="96"/>
        <v>0</v>
      </c>
      <c r="R170" s="80">
        <f t="shared" si="97"/>
        <v>0</v>
      </c>
      <c r="S170" s="80">
        <f t="shared" si="98"/>
        <v>0</v>
      </c>
      <c r="T170" s="80">
        <f t="shared" si="99"/>
        <v>0</v>
      </c>
      <c r="U170" s="80">
        <f t="shared" si="100"/>
        <v>0</v>
      </c>
      <c r="V170" s="81">
        <f t="shared" si="101"/>
        <v>0</v>
      </c>
      <c r="W170" s="82">
        <f t="shared" si="102"/>
        <v>0</v>
      </c>
      <c r="X170" s="72"/>
    </row>
    <row r="171" spans="1:24" ht="15.75" outlineLevel="1" thickBot="1">
      <c r="A171" s="122"/>
      <c r="B171" s="165"/>
      <c r="C171" s="124"/>
      <c r="D171" s="169" t="s">
        <v>185</v>
      </c>
      <c r="E171" s="75"/>
      <c r="F171" s="157" t="s">
        <v>136</v>
      </c>
      <c r="G171" s="162"/>
      <c r="H171" s="78"/>
      <c r="I171" s="139"/>
      <c r="J171" s="139"/>
      <c r="K171" s="139"/>
      <c r="L171" s="139"/>
      <c r="M171" s="139"/>
      <c r="N171" s="139"/>
      <c r="O171" s="80">
        <f t="shared" si="94"/>
        <v>0</v>
      </c>
      <c r="P171" s="80">
        <f t="shared" si="95"/>
        <v>0</v>
      </c>
      <c r="Q171" s="80">
        <f t="shared" si="96"/>
        <v>0</v>
      </c>
      <c r="R171" s="80">
        <f t="shared" si="97"/>
        <v>0</v>
      </c>
      <c r="S171" s="80">
        <f t="shared" si="98"/>
        <v>0</v>
      </c>
      <c r="T171" s="80">
        <f t="shared" si="99"/>
        <v>0</v>
      </c>
      <c r="U171" s="80">
        <f t="shared" si="100"/>
        <v>0</v>
      </c>
      <c r="V171" s="81">
        <f t="shared" si="101"/>
        <v>0</v>
      </c>
      <c r="W171" s="82">
        <f t="shared" si="102"/>
        <v>0</v>
      </c>
      <c r="X171" s="72"/>
    </row>
    <row r="172" spans="1:24" s="113" customFormat="1" ht="14.25" outlineLevel="1" thickTop="1" thickBot="1">
      <c r="A172" s="200"/>
      <c r="B172" s="201"/>
      <c r="C172" s="202"/>
      <c r="D172" s="203"/>
      <c r="E172" s="204"/>
      <c r="F172" s="205"/>
      <c r="G172" s="206"/>
      <c r="H172" s="59"/>
      <c r="I172" s="59"/>
      <c r="J172" s="59"/>
      <c r="K172" s="59"/>
      <c r="L172" s="59"/>
      <c r="M172" s="59"/>
      <c r="N172" s="59"/>
      <c r="O172" s="207"/>
      <c r="P172" s="207"/>
      <c r="Q172" s="207"/>
      <c r="R172" s="207"/>
      <c r="S172" s="207"/>
      <c r="T172" s="207"/>
      <c r="U172" s="207"/>
      <c r="V172" s="208"/>
      <c r="W172" s="209"/>
      <c r="X172" s="72"/>
    </row>
    <row r="173" spans="1:24" s="213" customFormat="1">
      <c r="A173" s="210"/>
      <c r="B173" s="211"/>
      <c r="C173" s="98" t="s">
        <v>221</v>
      </c>
      <c r="D173" s="212">
        <f>W173</f>
        <v>100900100.99196617</v>
      </c>
      <c r="E173" s="591"/>
      <c r="F173" s="593"/>
      <c r="G173" s="593"/>
      <c r="H173" s="593"/>
      <c r="I173" s="593"/>
      <c r="J173" s="593"/>
      <c r="K173" s="593"/>
      <c r="L173" s="593"/>
      <c r="M173" s="593"/>
      <c r="N173" s="593"/>
      <c r="O173" s="102">
        <f t="shared" ref="O173:U173" si="103">SUM(O47:O170)</f>
        <v>2642593.163418177</v>
      </c>
      <c r="P173" s="102">
        <f t="shared" si="103"/>
        <v>4765044.5647096001</v>
      </c>
      <c r="Q173" s="102">
        <f t="shared" si="103"/>
        <v>7960256.024709601</v>
      </c>
      <c r="R173" s="102">
        <f t="shared" si="103"/>
        <v>1387174.1957096001</v>
      </c>
      <c r="S173" s="102">
        <f t="shared" si="103"/>
        <v>18993739.453709599</v>
      </c>
      <c r="T173" s="102">
        <f t="shared" si="103"/>
        <v>0</v>
      </c>
      <c r="U173" s="102">
        <f t="shared" si="103"/>
        <v>17906333.589709602</v>
      </c>
      <c r="V173" s="102"/>
      <c r="W173" s="103">
        <f>SUM(W41:W170)</f>
        <v>100900100.99196617</v>
      </c>
      <c r="X173" s="104"/>
    </row>
    <row r="174" spans="1:24" ht="13.5" thickBot="1">
      <c r="A174" s="24"/>
      <c r="B174" s="24"/>
      <c r="O174" s="214"/>
      <c r="P174" s="214"/>
      <c r="Q174" s="214"/>
      <c r="R174" s="214"/>
      <c r="S174" s="214"/>
      <c r="T174" s="214"/>
      <c r="U174" s="214"/>
      <c r="X174" s="104"/>
    </row>
    <row r="175" spans="1:24" ht="13.5" thickBot="1">
      <c r="A175" s="146"/>
      <c r="B175" s="147"/>
      <c r="C175" s="594" t="s">
        <v>222</v>
      </c>
      <c r="D175" s="596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596"/>
      <c r="S175" s="596"/>
      <c r="T175" s="596"/>
      <c r="U175" s="596"/>
      <c r="V175" s="596"/>
      <c r="W175" s="596"/>
      <c r="X175" s="116">
        <f>SUM(W177:W187)</f>
        <v>24891944.139971197</v>
      </c>
    </row>
    <row r="176" spans="1:24" ht="13.5" outlineLevel="1" thickBot="1">
      <c r="A176" s="148"/>
      <c r="B176" s="130"/>
      <c r="C176" s="120"/>
      <c r="D176" s="215" t="s">
        <v>11</v>
      </c>
      <c r="E176" s="133"/>
      <c r="F176" s="150"/>
      <c r="G176" s="151"/>
      <c r="H176" s="135"/>
      <c r="I176" s="135"/>
      <c r="J176" s="135"/>
      <c r="K176" s="135"/>
      <c r="L176" s="135"/>
      <c r="M176" s="135"/>
      <c r="N176" s="135"/>
      <c r="O176" s="135"/>
      <c r="P176" s="135"/>
      <c r="Q176" s="135"/>
      <c r="R176" s="135"/>
      <c r="S176" s="135"/>
      <c r="T176" s="135"/>
      <c r="U176" s="135"/>
      <c r="V176" s="135"/>
      <c r="W176" s="199"/>
      <c r="X176" s="72"/>
    </row>
    <row r="177" spans="1:24" ht="15.75" outlineLevel="1" thickTop="1">
      <c r="A177" s="148"/>
      <c r="B177" s="130"/>
      <c r="C177" s="216"/>
      <c r="D177" s="76" t="s">
        <v>223</v>
      </c>
      <c r="E177" s="75"/>
      <c r="F177" s="152" t="s">
        <v>145</v>
      </c>
      <c r="G177" s="217">
        <v>12057246</v>
      </c>
      <c r="H177" s="78">
        <v>1</v>
      </c>
      <c r="I177" s="218"/>
      <c r="J177" s="218"/>
      <c r="K177" s="218"/>
      <c r="L177" s="218"/>
      <c r="M177" s="218"/>
      <c r="N177" s="218"/>
      <c r="O177" s="80">
        <f>H177*G177</f>
        <v>12057246</v>
      </c>
      <c r="P177" s="80">
        <f>I177*G177</f>
        <v>0</v>
      </c>
      <c r="Q177" s="80">
        <f>J177*G177</f>
        <v>0</v>
      </c>
      <c r="R177" s="80">
        <f>K177*G177</f>
        <v>0</v>
      </c>
      <c r="S177" s="80">
        <f>L177*G177</f>
        <v>0</v>
      </c>
      <c r="T177" s="80">
        <f>M177*G177</f>
        <v>0</v>
      </c>
      <c r="U177" s="80">
        <f>N177*G177</f>
        <v>0</v>
      </c>
      <c r="V177" s="81">
        <f>SUM(H177:N177)</f>
        <v>1</v>
      </c>
      <c r="W177" s="82">
        <f>SUM(O177:U177)</f>
        <v>12057246</v>
      </c>
      <c r="X177" s="72"/>
    </row>
    <row r="178" spans="1:24" ht="15" outlineLevel="1">
      <c r="A178" s="122"/>
      <c r="B178" s="89"/>
      <c r="C178" s="216"/>
      <c r="D178" s="85" t="s">
        <v>224</v>
      </c>
      <c r="E178" s="75"/>
      <c r="F178" s="155" t="s">
        <v>145</v>
      </c>
      <c r="G178" s="217">
        <v>4572000</v>
      </c>
      <c r="H178" s="78">
        <v>1</v>
      </c>
      <c r="I178" s="218"/>
      <c r="J178" s="218"/>
      <c r="K178" s="218"/>
      <c r="L178" s="218"/>
      <c r="M178" s="218"/>
      <c r="N178" s="218"/>
      <c r="O178" s="80">
        <f t="shared" ref="O178:O187" si="104">H178*G178</f>
        <v>4572000</v>
      </c>
      <c r="P178" s="80">
        <f t="shared" ref="P178:P187" si="105">I178*G178</f>
        <v>0</v>
      </c>
      <c r="Q178" s="80">
        <f t="shared" ref="Q178:Q187" si="106">J178*G178</f>
        <v>0</v>
      </c>
      <c r="R178" s="80">
        <f t="shared" ref="R178:R187" si="107">K178*G178</f>
        <v>0</v>
      </c>
      <c r="S178" s="80">
        <f t="shared" ref="S178:S187" si="108">L178*G178</f>
        <v>0</v>
      </c>
      <c r="T178" s="80">
        <f t="shared" ref="T178:T187" si="109">M178*G178</f>
        <v>0</v>
      </c>
      <c r="U178" s="80">
        <f t="shared" ref="U178:U187" si="110">N178*G178</f>
        <v>0</v>
      </c>
      <c r="V178" s="81">
        <f t="shared" ref="V178:V187" si="111">SUM(H178:N178)</f>
        <v>1</v>
      </c>
      <c r="W178" s="82">
        <f t="shared" ref="W178:W187" si="112">SUM(O178:U178)</f>
        <v>4572000</v>
      </c>
      <c r="X178" s="72"/>
    </row>
    <row r="179" spans="1:24" ht="15" outlineLevel="1">
      <c r="A179" s="122"/>
      <c r="B179" s="89"/>
      <c r="C179" s="216"/>
      <c r="D179" s="85" t="s">
        <v>225</v>
      </c>
      <c r="E179" s="75"/>
      <c r="F179" s="155" t="s">
        <v>226</v>
      </c>
      <c r="G179" s="217">
        <f>5230*24</f>
        <v>125520</v>
      </c>
      <c r="H179" s="78">
        <v>9</v>
      </c>
      <c r="I179" s="218"/>
      <c r="J179" s="218"/>
      <c r="K179" s="218"/>
      <c r="L179" s="218"/>
      <c r="M179" s="218"/>
      <c r="N179" s="218"/>
      <c r="O179" s="80">
        <f t="shared" si="104"/>
        <v>1129680</v>
      </c>
      <c r="P179" s="80">
        <f t="shared" si="105"/>
        <v>0</v>
      </c>
      <c r="Q179" s="80">
        <f t="shared" si="106"/>
        <v>0</v>
      </c>
      <c r="R179" s="80">
        <f t="shared" si="107"/>
        <v>0</v>
      </c>
      <c r="S179" s="80">
        <f t="shared" si="108"/>
        <v>0</v>
      </c>
      <c r="T179" s="80">
        <f t="shared" si="109"/>
        <v>0</v>
      </c>
      <c r="U179" s="80">
        <f t="shared" si="110"/>
        <v>0</v>
      </c>
      <c r="V179" s="81">
        <f t="shared" si="111"/>
        <v>9</v>
      </c>
      <c r="W179" s="82">
        <f t="shared" si="112"/>
        <v>1129680</v>
      </c>
      <c r="X179" s="72"/>
    </row>
    <row r="180" spans="1:24" ht="15" outlineLevel="1">
      <c r="A180" s="122"/>
      <c r="B180" s="89"/>
      <c r="C180" s="216"/>
      <c r="D180" s="85" t="s">
        <v>227</v>
      </c>
      <c r="E180" s="75"/>
      <c r="F180" s="155" t="s">
        <v>226</v>
      </c>
      <c r="G180" s="217">
        <v>0</v>
      </c>
      <c r="H180" s="78"/>
      <c r="I180" s="218"/>
      <c r="J180" s="218"/>
      <c r="K180" s="218"/>
      <c r="L180" s="218"/>
      <c r="M180" s="218"/>
      <c r="N180" s="218"/>
      <c r="O180" s="80">
        <f t="shared" si="104"/>
        <v>0</v>
      </c>
      <c r="P180" s="80">
        <f t="shared" si="105"/>
        <v>0</v>
      </c>
      <c r="Q180" s="80">
        <f t="shared" si="106"/>
        <v>0</v>
      </c>
      <c r="R180" s="80">
        <f t="shared" si="107"/>
        <v>0</v>
      </c>
      <c r="S180" s="80">
        <f t="shared" si="108"/>
        <v>0</v>
      </c>
      <c r="T180" s="80">
        <f t="shared" si="109"/>
        <v>0</v>
      </c>
      <c r="U180" s="80">
        <f t="shared" si="110"/>
        <v>0</v>
      </c>
      <c r="V180" s="81">
        <f t="shared" si="111"/>
        <v>0</v>
      </c>
      <c r="W180" s="82">
        <f t="shared" si="112"/>
        <v>0</v>
      </c>
      <c r="X180" s="72"/>
    </row>
    <row r="181" spans="1:24" ht="15" outlineLevel="1">
      <c r="A181" s="122"/>
      <c r="B181" s="89"/>
      <c r="C181" s="216"/>
      <c r="D181" s="85" t="s">
        <v>228</v>
      </c>
      <c r="E181" s="75"/>
      <c r="F181" s="155" t="s">
        <v>145</v>
      </c>
      <c r="G181" s="217">
        <v>254904</v>
      </c>
      <c r="H181" s="78">
        <v>1</v>
      </c>
      <c r="I181" s="218"/>
      <c r="J181" s="218"/>
      <c r="K181" s="218"/>
      <c r="L181" s="218"/>
      <c r="M181" s="218"/>
      <c r="N181" s="218"/>
      <c r="O181" s="80">
        <f t="shared" si="104"/>
        <v>254904</v>
      </c>
      <c r="P181" s="80">
        <f t="shared" si="105"/>
        <v>0</v>
      </c>
      <c r="Q181" s="80">
        <f t="shared" si="106"/>
        <v>0</v>
      </c>
      <c r="R181" s="80">
        <f t="shared" si="107"/>
        <v>0</v>
      </c>
      <c r="S181" s="80">
        <f t="shared" si="108"/>
        <v>0</v>
      </c>
      <c r="T181" s="80">
        <f t="shared" si="109"/>
        <v>0</v>
      </c>
      <c r="U181" s="80">
        <f t="shared" si="110"/>
        <v>0</v>
      </c>
      <c r="V181" s="81">
        <f t="shared" si="111"/>
        <v>1</v>
      </c>
      <c r="W181" s="82">
        <f t="shared" si="112"/>
        <v>254904</v>
      </c>
      <c r="X181" s="72"/>
    </row>
    <row r="182" spans="1:24" ht="15" outlineLevel="1">
      <c r="A182" s="122"/>
      <c r="B182" s="89"/>
      <c r="C182" s="216"/>
      <c r="D182" s="85" t="s">
        <v>229</v>
      </c>
      <c r="E182" s="75"/>
      <c r="F182" s="155" t="s">
        <v>230</v>
      </c>
      <c r="G182" s="217">
        <v>18900</v>
      </c>
      <c r="H182" s="78">
        <v>300</v>
      </c>
      <c r="I182" s="218"/>
      <c r="J182" s="218"/>
      <c r="K182" s="218"/>
      <c r="L182" s="218"/>
      <c r="M182" s="218"/>
      <c r="N182" s="218"/>
      <c r="O182" s="80">
        <f t="shared" si="104"/>
        <v>5670000</v>
      </c>
      <c r="P182" s="80">
        <f t="shared" si="105"/>
        <v>0</v>
      </c>
      <c r="Q182" s="80">
        <f t="shared" si="106"/>
        <v>0</v>
      </c>
      <c r="R182" s="80">
        <f t="shared" si="107"/>
        <v>0</v>
      </c>
      <c r="S182" s="80">
        <f t="shared" si="108"/>
        <v>0</v>
      </c>
      <c r="T182" s="80">
        <f t="shared" si="109"/>
        <v>0</v>
      </c>
      <c r="U182" s="80">
        <f t="shared" si="110"/>
        <v>0</v>
      </c>
      <c r="V182" s="81">
        <f t="shared" si="111"/>
        <v>300</v>
      </c>
      <c r="W182" s="82">
        <f t="shared" si="112"/>
        <v>5670000</v>
      </c>
      <c r="X182" s="72"/>
    </row>
    <row r="183" spans="1:24" ht="15" outlineLevel="1">
      <c r="A183" s="122"/>
      <c r="B183" s="89"/>
      <c r="C183" s="216"/>
      <c r="D183" s="85" t="s">
        <v>231</v>
      </c>
      <c r="E183" s="75"/>
      <c r="F183" s="155" t="s">
        <v>232</v>
      </c>
      <c r="G183" s="217">
        <v>88752</v>
      </c>
      <c r="H183" s="78">
        <v>1</v>
      </c>
      <c r="I183" s="218"/>
      <c r="J183" s="218"/>
      <c r="K183" s="218"/>
      <c r="L183" s="218"/>
      <c r="M183" s="218"/>
      <c r="N183" s="218"/>
      <c r="O183" s="80">
        <f t="shared" si="104"/>
        <v>88752</v>
      </c>
      <c r="P183" s="80">
        <f t="shared" si="105"/>
        <v>0</v>
      </c>
      <c r="Q183" s="80">
        <f t="shared" si="106"/>
        <v>0</v>
      </c>
      <c r="R183" s="80">
        <f t="shared" si="107"/>
        <v>0</v>
      </c>
      <c r="S183" s="80">
        <f t="shared" si="108"/>
        <v>0</v>
      </c>
      <c r="T183" s="80">
        <f t="shared" si="109"/>
        <v>0</v>
      </c>
      <c r="U183" s="80">
        <f t="shared" si="110"/>
        <v>0</v>
      </c>
      <c r="V183" s="81">
        <f t="shared" si="111"/>
        <v>1</v>
      </c>
      <c r="W183" s="82">
        <f t="shared" si="112"/>
        <v>88752</v>
      </c>
      <c r="X183" s="72"/>
    </row>
    <row r="184" spans="1:24" ht="15" outlineLevel="1">
      <c r="A184" s="122"/>
      <c r="B184" s="89"/>
      <c r="C184" s="216"/>
      <c r="D184" s="85" t="s">
        <v>233</v>
      </c>
      <c r="E184" s="75"/>
      <c r="F184" s="155" t="s">
        <v>232</v>
      </c>
      <c r="G184" s="217">
        <v>381349.07760000002</v>
      </c>
      <c r="H184" s="78">
        <v>1</v>
      </c>
      <c r="I184" s="218"/>
      <c r="J184" s="218"/>
      <c r="K184" s="218"/>
      <c r="L184" s="218"/>
      <c r="M184" s="218"/>
      <c r="N184" s="218"/>
      <c r="O184" s="80">
        <f t="shared" si="104"/>
        <v>381349.07760000002</v>
      </c>
      <c r="P184" s="80">
        <f t="shared" si="105"/>
        <v>0</v>
      </c>
      <c r="Q184" s="80">
        <f t="shared" si="106"/>
        <v>0</v>
      </c>
      <c r="R184" s="80">
        <f t="shared" si="107"/>
        <v>0</v>
      </c>
      <c r="S184" s="80">
        <f t="shared" si="108"/>
        <v>0</v>
      </c>
      <c r="T184" s="80">
        <f t="shared" si="109"/>
        <v>0</v>
      </c>
      <c r="U184" s="80">
        <f t="shared" si="110"/>
        <v>0</v>
      </c>
      <c r="V184" s="81">
        <f t="shared" si="111"/>
        <v>1</v>
      </c>
      <c r="W184" s="82">
        <f t="shared" si="112"/>
        <v>381349.07760000002</v>
      </c>
      <c r="X184" s="72"/>
    </row>
    <row r="185" spans="1:24" ht="15" outlineLevel="1">
      <c r="A185" s="122"/>
      <c r="B185" s="89"/>
      <c r="C185" s="216"/>
      <c r="D185" s="85" t="s">
        <v>234</v>
      </c>
      <c r="E185" s="75"/>
      <c r="F185" s="155" t="s">
        <v>145</v>
      </c>
      <c r="G185" s="217">
        <v>461147.136</v>
      </c>
      <c r="H185" s="78">
        <v>1</v>
      </c>
      <c r="I185" s="218"/>
      <c r="J185" s="218"/>
      <c r="K185" s="218"/>
      <c r="L185" s="218"/>
      <c r="M185" s="218"/>
      <c r="N185" s="218"/>
      <c r="O185" s="80">
        <f t="shared" si="104"/>
        <v>461147.136</v>
      </c>
      <c r="P185" s="80">
        <f t="shared" si="105"/>
        <v>0</v>
      </c>
      <c r="Q185" s="80">
        <f t="shared" si="106"/>
        <v>0</v>
      </c>
      <c r="R185" s="80">
        <f t="shared" si="107"/>
        <v>0</v>
      </c>
      <c r="S185" s="80">
        <f t="shared" si="108"/>
        <v>0</v>
      </c>
      <c r="T185" s="80">
        <f t="shared" si="109"/>
        <v>0</v>
      </c>
      <c r="U185" s="80">
        <f t="shared" si="110"/>
        <v>0</v>
      </c>
      <c r="V185" s="81">
        <f t="shared" si="111"/>
        <v>1</v>
      </c>
      <c r="W185" s="82">
        <f t="shared" si="112"/>
        <v>461147.136</v>
      </c>
      <c r="X185" s="72"/>
    </row>
    <row r="186" spans="1:24" ht="15" outlineLevel="1">
      <c r="A186" s="122"/>
      <c r="B186" s="89"/>
      <c r="C186" s="216"/>
      <c r="D186" s="85" t="s">
        <v>235</v>
      </c>
      <c r="E186" s="75"/>
      <c r="F186" s="155" t="s">
        <v>96</v>
      </c>
      <c r="G186" s="217">
        <v>16078.7205792</v>
      </c>
      <c r="H186" s="78">
        <v>11</v>
      </c>
      <c r="I186" s="218"/>
      <c r="J186" s="218"/>
      <c r="K186" s="218"/>
      <c r="L186" s="218"/>
      <c r="M186" s="218"/>
      <c r="N186" s="218"/>
      <c r="O186" s="80">
        <f t="shared" si="104"/>
        <v>176865.92637120001</v>
      </c>
      <c r="P186" s="80">
        <f t="shared" si="105"/>
        <v>0</v>
      </c>
      <c r="Q186" s="80">
        <f t="shared" si="106"/>
        <v>0</v>
      </c>
      <c r="R186" s="80">
        <f t="shared" si="107"/>
        <v>0</v>
      </c>
      <c r="S186" s="80">
        <f t="shared" si="108"/>
        <v>0</v>
      </c>
      <c r="T186" s="80">
        <f t="shared" si="109"/>
        <v>0</v>
      </c>
      <c r="U186" s="80">
        <f t="shared" si="110"/>
        <v>0</v>
      </c>
      <c r="V186" s="81">
        <f t="shared" si="111"/>
        <v>11</v>
      </c>
      <c r="W186" s="82">
        <f t="shared" si="112"/>
        <v>176865.92637120001</v>
      </c>
      <c r="X186" s="72"/>
    </row>
    <row r="187" spans="1:24" ht="15.75" outlineLevel="1" thickBot="1">
      <c r="A187" s="122"/>
      <c r="B187" s="89"/>
      <c r="C187" s="216"/>
      <c r="D187" s="85" t="s">
        <v>236</v>
      </c>
      <c r="E187" s="75"/>
      <c r="F187" s="157" t="s">
        <v>145</v>
      </c>
      <c r="G187" s="217">
        <v>100000</v>
      </c>
      <c r="H187" s="78">
        <v>1</v>
      </c>
      <c r="I187" s="218"/>
      <c r="J187" s="218"/>
      <c r="K187" s="218"/>
      <c r="L187" s="218"/>
      <c r="M187" s="218"/>
      <c r="N187" s="218"/>
      <c r="O187" s="80">
        <f t="shared" si="104"/>
        <v>100000</v>
      </c>
      <c r="P187" s="80">
        <f t="shared" si="105"/>
        <v>0</v>
      </c>
      <c r="Q187" s="80">
        <f t="shared" si="106"/>
        <v>0</v>
      </c>
      <c r="R187" s="80">
        <f t="shared" si="107"/>
        <v>0</v>
      </c>
      <c r="S187" s="80">
        <f t="shared" si="108"/>
        <v>0</v>
      </c>
      <c r="T187" s="80">
        <f t="shared" si="109"/>
        <v>0</v>
      </c>
      <c r="U187" s="80">
        <f t="shared" si="110"/>
        <v>0</v>
      </c>
      <c r="V187" s="81">
        <f t="shared" si="111"/>
        <v>1</v>
      </c>
      <c r="W187" s="82">
        <f t="shared" si="112"/>
        <v>100000</v>
      </c>
      <c r="X187" s="72"/>
    </row>
    <row r="188" spans="1:24" s="113" customFormat="1" ht="14.25" outlineLevel="1" thickTop="1" thickBot="1">
      <c r="A188" s="200"/>
      <c r="B188" s="201"/>
      <c r="C188" s="202"/>
      <c r="D188" s="202"/>
      <c r="E188" s="57"/>
      <c r="F188" s="219"/>
      <c r="G188" s="220"/>
      <c r="H188" s="59"/>
      <c r="I188" s="59"/>
      <c r="J188" s="59"/>
      <c r="K188" s="59"/>
      <c r="L188" s="59"/>
      <c r="M188" s="59"/>
      <c r="N188" s="59"/>
      <c r="O188" s="60"/>
      <c r="P188" s="60"/>
      <c r="Q188" s="60"/>
      <c r="R188" s="60"/>
      <c r="S188" s="60"/>
      <c r="T188" s="60"/>
      <c r="U188" s="60"/>
      <c r="V188" s="61"/>
      <c r="W188" s="62"/>
      <c r="X188" s="72"/>
    </row>
    <row r="189" spans="1:24" s="213" customFormat="1">
      <c r="A189" s="210"/>
      <c r="B189" s="211"/>
      <c r="C189" s="98" t="s">
        <v>237</v>
      </c>
      <c r="D189" s="212">
        <f>W189</f>
        <v>24891944.139971197</v>
      </c>
      <c r="E189" s="591"/>
      <c r="F189" s="593"/>
      <c r="G189" s="593"/>
      <c r="H189" s="593"/>
      <c r="I189" s="593"/>
      <c r="J189" s="593"/>
      <c r="K189" s="593"/>
      <c r="L189" s="593"/>
      <c r="M189" s="593"/>
      <c r="N189" s="593"/>
      <c r="O189" s="102">
        <f>SUM(O177:O187)</f>
        <v>24891944.139971197</v>
      </c>
      <c r="P189" s="102"/>
      <c r="Q189" s="102"/>
      <c r="R189" s="102"/>
      <c r="S189" s="102"/>
      <c r="T189" s="102"/>
      <c r="U189" s="102"/>
      <c r="V189" s="102"/>
      <c r="W189" s="103">
        <f>SUM(W177:W187)</f>
        <v>24891944.139971197</v>
      </c>
      <c r="X189" s="104"/>
    </row>
    <row r="190" spans="1:24" ht="13.5" thickBot="1">
      <c r="O190" s="221"/>
      <c r="P190" s="221"/>
      <c r="Q190" s="221"/>
      <c r="R190" s="221"/>
      <c r="S190" s="221"/>
      <c r="T190" s="221"/>
      <c r="U190" s="221"/>
      <c r="V190" s="221"/>
      <c r="W190" s="221"/>
      <c r="X190" s="104"/>
    </row>
    <row r="191" spans="1:24" ht="13.5" thickBot="1">
      <c r="A191" s="165"/>
      <c r="B191" s="165"/>
      <c r="C191" s="594" t="s">
        <v>238</v>
      </c>
      <c r="D191" s="596"/>
      <c r="E191" s="596"/>
      <c r="F191" s="597"/>
      <c r="G191" s="597"/>
      <c r="H191" s="596"/>
      <c r="I191" s="596"/>
      <c r="J191" s="596"/>
      <c r="K191" s="596"/>
      <c r="L191" s="596"/>
      <c r="M191" s="596"/>
      <c r="N191" s="596"/>
      <c r="O191" s="596"/>
      <c r="P191" s="596"/>
      <c r="Q191" s="596"/>
      <c r="R191" s="596"/>
      <c r="S191" s="596"/>
      <c r="T191" s="596"/>
      <c r="U191" s="596"/>
      <c r="V191" s="596"/>
      <c r="W191" s="596"/>
      <c r="X191" s="116">
        <f>SUM(W192:W194)</f>
        <v>1200000</v>
      </c>
    </row>
    <row r="192" spans="1:24" ht="15.75" outlineLevel="1" thickTop="1">
      <c r="A192" s="165"/>
      <c r="B192" s="165"/>
      <c r="C192" s="216"/>
      <c r="D192" s="76" t="s">
        <v>239</v>
      </c>
      <c r="E192" s="75"/>
      <c r="F192" s="152" t="s">
        <v>240</v>
      </c>
      <c r="G192" s="153"/>
      <c r="H192" s="87"/>
      <c r="I192" s="222"/>
      <c r="J192" s="223"/>
      <c r="K192" s="222"/>
      <c r="L192" s="222"/>
      <c r="M192" s="222"/>
      <c r="N192" s="222"/>
      <c r="O192" s="80">
        <f>H192*G192</f>
        <v>0</v>
      </c>
      <c r="P192" s="80">
        <f>I192*G192</f>
        <v>0</v>
      </c>
      <c r="Q192" s="80">
        <f>J192*G192</f>
        <v>0</v>
      </c>
      <c r="R192" s="80">
        <f>K192*G192</f>
        <v>0</v>
      </c>
      <c r="S192" s="80">
        <f>L192*G192</f>
        <v>0</v>
      </c>
      <c r="T192" s="80">
        <f>M192*G192</f>
        <v>0</v>
      </c>
      <c r="U192" s="80">
        <f>N192*G192</f>
        <v>0</v>
      </c>
      <c r="V192" s="81">
        <f>SUM(H192:N192)</f>
        <v>0</v>
      </c>
      <c r="W192" s="82">
        <f>SUM(O192:U192)</f>
        <v>0</v>
      </c>
      <c r="X192" s="72"/>
    </row>
    <row r="193" spans="1:24" ht="15" outlineLevel="1">
      <c r="A193" s="165"/>
      <c r="B193" s="165"/>
      <c r="C193" s="216"/>
      <c r="D193" s="85" t="s">
        <v>241</v>
      </c>
      <c r="E193" s="75"/>
      <c r="F193" s="155" t="s">
        <v>240</v>
      </c>
      <c r="G193" s="217">
        <v>1200000</v>
      </c>
      <c r="H193" s="87">
        <v>1</v>
      </c>
      <c r="I193" s="222"/>
      <c r="J193" s="222"/>
      <c r="K193" s="222"/>
      <c r="L193" s="222"/>
      <c r="M193" s="222"/>
      <c r="N193" s="222"/>
      <c r="O193" s="80">
        <f>H193*G193</f>
        <v>1200000</v>
      </c>
      <c r="P193" s="80">
        <f>I193*G193</f>
        <v>0</v>
      </c>
      <c r="Q193" s="80">
        <f>J193*G193</f>
        <v>0</v>
      </c>
      <c r="R193" s="80">
        <f>K193*G193</f>
        <v>0</v>
      </c>
      <c r="S193" s="80">
        <f>L193*G193</f>
        <v>0</v>
      </c>
      <c r="T193" s="80">
        <f>M193*G193</f>
        <v>0</v>
      </c>
      <c r="U193" s="80">
        <f>N193*G193</f>
        <v>0</v>
      </c>
      <c r="V193" s="81">
        <f>SUM(H193:N193)</f>
        <v>1</v>
      </c>
      <c r="W193" s="82">
        <f>SUM(O193:U193)</f>
        <v>1200000</v>
      </c>
      <c r="X193" s="72"/>
    </row>
    <row r="194" spans="1:24" ht="15.75" outlineLevel="1" thickBot="1">
      <c r="A194" s="165"/>
      <c r="B194" s="165"/>
      <c r="C194" s="216"/>
      <c r="D194" s="94" t="s">
        <v>177</v>
      </c>
      <c r="E194" s="75"/>
      <c r="F194" s="157" t="s">
        <v>240</v>
      </c>
      <c r="G194" s="162"/>
      <c r="H194" s="78"/>
      <c r="I194" s="222"/>
      <c r="J194" s="222"/>
      <c r="K194" s="222"/>
      <c r="L194" s="222"/>
      <c r="M194" s="222"/>
      <c r="N194" s="222"/>
      <c r="O194" s="80">
        <f>H194*G194</f>
        <v>0</v>
      </c>
      <c r="P194" s="80">
        <f>I194*G194</f>
        <v>0</v>
      </c>
      <c r="Q194" s="80">
        <f>J194*G194</f>
        <v>0</v>
      </c>
      <c r="R194" s="80">
        <f>K194*G194</f>
        <v>0</v>
      </c>
      <c r="S194" s="80">
        <f>L194*G194</f>
        <v>0</v>
      </c>
      <c r="T194" s="80">
        <f>M194*G194</f>
        <v>0</v>
      </c>
      <c r="U194" s="80">
        <f>N194*G194</f>
        <v>0</v>
      </c>
      <c r="V194" s="81">
        <f>SUM(H194:N194)</f>
        <v>0</v>
      </c>
      <c r="W194" s="82">
        <f>SUM(O194:U194)</f>
        <v>0</v>
      </c>
      <c r="X194" s="72"/>
    </row>
    <row r="195" spans="1:24" s="213" customFormat="1" ht="13.5" thickTop="1">
      <c r="A195" s="224"/>
      <c r="B195" s="224"/>
      <c r="C195" s="98" t="s">
        <v>242</v>
      </c>
      <c r="D195" s="212">
        <f>W195</f>
        <v>1200000</v>
      </c>
      <c r="E195" s="591"/>
      <c r="F195" s="592"/>
      <c r="G195" s="592"/>
      <c r="H195" s="593"/>
      <c r="I195" s="593"/>
      <c r="J195" s="593"/>
      <c r="K195" s="593"/>
      <c r="L195" s="593"/>
      <c r="M195" s="593"/>
      <c r="N195" s="593"/>
      <c r="O195" s="102">
        <f>SUM(O192:O194)</f>
        <v>1200000</v>
      </c>
      <c r="P195" s="102"/>
      <c r="Q195" s="102"/>
      <c r="R195" s="102"/>
      <c r="S195" s="102"/>
      <c r="T195" s="102"/>
      <c r="U195" s="102"/>
      <c r="V195" s="102"/>
      <c r="W195" s="103">
        <f>SUM(W192:W194)</f>
        <v>1200000</v>
      </c>
      <c r="X195" s="72"/>
    </row>
    <row r="196" spans="1:24" ht="13.5" thickBot="1">
      <c r="O196" s="221"/>
      <c r="P196" s="221"/>
      <c r="Q196" s="221"/>
      <c r="R196" s="221"/>
      <c r="S196" s="221"/>
      <c r="T196" s="221"/>
      <c r="U196" s="221"/>
      <c r="V196" s="221"/>
      <c r="W196" s="221"/>
      <c r="X196" s="104"/>
    </row>
    <row r="197" spans="1:24" s="213" customFormat="1" ht="13.5" thickBot="1">
      <c r="A197" s="210"/>
      <c r="B197" s="211"/>
      <c r="C197" s="98" t="s">
        <v>243</v>
      </c>
      <c r="D197" s="212">
        <f>W197</f>
        <v>166273045.13193738</v>
      </c>
      <c r="E197" s="591"/>
      <c r="F197" s="593"/>
      <c r="G197" s="593"/>
      <c r="H197" s="593"/>
      <c r="I197" s="593"/>
      <c r="J197" s="593"/>
      <c r="K197" s="593"/>
      <c r="L197" s="593"/>
      <c r="M197" s="593"/>
      <c r="N197" s="593"/>
      <c r="O197" s="102">
        <f t="shared" ref="O197:U197" si="113">O173+O189+O37+O195</f>
        <v>68015537.30338937</v>
      </c>
      <c r="P197" s="102">
        <f t="shared" si="113"/>
        <v>4765044.5647096001</v>
      </c>
      <c r="Q197" s="102">
        <f t="shared" si="113"/>
        <v>7960256.024709601</v>
      </c>
      <c r="R197" s="102">
        <f t="shared" si="113"/>
        <v>1387174.1957096001</v>
      </c>
      <c r="S197" s="102">
        <f t="shared" si="113"/>
        <v>18993739.453709599</v>
      </c>
      <c r="T197" s="102">
        <f t="shared" si="113"/>
        <v>0</v>
      </c>
      <c r="U197" s="102">
        <f t="shared" si="113"/>
        <v>17906333.589709602</v>
      </c>
      <c r="V197" s="102"/>
      <c r="W197" s="103">
        <f>W173+W189+W37+W195</f>
        <v>166273045.13193738</v>
      </c>
      <c r="X197" s="116">
        <f>X18+X39+X46+X55+X76+X84+X102+X107+X116+X121+X125+X146+X164+X175+X191</f>
        <v>166273045.13193738</v>
      </c>
    </row>
    <row r="199" spans="1:24">
      <c r="X199" s="4">
        <f>[4]Расчет!$D$55*1000</f>
        <v>166342153.84863463</v>
      </c>
    </row>
    <row r="200" spans="1:24">
      <c r="X200" s="225">
        <f>X197-X199</f>
        <v>-69108.716697245836</v>
      </c>
    </row>
  </sheetData>
  <mergeCells count="58">
    <mergeCell ref="A6:B6"/>
    <mergeCell ref="F6:G6"/>
    <mergeCell ref="A2:W2"/>
    <mergeCell ref="F4:G5"/>
    <mergeCell ref="H4:H5"/>
    <mergeCell ref="I4:I5"/>
    <mergeCell ref="J4:J5"/>
    <mergeCell ref="K4:K5"/>
    <mergeCell ref="L4:L5"/>
    <mergeCell ref="M4:M5"/>
    <mergeCell ref="N4:N5"/>
    <mergeCell ref="O4:O5"/>
    <mergeCell ref="P4:Q5"/>
    <mergeCell ref="R4:R5"/>
    <mergeCell ref="P6:Q6"/>
    <mergeCell ref="F10:G10"/>
    <mergeCell ref="O10:O11"/>
    <mergeCell ref="P10:Q10"/>
    <mergeCell ref="F11:G11"/>
    <mergeCell ref="P11:Q11"/>
    <mergeCell ref="F8:G8"/>
    <mergeCell ref="P8:Q8"/>
    <mergeCell ref="P7:Q7"/>
    <mergeCell ref="A9:B9"/>
    <mergeCell ref="F9:G9"/>
    <mergeCell ref="P9:Q9"/>
    <mergeCell ref="A7:B7"/>
    <mergeCell ref="F7:G7"/>
    <mergeCell ref="O7:O8"/>
    <mergeCell ref="A8:B8"/>
    <mergeCell ref="F12:G13"/>
    <mergeCell ref="O12:O13"/>
    <mergeCell ref="P12:P13"/>
    <mergeCell ref="Q12:R13"/>
    <mergeCell ref="A13:B13"/>
    <mergeCell ref="C125:W125"/>
    <mergeCell ref="V15:W15"/>
    <mergeCell ref="C18:W18"/>
    <mergeCell ref="C39:W39"/>
    <mergeCell ref="C46:W46"/>
    <mergeCell ref="C55:W55"/>
    <mergeCell ref="C76:W76"/>
    <mergeCell ref="A15:G15"/>
    <mergeCell ref="H15:N15"/>
    <mergeCell ref="O15:U15"/>
    <mergeCell ref="C84:W84"/>
    <mergeCell ref="C102:W102"/>
    <mergeCell ref="C107:W107"/>
    <mergeCell ref="C116:W116"/>
    <mergeCell ref="C121:W121"/>
    <mergeCell ref="E195:N195"/>
    <mergeCell ref="E197:N197"/>
    <mergeCell ref="C146:W146"/>
    <mergeCell ref="C164:W164"/>
    <mergeCell ref="E173:N173"/>
    <mergeCell ref="C175:W175"/>
    <mergeCell ref="E189:N189"/>
    <mergeCell ref="C191:W191"/>
  </mergeCells>
  <conditionalFormatting sqref="R6 R8:R11 H6:O6 H7:N8 H9:O9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ковер</vt:lpstr>
      <vt:lpstr>Дело скважины</vt:lpstr>
      <vt:lpstr>Конструктор скважины</vt:lpstr>
      <vt:lpstr>Инфра</vt:lpstr>
      <vt:lpstr>Production</vt:lpstr>
      <vt:lpstr>OPEX</vt:lpstr>
      <vt:lpstr>Макропараметры</vt:lpstr>
      <vt:lpstr>Инф. о месторождениях</vt:lpstr>
      <vt:lpstr>Скважина пример</vt:lpstr>
      <vt:lpstr>Конструктор скважиныv2</vt:lpstr>
      <vt:lpstr>Распределение затрат во времени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2014-02-13T11:02:16Z</dcterms:modified>
</cp:coreProperties>
</file>