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07D6E6-BB13-40BD-8DC0-CB2CBF1CE0CF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Data" sheetId="1" r:id="rId1"/>
    <sheet name="Schem1" sheetId="2" r:id="rId2"/>
    <sheet name="Schem2" sheetId="3" r:id="rId3"/>
    <sheet name="Schem3" sheetId="4" r:id="rId4"/>
    <sheet name="Schem4" sheetId="5" r:id="rId5"/>
    <sheet name="Result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5" l="1"/>
  <c r="F9" i="6"/>
  <c r="F8" i="6"/>
  <c r="D2" i="6"/>
  <c r="A8" i="6"/>
  <c r="A9" i="6"/>
  <c r="A10" i="6"/>
  <c r="A11" i="6"/>
  <c r="A7" i="6"/>
  <c r="A5" i="6"/>
  <c r="B6" i="3" l="1"/>
  <c r="B5" i="3"/>
  <c r="A8" i="3"/>
  <c r="A6" i="3"/>
  <c r="A5" i="3"/>
  <c r="B4" i="3"/>
  <c r="N5" i="1"/>
  <c r="F4" i="5" l="1"/>
  <c r="D15" i="5" s="1"/>
  <c r="B6" i="4"/>
  <c r="F10" i="4" s="1"/>
  <c r="E12" i="4" s="1"/>
  <c r="C9" i="1" a="1"/>
  <c r="C9" i="1"/>
  <c r="D9" i="1"/>
  <c r="E9" i="1"/>
  <c r="F9" i="1"/>
  <c r="Q5" i="1"/>
  <c r="O5" i="1"/>
  <c r="P5" i="1"/>
  <c r="F5" i="5" l="1"/>
  <c r="F3" i="5"/>
  <c r="D14" i="5" s="1"/>
  <c r="C6" i="4"/>
  <c r="B5" i="4"/>
  <c r="C8" i="3"/>
  <c r="I4" i="6" s="1"/>
  <c r="C3" i="3"/>
  <c r="C4" i="3"/>
  <c r="C3" i="2"/>
  <c r="C8" i="2"/>
  <c r="I2" i="6" s="1"/>
  <c r="C4" i="2"/>
  <c r="D20" i="1"/>
  <c r="D30" i="1" s="1"/>
  <c r="E20" i="1"/>
  <c r="E30" i="1" s="1"/>
  <c r="F20" i="1"/>
  <c r="D21" i="1"/>
  <c r="E21" i="1"/>
  <c r="E31" i="1" s="1"/>
  <c r="F21" i="1"/>
  <c r="F31" i="1" s="1"/>
  <c r="D22" i="1"/>
  <c r="E22" i="1"/>
  <c r="F22" i="1"/>
  <c r="F32" i="1" s="1"/>
  <c r="D23" i="1"/>
  <c r="D33" i="1" s="1"/>
  <c r="E23" i="1"/>
  <c r="F23" i="1"/>
  <c r="D24" i="1"/>
  <c r="D34" i="1" s="1"/>
  <c r="E24" i="1"/>
  <c r="E34" i="1" s="1"/>
  <c r="F24" i="1"/>
  <c r="D25" i="1"/>
  <c r="E25" i="1"/>
  <c r="E35" i="1" s="1"/>
  <c r="F25" i="1"/>
  <c r="F35" i="1" s="1"/>
  <c r="D26" i="1"/>
  <c r="E26" i="1"/>
  <c r="F26" i="1"/>
  <c r="F36" i="1" s="1"/>
  <c r="D27" i="1"/>
  <c r="D37" i="1" s="1"/>
  <c r="E27" i="1"/>
  <c r="F27" i="1"/>
  <c r="D28" i="1"/>
  <c r="D38" i="1" s="1"/>
  <c r="E28" i="1"/>
  <c r="E38" i="1" s="1"/>
  <c r="F28" i="1"/>
  <c r="D29" i="1"/>
  <c r="E29" i="1"/>
  <c r="E39" i="1" s="1"/>
  <c r="F29" i="1"/>
  <c r="F39" i="1" s="1"/>
  <c r="F30" i="1"/>
  <c r="D31" i="1"/>
  <c r="D32" i="1"/>
  <c r="E32" i="1"/>
  <c r="E33" i="1"/>
  <c r="F33" i="1"/>
  <c r="F34" i="1"/>
  <c r="D35" i="1"/>
  <c r="D36" i="1"/>
  <c r="E36" i="1"/>
  <c r="E37" i="1"/>
  <c r="F37" i="1"/>
  <c r="F38" i="1"/>
  <c r="D39" i="1"/>
  <c r="C21" i="1"/>
  <c r="C31" i="1" s="1"/>
  <c r="C22" i="1"/>
  <c r="C32" i="1" s="1"/>
  <c r="C23" i="1"/>
  <c r="C24" i="1"/>
  <c r="C25" i="1"/>
  <c r="C35" i="1" s="1"/>
  <c r="C26" i="1"/>
  <c r="C36" i="1" s="1"/>
  <c r="C27" i="1"/>
  <c r="C28" i="1"/>
  <c r="C29" i="1"/>
  <c r="C39" i="1" s="1"/>
  <c r="C30" i="1"/>
  <c r="C33" i="1"/>
  <c r="C34" i="1"/>
  <c r="C37" i="1"/>
  <c r="C38" i="1"/>
  <c r="C20" i="1"/>
  <c r="C10" i="1" a="1"/>
  <c r="D10" i="1" s="1"/>
  <c r="C10" i="1"/>
  <c r="F10" i="1"/>
  <c r="C11" i="1"/>
  <c r="F11" i="1"/>
  <c r="C12" i="1"/>
  <c r="F12" i="1"/>
  <c r="C13" i="1"/>
  <c r="F13" i="1"/>
  <c r="C14" i="1"/>
  <c r="F14" i="1"/>
  <c r="C15" i="1"/>
  <c r="F15" i="1"/>
  <c r="C16" i="1"/>
  <c r="F16" i="1"/>
  <c r="C17" i="1"/>
  <c r="F17" i="1"/>
  <c r="C18" i="1"/>
  <c r="F18" i="1"/>
  <c r="C19" i="1"/>
  <c r="F19" i="1"/>
  <c r="B30" i="1" a="1"/>
  <c r="B30" i="1" s="1"/>
  <c r="B20" i="1" a="1"/>
  <c r="B20" i="1" s="1"/>
  <c r="B10" i="1" a="1"/>
  <c r="B10" i="1" s="1"/>
  <c r="M5" i="1"/>
  <c r="B12" i="5" l="1"/>
  <c r="D16" i="5"/>
  <c r="D17" i="5" s="1"/>
  <c r="D18" i="5" s="1"/>
  <c r="D19" i="5" s="1"/>
  <c r="B2" i="6"/>
  <c r="F6" i="5"/>
  <c r="F7" i="5" s="1"/>
  <c r="F8" i="5" s="1"/>
  <c r="F2" i="5"/>
  <c r="C5" i="4"/>
  <c r="F9" i="4"/>
  <c r="B4" i="4"/>
  <c r="B7" i="4"/>
  <c r="C5" i="3"/>
  <c r="C4" i="6" s="1"/>
  <c r="C5" i="2"/>
  <c r="C2" i="6" s="1"/>
  <c r="E19" i="1"/>
  <c r="E18" i="1"/>
  <c r="E17" i="1"/>
  <c r="E16" i="1"/>
  <c r="E15" i="1"/>
  <c r="E14" i="1"/>
  <c r="E13" i="1"/>
  <c r="E12" i="1"/>
  <c r="E11" i="1"/>
  <c r="E10" i="1"/>
  <c r="D19" i="1"/>
  <c r="D18" i="1"/>
  <c r="D17" i="1"/>
  <c r="D16" i="1"/>
  <c r="D15" i="1"/>
  <c r="D14" i="1"/>
  <c r="D13" i="1"/>
  <c r="D12" i="1"/>
  <c r="D11" i="1"/>
  <c r="B39" i="1"/>
  <c r="B35" i="1"/>
  <c r="B38" i="1"/>
  <c r="B34" i="1"/>
  <c r="B37" i="1"/>
  <c r="B33" i="1"/>
  <c r="B36" i="1"/>
  <c r="B32" i="1"/>
  <c r="B31" i="1"/>
  <c r="B28" i="1"/>
  <c r="B24" i="1"/>
  <c r="B27" i="1"/>
  <c r="B23" i="1"/>
  <c r="B26" i="1"/>
  <c r="B22" i="1"/>
  <c r="B29" i="1"/>
  <c r="B25" i="1"/>
  <c r="B21" i="1"/>
  <c r="B12" i="1"/>
  <c r="B17" i="1"/>
  <c r="B13" i="1"/>
  <c r="B16" i="1"/>
  <c r="B19" i="1"/>
  <c r="B15" i="1"/>
  <c r="B11" i="1"/>
  <c r="B18" i="1"/>
  <c r="B14" i="1"/>
  <c r="B3" i="6" l="1"/>
  <c r="B8" i="6"/>
  <c r="F9" i="5"/>
  <c r="E11" i="4"/>
  <c r="C7" i="4"/>
  <c r="B8" i="4"/>
  <c r="B9" i="4" s="1"/>
  <c r="B10" i="4" s="1"/>
  <c r="C6" i="3"/>
  <c r="D4" i="6" s="1"/>
  <c r="C7" i="3"/>
  <c r="F4" i="6" s="1"/>
  <c r="C6" i="2"/>
  <c r="C7" i="2"/>
  <c r="E2" i="6" s="1"/>
  <c r="B4" i="6" l="1"/>
  <c r="B9" i="6"/>
  <c r="C3" i="5"/>
  <c r="C10" i="6" s="1"/>
  <c r="C4" i="5"/>
  <c r="C5" i="5" s="1"/>
  <c r="C8" i="5" s="1"/>
  <c r="C3" i="4"/>
  <c r="C8" i="6" s="1"/>
  <c r="B11" i="4"/>
  <c r="C8" i="4"/>
  <c r="C10" i="4"/>
  <c r="D11" i="5" l="1"/>
  <c r="D8" i="5"/>
  <c r="F10" i="6" s="1"/>
  <c r="B5" i="6"/>
  <c r="B11" i="6" s="1"/>
  <c r="B10" i="6"/>
  <c r="C6" i="5"/>
  <c r="D9" i="5" s="1"/>
  <c r="C7" i="5"/>
  <c r="B12" i="4"/>
  <c r="C9" i="4"/>
  <c r="D6" i="5" l="1"/>
  <c r="D10" i="6" s="1"/>
  <c r="D7" i="5"/>
  <c r="D10" i="5"/>
  <c r="B13" i="4"/>
  <c r="B14" i="4"/>
  <c r="C15" i="4" s="1"/>
  <c r="I8" i="6" s="1"/>
  <c r="E10" i="6" l="1"/>
  <c r="C13" i="4"/>
  <c r="D8" i="6" s="1"/>
  <c r="C14" i="4"/>
  <c r="E8" i="6" s="1"/>
</calcChain>
</file>

<file path=xl/sharedStrings.xml><?xml version="1.0" encoding="utf-8"?>
<sst xmlns="http://schemas.openxmlformats.org/spreadsheetml/2006/main" count="115" uniqueCount="63">
  <si>
    <t>U</t>
  </si>
  <si>
    <t>R</t>
  </si>
  <si>
    <t>f</t>
  </si>
  <si>
    <t>XL</t>
  </si>
  <si>
    <t>XC</t>
  </si>
  <si>
    <t>Variant</t>
  </si>
  <si>
    <t>Xl</t>
  </si>
  <si>
    <t>Xc</t>
  </si>
  <si>
    <t>Calculations</t>
  </si>
  <si>
    <t>Name</t>
  </si>
  <si>
    <t>Formula</t>
  </si>
  <si>
    <t>Result</t>
  </si>
  <si>
    <t>Z</t>
  </si>
  <si>
    <t>sqrt(R^2+(Xl-Xc)^2)</t>
  </si>
  <si>
    <t>I</t>
  </si>
  <si>
    <t>E/Z</t>
  </si>
  <si>
    <t>UR</t>
  </si>
  <si>
    <t>I*R</t>
  </si>
  <si>
    <t>UL</t>
  </si>
  <si>
    <t>XL*I</t>
  </si>
  <si>
    <t>fi</t>
  </si>
  <si>
    <t>arctg(XL/R)</t>
  </si>
  <si>
    <t>Calcs</t>
  </si>
  <si>
    <t>C</t>
  </si>
  <si>
    <t>1/omega*Xc</t>
  </si>
  <si>
    <t>pF</t>
  </si>
  <si>
    <t>L</t>
  </si>
  <si>
    <t>XL/omega</t>
  </si>
  <si>
    <t>mH</t>
  </si>
  <si>
    <t>UC</t>
  </si>
  <si>
    <t>XC*I</t>
  </si>
  <si>
    <t>BL</t>
  </si>
  <si>
    <t>G</t>
  </si>
  <si>
    <t>ZL</t>
  </si>
  <si>
    <t>ZR</t>
  </si>
  <si>
    <t>ZLRR</t>
  </si>
  <si>
    <t>ZI</t>
  </si>
  <si>
    <t>GLR</t>
  </si>
  <si>
    <t xml:space="preserve">ZLR </t>
  </si>
  <si>
    <t>IR</t>
  </si>
  <si>
    <t>URL</t>
  </si>
  <si>
    <t>IL</t>
  </si>
  <si>
    <t>arctg((BL-Bc)G) * (-1)</t>
  </si>
  <si>
    <t>fiR</t>
  </si>
  <si>
    <t>fiL</t>
  </si>
  <si>
    <t>Zc</t>
  </si>
  <si>
    <t>Zl</t>
  </si>
  <si>
    <t>ZRC</t>
  </si>
  <si>
    <t>GRC</t>
  </si>
  <si>
    <t>ZRCL</t>
  </si>
  <si>
    <t>Zu</t>
  </si>
  <si>
    <t>URC</t>
  </si>
  <si>
    <t>Schem</t>
  </si>
  <si>
    <t>Measured</t>
  </si>
  <si>
    <t>E</t>
  </si>
  <si>
    <t>fi1</t>
  </si>
  <si>
    <t>fi2</t>
  </si>
  <si>
    <t>IC</t>
  </si>
  <si>
    <t>X</t>
  </si>
  <si>
    <t>fiC</t>
  </si>
  <si>
    <t>BC</t>
  </si>
  <si>
    <t>BL-BC</t>
  </si>
  <si>
    <t>(BL-BC)/G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</si>
</sst>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opLeftCell="D1" workbookViewId="0">
      <selection activeCell="N4" sqref="N4"/>
    </sheetView>
  </sheetViews>
  <sheetFormatPr defaultRowHeight="15" x14ac:dyDescent="0.25"/>
  <sheetData>
    <row r="1" spans="1:1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7" x14ac:dyDescent="0.25">
      <c r="A2" s="1" t="s">
        <v>0</v>
      </c>
      <c r="B2" s="1">
        <v>45</v>
      </c>
      <c r="C2" s="1">
        <v>50</v>
      </c>
      <c r="D2" s="1">
        <v>55</v>
      </c>
      <c r="E2" s="1">
        <v>60</v>
      </c>
      <c r="F2" s="1">
        <v>65</v>
      </c>
      <c r="G2" s="1">
        <v>45</v>
      </c>
      <c r="H2" s="1">
        <v>50</v>
      </c>
      <c r="I2" s="1">
        <v>55</v>
      </c>
      <c r="J2" s="1">
        <v>60</v>
      </c>
      <c r="K2" s="1">
        <v>65</v>
      </c>
    </row>
    <row r="3" spans="1:17" x14ac:dyDescent="0.25">
      <c r="A3" s="1" t="s">
        <v>0</v>
      </c>
      <c r="B3" s="1">
        <v>75</v>
      </c>
      <c r="C3" s="1">
        <v>80</v>
      </c>
      <c r="D3" s="1">
        <v>85</v>
      </c>
      <c r="E3" s="1">
        <v>90</v>
      </c>
      <c r="F3" s="1">
        <v>100</v>
      </c>
      <c r="G3" s="1">
        <v>120</v>
      </c>
      <c r="H3" s="1">
        <v>140</v>
      </c>
      <c r="I3" s="1">
        <v>160</v>
      </c>
      <c r="J3" s="1">
        <v>180</v>
      </c>
      <c r="K3" s="1">
        <v>200</v>
      </c>
      <c r="M3" s="1" t="s">
        <v>5</v>
      </c>
      <c r="N3" s="4">
        <v>3</v>
      </c>
      <c r="O3" s="4"/>
      <c r="P3" s="4"/>
      <c r="Q3" s="4"/>
    </row>
    <row r="4" spans="1:17" x14ac:dyDescent="0.25">
      <c r="A4" s="1" t="s">
        <v>0</v>
      </c>
      <c r="B4" s="1">
        <v>250</v>
      </c>
      <c r="C4" s="1">
        <v>300</v>
      </c>
      <c r="D4" s="1">
        <v>350</v>
      </c>
      <c r="E4" s="1">
        <v>400</v>
      </c>
      <c r="F4" s="1">
        <v>450</v>
      </c>
      <c r="G4" s="1">
        <v>500</v>
      </c>
      <c r="H4" s="1">
        <v>550</v>
      </c>
      <c r="I4" s="1">
        <v>600</v>
      </c>
      <c r="J4" s="1">
        <v>700</v>
      </c>
      <c r="K4" s="1">
        <v>750</v>
      </c>
      <c r="M4" s="1" t="s">
        <v>0</v>
      </c>
      <c r="N4" s="1" t="s">
        <v>1</v>
      </c>
      <c r="O4" s="1" t="s">
        <v>2</v>
      </c>
      <c r="P4" s="1" t="s">
        <v>6</v>
      </c>
      <c r="Q4" s="1" t="s">
        <v>7</v>
      </c>
    </row>
    <row r="5" spans="1:17" x14ac:dyDescent="0.25">
      <c r="A5" s="1" t="s">
        <v>1</v>
      </c>
      <c r="B5" s="1">
        <v>35</v>
      </c>
      <c r="C5" s="1">
        <v>40</v>
      </c>
      <c r="D5" s="1">
        <v>45</v>
      </c>
      <c r="E5" s="1">
        <v>50</v>
      </c>
      <c r="F5" s="1">
        <v>55</v>
      </c>
      <c r="G5" s="1">
        <v>40</v>
      </c>
      <c r="H5" s="1">
        <v>45</v>
      </c>
      <c r="I5" s="1">
        <v>50</v>
      </c>
      <c r="J5" s="1">
        <v>55</v>
      </c>
      <c r="K5" s="1">
        <v>60</v>
      </c>
      <c r="M5" s="1">
        <f ca="1">INDIRECT(_xlfn.CONCAT("B",N3+9 ))</f>
        <v>55</v>
      </c>
      <c r="N5" s="1">
        <f ca="1">INDIRECT(_xlfn.CONCAT("C",N3+9 ))*1000</f>
        <v>45000</v>
      </c>
      <c r="O5" s="1">
        <f ca="1">INDIRECT(_xlfn.CONCAT("D",N3+9 ))*1000</f>
        <v>70000</v>
      </c>
      <c r="P5" s="1">
        <f ca="1">INDIRECT(_xlfn.CONCAT("E",N3+9 ))*1000</f>
        <v>55000</v>
      </c>
      <c r="Q5" s="1">
        <f ca="1">INDIRECT(_xlfn.CONCAT("F",N3+9 ))*1000</f>
        <v>50000</v>
      </c>
    </row>
    <row r="6" spans="1:17" x14ac:dyDescent="0.25">
      <c r="A6" s="1" t="s">
        <v>2</v>
      </c>
      <c r="B6" s="1">
        <v>50</v>
      </c>
      <c r="C6" s="1">
        <v>60</v>
      </c>
      <c r="D6" s="1">
        <v>70</v>
      </c>
      <c r="E6" s="1">
        <v>80</v>
      </c>
      <c r="F6" s="1">
        <v>90</v>
      </c>
      <c r="G6" s="1">
        <v>100</v>
      </c>
      <c r="H6" s="1">
        <v>110</v>
      </c>
      <c r="I6" s="1">
        <v>120</v>
      </c>
      <c r="J6" s="1">
        <v>130</v>
      </c>
      <c r="K6" s="1">
        <v>140</v>
      </c>
    </row>
    <row r="7" spans="1:17" x14ac:dyDescent="0.25">
      <c r="A7" s="1" t="s">
        <v>3</v>
      </c>
      <c r="B7" s="1">
        <v>45</v>
      </c>
      <c r="C7" s="1">
        <v>50</v>
      </c>
      <c r="D7" s="1">
        <v>55</v>
      </c>
      <c r="E7" s="1">
        <v>60</v>
      </c>
      <c r="F7" s="1">
        <v>65</v>
      </c>
      <c r="G7" s="1">
        <v>50</v>
      </c>
      <c r="H7" s="1">
        <v>55</v>
      </c>
      <c r="I7" s="1">
        <v>60</v>
      </c>
      <c r="J7" s="1">
        <v>65</v>
      </c>
      <c r="K7" s="1">
        <v>70</v>
      </c>
    </row>
    <row r="8" spans="1:17" x14ac:dyDescent="0.25">
      <c r="A8" s="1" t="s">
        <v>4</v>
      </c>
      <c r="B8" s="1">
        <v>40</v>
      </c>
      <c r="C8" s="1">
        <v>45</v>
      </c>
      <c r="D8" s="1">
        <v>50</v>
      </c>
      <c r="E8" s="1">
        <v>55</v>
      </c>
      <c r="F8" s="1">
        <v>60</v>
      </c>
      <c r="G8" s="1">
        <v>45</v>
      </c>
      <c r="H8" s="1">
        <v>50</v>
      </c>
      <c r="I8" s="1">
        <v>55</v>
      </c>
      <c r="J8" s="1">
        <v>60</v>
      </c>
      <c r="K8" s="1">
        <v>65</v>
      </c>
    </row>
    <row r="9" spans="1:17" x14ac:dyDescent="0.25">
      <c r="B9" t="s">
        <v>0</v>
      </c>
      <c r="C9" t="str">
        <f t="array" ref="C9:F9">TRANSPOSE(A5:A8)</f>
        <v>R</v>
      </c>
      <c r="D9" t="str">
        <v>f</v>
      </c>
      <c r="E9" t="str">
        <v>XL</v>
      </c>
      <c r="F9" t="str">
        <v>XC</v>
      </c>
    </row>
    <row r="10" spans="1:17" x14ac:dyDescent="0.25">
      <c r="A10">
        <v>1</v>
      </c>
      <c r="B10">
        <f t="array" ref="B10:B19">TRANSPOSE(B2:K2)</f>
        <v>45</v>
      </c>
      <c r="C10">
        <f t="array" ref="C10:F19">TRANSPOSE(B5:K8)</f>
        <v>35</v>
      </c>
      <c r="D10">
        <v>50</v>
      </c>
      <c r="E10">
        <v>45</v>
      </c>
      <c r="F10">
        <v>40</v>
      </c>
    </row>
    <row r="11" spans="1:17" x14ac:dyDescent="0.25">
      <c r="A11">
        <v>2</v>
      </c>
      <c r="B11">
        <v>50</v>
      </c>
      <c r="C11">
        <v>40</v>
      </c>
      <c r="D11">
        <v>60</v>
      </c>
      <c r="E11">
        <v>50</v>
      </c>
      <c r="F11">
        <v>45</v>
      </c>
    </row>
    <row r="12" spans="1:17" x14ac:dyDescent="0.25">
      <c r="A12">
        <v>3</v>
      </c>
      <c r="B12">
        <v>55</v>
      </c>
      <c r="C12">
        <v>45</v>
      </c>
      <c r="D12">
        <v>70</v>
      </c>
      <c r="E12">
        <v>55</v>
      </c>
      <c r="F12">
        <v>50</v>
      </c>
    </row>
    <row r="13" spans="1:17" x14ac:dyDescent="0.25">
      <c r="A13">
        <v>4</v>
      </c>
      <c r="B13">
        <v>60</v>
      </c>
      <c r="C13">
        <v>50</v>
      </c>
      <c r="D13">
        <v>80</v>
      </c>
      <c r="E13">
        <v>60</v>
      </c>
      <c r="F13">
        <v>55</v>
      </c>
    </row>
    <row r="14" spans="1:17" x14ac:dyDescent="0.25">
      <c r="A14">
        <v>5</v>
      </c>
      <c r="B14">
        <v>65</v>
      </c>
      <c r="C14">
        <v>55</v>
      </c>
      <c r="D14">
        <v>90</v>
      </c>
      <c r="E14">
        <v>65</v>
      </c>
      <c r="F14">
        <v>60</v>
      </c>
    </row>
    <row r="15" spans="1:17" x14ac:dyDescent="0.25">
      <c r="A15">
        <v>6</v>
      </c>
      <c r="B15">
        <v>45</v>
      </c>
      <c r="C15">
        <v>40</v>
      </c>
      <c r="D15">
        <v>100</v>
      </c>
      <c r="E15">
        <v>50</v>
      </c>
      <c r="F15">
        <v>45</v>
      </c>
    </row>
    <row r="16" spans="1:17" x14ac:dyDescent="0.25">
      <c r="A16">
        <v>7</v>
      </c>
      <c r="B16">
        <v>50</v>
      </c>
      <c r="C16">
        <v>45</v>
      </c>
      <c r="D16">
        <v>110</v>
      </c>
      <c r="E16">
        <v>55</v>
      </c>
      <c r="F16">
        <v>50</v>
      </c>
    </row>
    <row r="17" spans="1:6" x14ac:dyDescent="0.25">
      <c r="A17">
        <v>8</v>
      </c>
      <c r="B17">
        <v>55</v>
      </c>
      <c r="C17">
        <v>50</v>
      </c>
      <c r="D17">
        <v>120</v>
      </c>
      <c r="E17">
        <v>60</v>
      </c>
      <c r="F17">
        <v>55</v>
      </c>
    </row>
    <row r="18" spans="1:6" x14ac:dyDescent="0.25">
      <c r="A18">
        <v>9</v>
      </c>
      <c r="B18">
        <v>60</v>
      </c>
      <c r="C18">
        <v>55</v>
      </c>
      <c r="D18">
        <v>130</v>
      </c>
      <c r="E18">
        <v>65</v>
      </c>
      <c r="F18">
        <v>60</v>
      </c>
    </row>
    <row r="19" spans="1:6" x14ac:dyDescent="0.25">
      <c r="A19">
        <v>10</v>
      </c>
      <c r="B19">
        <v>65</v>
      </c>
      <c r="C19">
        <v>60</v>
      </c>
      <c r="D19">
        <v>140</v>
      </c>
      <c r="E19">
        <v>70</v>
      </c>
      <c r="F19">
        <v>65</v>
      </c>
    </row>
    <row r="20" spans="1:6" x14ac:dyDescent="0.25">
      <c r="A20">
        <v>11</v>
      </c>
      <c r="B20">
        <f t="array" ref="B20:B29">TRANSPOSE(B3:K3)</f>
        <v>75</v>
      </c>
      <c r="C20">
        <f>C10</f>
        <v>35</v>
      </c>
      <c r="D20">
        <f t="shared" ref="D20:F20" si="0">D10</f>
        <v>50</v>
      </c>
      <c r="E20">
        <f t="shared" si="0"/>
        <v>45</v>
      </c>
      <c r="F20">
        <f t="shared" si="0"/>
        <v>40</v>
      </c>
    </row>
    <row r="21" spans="1:6" x14ac:dyDescent="0.25">
      <c r="A21">
        <v>12</v>
      </c>
      <c r="B21">
        <v>80</v>
      </c>
      <c r="C21">
        <f t="shared" ref="C21:F39" si="1">C11</f>
        <v>40</v>
      </c>
      <c r="D21">
        <f t="shared" si="1"/>
        <v>60</v>
      </c>
      <c r="E21">
        <f t="shared" si="1"/>
        <v>50</v>
      </c>
      <c r="F21">
        <f t="shared" si="1"/>
        <v>45</v>
      </c>
    </row>
    <row r="22" spans="1:6" x14ac:dyDescent="0.25">
      <c r="A22">
        <v>13</v>
      </c>
      <c r="B22">
        <v>85</v>
      </c>
      <c r="C22">
        <f t="shared" si="1"/>
        <v>45</v>
      </c>
      <c r="D22">
        <f t="shared" si="1"/>
        <v>70</v>
      </c>
      <c r="E22">
        <f t="shared" si="1"/>
        <v>55</v>
      </c>
      <c r="F22">
        <f t="shared" si="1"/>
        <v>50</v>
      </c>
    </row>
    <row r="23" spans="1:6" x14ac:dyDescent="0.25">
      <c r="A23">
        <v>14</v>
      </c>
      <c r="B23">
        <v>90</v>
      </c>
      <c r="C23">
        <f t="shared" si="1"/>
        <v>50</v>
      </c>
      <c r="D23">
        <f t="shared" si="1"/>
        <v>80</v>
      </c>
      <c r="E23">
        <f t="shared" si="1"/>
        <v>60</v>
      </c>
      <c r="F23">
        <f t="shared" si="1"/>
        <v>55</v>
      </c>
    </row>
    <row r="24" spans="1:6" x14ac:dyDescent="0.25">
      <c r="A24">
        <v>15</v>
      </c>
      <c r="B24">
        <v>100</v>
      </c>
      <c r="C24">
        <f t="shared" si="1"/>
        <v>55</v>
      </c>
      <c r="D24">
        <f t="shared" si="1"/>
        <v>90</v>
      </c>
      <c r="E24">
        <f t="shared" si="1"/>
        <v>65</v>
      </c>
      <c r="F24">
        <f t="shared" si="1"/>
        <v>60</v>
      </c>
    </row>
    <row r="25" spans="1:6" x14ac:dyDescent="0.25">
      <c r="A25">
        <v>16</v>
      </c>
      <c r="B25">
        <v>120</v>
      </c>
      <c r="C25">
        <f t="shared" si="1"/>
        <v>40</v>
      </c>
      <c r="D25">
        <f t="shared" si="1"/>
        <v>100</v>
      </c>
      <c r="E25">
        <f t="shared" si="1"/>
        <v>50</v>
      </c>
      <c r="F25">
        <f t="shared" si="1"/>
        <v>45</v>
      </c>
    </row>
    <row r="26" spans="1:6" x14ac:dyDescent="0.25">
      <c r="A26">
        <v>17</v>
      </c>
      <c r="B26">
        <v>140</v>
      </c>
      <c r="C26">
        <f t="shared" si="1"/>
        <v>45</v>
      </c>
      <c r="D26">
        <f t="shared" si="1"/>
        <v>110</v>
      </c>
      <c r="E26">
        <f t="shared" si="1"/>
        <v>55</v>
      </c>
      <c r="F26">
        <f t="shared" si="1"/>
        <v>50</v>
      </c>
    </row>
    <row r="27" spans="1:6" x14ac:dyDescent="0.25">
      <c r="A27">
        <v>18</v>
      </c>
      <c r="B27">
        <v>160</v>
      </c>
      <c r="C27">
        <f t="shared" si="1"/>
        <v>50</v>
      </c>
      <c r="D27">
        <f t="shared" si="1"/>
        <v>120</v>
      </c>
      <c r="E27">
        <f t="shared" si="1"/>
        <v>60</v>
      </c>
      <c r="F27">
        <f t="shared" si="1"/>
        <v>55</v>
      </c>
    </row>
    <row r="28" spans="1:6" x14ac:dyDescent="0.25">
      <c r="A28">
        <v>19</v>
      </c>
      <c r="B28">
        <v>180</v>
      </c>
      <c r="C28">
        <f t="shared" si="1"/>
        <v>55</v>
      </c>
      <c r="D28">
        <f t="shared" si="1"/>
        <v>130</v>
      </c>
      <c r="E28">
        <f t="shared" si="1"/>
        <v>65</v>
      </c>
      <c r="F28">
        <f t="shared" si="1"/>
        <v>60</v>
      </c>
    </row>
    <row r="29" spans="1:6" x14ac:dyDescent="0.25">
      <c r="A29">
        <v>20</v>
      </c>
      <c r="B29">
        <v>200</v>
      </c>
      <c r="C29">
        <f t="shared" si="1"/>
        <v>60</v>
      </c>
      <c r="D29">
        <f t="shared" si="1"/>
        <v>140</v>
      </c>
      <c r="E29">
        <f t="shared" si="1"/>
        <v>70</v>
      </c>
      <c r="F29">
        <f t="shared" si="1"/>
        <v>65</v>
      </c>
    </row>
    <row r="30" spans="1:6" x14ac:dyDescent="0.25">
      <c r="A30">
        <v>21</v>
      </c>
      <c r="B30">
        <f t="array" ref="B30:B39">TRANSPOSE(B4:K4)</f>
        <v>250</v>
      </c>
      <c r="C30">
        <f t="shared" si="1"/>
        <v>35</v>
      </c>
      <c r="D30">
        <f t="shared" si="1"/>
        <v>50</v>
      </c>
      <c r="E30">
        <f t="shared" si="1"/>
        <v>45</v>
      </c>
      <c r="F30">
        <f t="shared" si="1"/>
        <v>40</v>
      </c>
    </row>
    <row r="31" spans="1:6" x14ac:dyDescent="0.25">
      <c r="A31">
        <v>22</v>
      </c>
      <c r="B31">
        <v>300</v>
      </c>
      <c r="C31">
        <f t="shared" si="1"/>
        <v>40</v>
      </c>
      <c r="D31">
        <f t="shared" si="1"/>
        <v>60</v>
      </c>
      <c r="E31">
        <f t="shared" si="1"/>
        <v>50</v>
      </c>
      <c r="F31">
        <f t="shared" si="1"/>
        <v>45</v>
      </c>
    </row>
    <row r="32" spans="1:6" x14ac:dyDescent="0.25">
      <c r="A32">
        <v>23</v>
      </c>
      <c r="B32">
        <v>350</v>
      </c>
      <c r="C32">
        <f t="shared" si="1"/>
        <v>45</v>
      </c>
      <c r="D32">
        <f t="shared" si="1"/>
        <v>70</v>
      </c>
      <c r="E32">
        <f t="shared" si="1"/>
        <v>55</v>
      </c>
      <c r="F32">
        <f t="shared" si="1"/>
        <v>50</v>
      </c>
    </row>
    <row r="33" spans="1:6" x14ac:dyDescent="0.25">
      <c r="A33">
        <v>24</v>
      </c>
      <c r="B33">
        <v>400</v>
      </c>
      <c r="C33">
        <f t="shared" si="1"/>
        <v>50</v>
      </c>
      <c r="D33">
        <f t="shared" si="1"/>
        <v>80</v>
      </c>
      <c r="E33">
        <f t="shared" si="1"/>
        <v>60</v>
      </c>
      <c r="F33">
        <f t="shared" si="1"/>
        <v>55</v>
      </c>
    </row>
    <row r="34" spans="1:6" x14ac:dyDescent="0.25">
      <c r="A34">
        <v>25</v>
      </c>
      <c r="B34">
        <v>450</v>
      </c>
      <c r="C34">
        <f t="shared" si="1"/>
        <v>55</v>
      </c>
      <c r="D34">
        <f t="shared" si="1"/>
        <v>90</v>
      </c>
      <c r="E34">
        <f t="shared" si="1"/>
        <v>65</v>
      </c>
      <c r="F34">
        <f t="shared" si="1"/>
        <v>60</v>
      </c>
    </row>
    <row r="35" spans="1:6" x14ac:dyDescent="0.25">
      <c r="A35">
        <v>26</v>
      </c>
      <c r="B35">
        <v>500</v>
      </c>
      <c r="C35">
        <f t="shared" si="1"/>
        <v>40</v>
      </c>
      <c r="D35">
        <f t="shared" si="1"/>
        <v>100</v>
      </c>
      <c r="E35">
        <f t="shared" si="1"/>
        <v>50</v>
      </c>
      <c r="F35">
        <f t="shared" si="1"/>
        <v>45</v>
      </c>
    </row>
    <row r="36" spans="1:6" x14ac:dyDescent="0.25">
      <c r="A36">
        <v>27</v>
      </c>
      <c r="B36">
        <v>550</v>
      </c>
      <c r="C36">
        <f t="shared" si="1"/>
        <v>45</v>
      </c>
      <c r="D36">
        <f t="shared" si="1"/>
        <v>110</v>
      </c>
      <c r="E36">
        <f t="shared" si="1"/>
        <v>55</v>
      </c>
      <c r="F36">
        <f t="shared" si="1"/>
        <v>50</v>
      </c>
    </row>
    <row r="37" spans="1:6" x14ac:dyDescent="0.25">
      <c r="A37">
        <v>28</v>
      </c>
      <c r="B37">
        <v>600</v>
      </c>
      <c r="C37">
        <f t="shared" si="1"/>
        <v>50</v>
      </c>
      <c r="D37">
        <f t="shared" si="1"/>
        <v>120</v>
      </c>
      <c r="E37">
        <f t="shared" si="1"/>
        <v>60</v>
      </c>
      <c r="F37">
        <f t="shared" si="1"/>
        <v>55</v>
      </c>
    </row>
    <row r="38" spans="1:6" x14ac:dyDescent="0.25">
      <c r="A38">
        <v>29</v>
      </c>
      <c r="B38">
        <v>700</v>
      </c>
      <c r="C38">
        <f t="shared" si="1"/>
        <v>55</v>
      </c>
      <c r="D38">
        <f t="shared" si="1"/>
        <v>130</v>
      </c>
      <c r="E38">
        <f t="shared" si="1"/>
        <v>65</v>
      </c>
      <c r="F38">
        <f t="shared" si="1"/>
        <v>60</v>
      </c>
    </row>
    <row r="39" spans="1:6" x14ac:dyDescent="0.25">
      <c r="A39">
        <v>30</v>
      </c>
      <c r="B39">
        <v>750</v>
      </c>
      <c r="C39">
        <f t="shared" si="1"/>
        <v>60</v>
      </c>
      <c r="D39">
        <f t="shared" si="1"/>
        <v>140</v>
      </c>
      <c r="E39">
        <f t="shared" si="1"/>
        <v>70</v>
      </c>
      <c r="F39">
        <f t="shared" si="1"/>
        <v>65</v>
      </c>
    </row>
  </sheetData>
  <mergeCells count="1">
    <mergeCell ref="N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A128-0D8A-43FB-9D0D-EB47FABF8C16}">
  <dimension ref="A1:D8"/>
  <sheetViews>
    <sheetView workbookViewId="0">
      <selection activeCell="C8" sqref="C8"/>
    </sheetView>
  </sheetViews>
  <sheetFormatPr defaultRowHeight="15" x14ac:dyDescent="0.25"/>
  <cols>
    <col min="1" max="1" width="14.85546875" customWidth="1"/>
    <col min="2" max="2" width="17.42578125" customWidth="1"/>
    <col min="3" max="3" width="12" customWidth="1"/>
  </cols>
  <sheetData>
    <row r="1" spans="1:4" x14ac:dyDescent="0.25">
      <c r="A1" t="s">
        <v>8</v>
      </c>
    </row>
    <row r="2" spans="1:4" x14ac:dyDescent="0.25">
      <c r="A2" t="s">
        <v>9</v>
      </c>
      <c r="B2" t="s">
        <v>10</v>
      </c>
      <c r="C2" t="s">
        <v>11</v>
      </c>
    </row>
    <row r="3" spans="1:4" x14ac:dyDescent="0.25">
      <c r="A3" t="s">
        <v>26</v>
      </c>
      <c r="B3" t="s">
        <v>27</v>
      </c>
      <c r="C3">
        <f ca="1">Data!P5/(3.14*2*Data!O5)*10^3</f>
        <v>125.11373976342129</v>
      </c>
      <c r="D3" t="s">
        <v>28</v>
      </c>
    </row>
    <row r="4" spans="1:4" x14ac:dyDescent="0.25">
      <c r="A4" t="s">
        <v>12</v>
      </c>
      <c r="B4" t="s">
        <v>13</v>
      </c>
      <c r="C4">
        <f ca="1">SQRT(Data!N5*Data!N5+(Data!P5)^2)</f>
        <v>71063.352017759476</v>
      </c>
    </row>
    <row r="5" spans="1:4" x14ac:dyDescent="0.25">
      <c r="A5" t="s">
        <v>14</v>
      </c>
      <c r="B5" t="s">
        <v>15</v>
      </c>
      <c r="C5">
        <f ca="1">Data!M5/Schem1!C4</f>
        <v>7.73957299203321E-4</v>
      </c>
    </row>
    <row r="6" spans="1:4" x14ac:dyDescent="0.25">
      <c r="A6" t="s">
        <v>16</v>
      </c>
      <c r="B6" t="s">
        <v>17</v>
      </c>
      <c r="C6">
        <f ca="1">Data!N5*Schem1!C5</f>
        <v>34.828078464149442</v>
      </c>
    </row>
    <row r="7" spans="1:4" x14ac:dyDescent="0.25">
      <c r="A7" t="s">
        <v>18</v>
      </c>
      <c r="B7" t="s">
        <v>19</v>
      </c>
      <c r="C7">
        <f ca="1">Data!P5*Schem1!C5</f>
        <v>42.567651456182652</v>
      </c>
    </row>
    <row r="8" spans="1:4" x14ac:dyDescent="0.25">
      <c r="A8" t="s">
        <v>20</v>
      </c>
      <c r="B8" t="s">
        <v>21</v>
      </c>
      <c r="C8">
        <f ca="1">_xlfn.ACOT(Data!P5/Data!N5)*180/PI()</f>
        <v>39.289406862500357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750A-E375-4C35-B8B4-986005EE5ADA}">
  <dimension ref="A1:D8"/>
  <sheetViews>
    <sheetView workbookViewId="0">
      <selection activeCell="C6" sqref="C6"/>
    </sheetView>
  </sheetViews>
  <sheetFormatPr defaultRowHeight="15" x14ac:dyDescent="0.25"/>
  <cols>
    <col min="2" max="2" width="17.85546875" customWidth="1"/>
    <col min="3" max="3" width="12" bestFit="1" customWidth="1"/>
  </cols>
  <sheetData>
    <row r="1" spans="1:4" x14ac:dyDescent="0.25">
      <c r="A1" s="5" t="s">
        <v>22</v>
      </c>
      <c r="B1" s="5"/>
      <c r="C1" s="5"/>
    </row>
    <row r="2" spans="1:4" x14ac:dyDescent="0.25">
      <c r="A2" t="s">
        <v>9</v>
      </c>
      <c r="B2" t="s">
        <v>10</v>
      </c>
      <c r="C2" t="s">
        <v>11</v>
      </c>
    </row>
    <row r="3" spans="1:4" x14ac:dyDescent="0.25">
      <c r="A3" t="s">
        <v>23</v>
      </c>
      <c r="B3" t="s">
        <v>24</v>
      </c>
      <c r="C3">
        <f ca="1">1/(Data!O5*2*3.14*Data!Q5)*10^12</f>
        <v>45.49590536851683</v>
      </c>
      <c r="D3" t="s">
        <v>25</v>
      </c>
    </row>
    <row r="4" spans="1:4" x14ac:dyDescent="0.25">
      <c r="A4" t="s">
        <v>12</v>
      </c>
      <c r="B4" t="str">
        <f>Schem1!B4</f>
        <v>sqrt(R^2+(Xl-Xc)^2)</v>
      </c>
      <c r="C4">
        <f ca="1">SQRT(Data!N5*Data!N5+(Data!Q5)^2)</f>
        <v>67268.120235368551</v>
      </c>
    </row>
    <row r="5" spans="1:4" x14ac:dyDescent="0.25">
      <c r="A5" t="str">
        <f>Schem1!A5</f>
        <v>I</v>
      </c>
      <c r="B5" t="str">
        <f>Schem1!B5</f>
        <v>E/Z</v>
      </c>
      <c r="C5">
        <f ca="1">Data!M5/Schem2!C4</f>
        <v>8.1762356087188297E-4</v>
      </c>
    </row>
    <row r="6" spans="1:4" x14ac:dyDescent="0.25">
      <c r="A6" t="str">
        <f>Schem1!A6</f>
        <v>UR</v>
      </c>
      <c r="B6" t="str">
        <f>Schem1!B6</f>
        <v>I*R</v>
      </c>
      <c r="C6">
        <f ca="1">Data!N5*Schem2!C5</f>
        <v>36.793060239234734</v>
      </c>
    </row>
    <row r="7" spans="1:4" x14ac:dyDescent="0.25">
      <c r="A7" t="s">
        <v>29</v>
      </c>
      <c r="B7" t="s">
        <v>30</v>
      </c>
      <c r="C7">
        <f ca="1">Data!Q5*Schem2!C5</f>
        <v>40.881178043594147</v>
      </c>
    </row>
    <row r="8" spans="1:4" x14ac:dyDescent="0.25">
      <c r="A8" t="str">
        <f>Schem1!A8</f>
        <v>fi</v>
      </c>
      <c r="C8">
        <f ca="1">DEGREES(ATAN(Data!Q5/Data!N5))-90</f>
        <v>-41.987212495816657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7BA2-09E2-4958-81BC-F5F5AE2B7D64}">
  <dimension ref="A1:F16"/>
  <sheetViews>
    <sheetView zoomScale="115" zoomScaleNormal="115" workbookViewId="0">
      <selection activeCell="C15" sqref="C15"/>
    </sheetView>
  </sheetViews>
  <sheetFormatPr defaultRowHeight="15" x14ac:dyDescent="0.25"/>
  <cols>
    <col min="2" max="2" width="48.28515625" customWidth="1"/>
    <col min="3" max="3" width="21.28515625" customWidth="1"/>
    <col min="4" max="4" width="12" bestFit="1" customWidth="1"/>
    <col min="5" max="5" width="9.42578125" customWidth="1"/>
    <col min="6" max="6" width="12" bestFit="1" customWidth="1"/>
    <col min="7" max="7" width="43" customWidth="1"/>
    <col min="8" max="8" width="14.140625" customWidth="1"/>
  </cols>
  <sheetData>
    <row r="1" spans="1:6" x14ac:dyDescent="0.25">
      <c r="A1" s="5" t="s">
        <v>22</v>
      </c>
      <c r="B1" s="5"/>
      <c r="C1" s="5"/>
    </row>
    <row r="2" spans="1:6" x14ac:dyDescent="0.25">
      <c r="A2" t="s">
        <v>9</v>
      </c>
      <c r="B2" t="s">
        <v>10</v>
      </c>
      <c r="C2" t="s">
        <v>11</v>
      </c>
    </row>
    <row r="3" spans="1:6" x14ac:dyDescent="0.25">
      <c r="A3" t="s">
        <v>14</v>
      </c>
      <c r="B3" t="s">
        <v>15</v>
      </c>
      <c r="C3">
        <f ca="1">SQRT(IMREAL(B10)^2 +IMAGINARY(B10)^2)</f>
        <v>7.3080521286455406E-4</v>
      </c>
    </row>
    <row r="4" spans="1:6" x14ac:dyDescent="0.25">
      <c r="A4" s="2" t="s">
        <v>0</v>
      </c>
      <c r="B4" s="2" t="str">
        <f ca="1">COMPLEX(Data!M5,0)</f>
        <v>55</v>
      </c>
      <c r="C4" s="2"/>
    </row>
    <row r="5" spans="1:6" x14ac:dyDescent="0.25">
      <c r="A5" s="2" t="s">
        <v>33</v>
      </c>
      <c r="B5" s="2" t="str">
        <f ca="1">COMPLEX(0,Data!P5)</f>
        <v>55000i</v>
      </c>
      <c r="C5" s="2">
        <f ca="1">DEGREES(IMARGUMENT(B5))</f>
        <v>90</v>
      </c>
    </row>
    <row r="6" spans="1:6" x14ac:dyDescent="0.25">
      <c r="A6" s="2" t="s">
        <v>34</v>
      </c>
      <c r="B6" s="2" t="str">
        <f ca="1">COMPLEX(Data!N5,0)</f>
        <v>45000</v>
      </c>
      <c r="C6" s="2">
        <f t="shared" ref="C6:C8" ca="1" si="0">DEGREES(IMARGUMENT(B6))</f>
        <v>0</v>
      </c>
    </row>
    <row r="7" spans="1:6" x14ac:dyDescent="0.25">
      <c r="A7" s="2" t="s">
        <v>37</v>
      </c>
      <c r="B7" s="2" t="str">
        <f ca="1">IMDIV(IMSUM(B5,B6),IMPRODUCT(B5,B6))</f>
        <v>0.0000222222222222222-0.0000181818181818182i</v>
      </c>
      <c r="C7" s="2">
        <f t="shared" ca="1" si="0"/>
        <v>-39.289406862500414</v>
      </c>
    </row>
    <row r="8" spans="1:6" x14ac:dyDescent="0.25">
      <c r="A8" s="2" t="s">
        <v>38</v>
      </c>
      <c r="B8" s="2" t="str">
        <f ca="1">IMDIV(1,B7)</f>
        <v>26955.4455445544+22054.4554455446i</v>
      </c>
      <c r="C8" s="2">
        <f t="shared" ca="1" si="0"/>
        <v>39.289406862500478</v>
      </c>
    </row>
    <row r="9" spans="1:6" x14ac:dyDescent="0.25">
      <c r="A9" s="2" t="s">
        <v>35</v>
      </c>
      <c r="B9" s="2" t="str">
        <f ca="1">IMSUM(B6,B8)</f>
        <v>71955.4455445544+22054.4554455446i</v>
      </c>
      <c r="C9" s="2">
        <f ca="1">DEGREES(IMARGUMENT(B9))</f>
        <v>17.040383205288041</v>
      </c>
      <c r="E9" t="s">
        <v>31</v>
      </c>
      <c r="F9" t="str">
        <f ca="1">IMDIV(1,B5)</f>
        <v>-0.0000181818181818182i</v>
      </c>
    </row>
    <row r="10" spans="1:6" x14ac:dyDescent="0.25">
      <c r="A10" s="2" t="s">
        <v>36</v>
      </c>
      <c r="B10" s="2" t="str">
        <f ca="1">IMDIV(B4,B9)</f>
        <v>0.000698721730580138-0.000214159292035399i</v>
      </c>
      <c r="C10" s="2">
        <f ca="1">DEGREES(IMARGUMENT(B10))</f>
        <v>-17.040383205288041</v>
      </c>
      <c r="E10" t="s">
        <v>32</v>
      </c>
      <c r="F10" t="str">
        <f ca="1">IMDIV(1,Schem3!B6)</f>
        <v>0.0000222222222222222</v>
      </c>
    </row>
    <row r="11" spans="1:6" x14ac:dyDescent="0.25">
      <c r="A11" s="3" t="s">
        <v>16</v>
      </c>
      <c r="B11" s="2" t="str">
        <f ca="1">IMPRODUCT(B10,B6)</f>
        <v>31.4424778761062-9.63716814159296i</v>
      </c>
      <c r="C11" s="2"/>
      <c r="E11">
        <f ca="1">SQRT(IMREAL(F9)^2 +IMAGINARY(F9)^2)</f>
        <v>1.8181818181818199E-5</v>
      </c>
    </row>
    <row r="12" spans="1:6" x14ac:dyDescent="0.25">
      <c r="A12" s="3" t="s">
        <v>40</v>
      </c>
      <c r="B12" t="str">
        <f ca="1">IMSUB(B4,B11)</f>
        <v>23.5575221238938+9.63716814159296i</v>
      </c>
      <c r="E12">
        <f ca="1">SQRT(IMREAL(F10)^2 +IMAGINARY(F10)^2)</f>
        <v>2.22222222222222E-5</v>
      </c>
    </row>
    <row r="13" spans="1:6" x14ac:dyDescent="0.25">
      <c r="A13" s="3" t="s">
        <v>39</v>
      </c>
      <c r="B13" t="str">
        <f ca="1">IMDIV(B12,B6)</f>
        <v>0.000523500491642084+0.000214159292035399i</v>
      </c>
      <c r="C13">
        <f ca="1">SQRT(IMREAL(B13)^2 +IMAGINARY(B13)^2)</f>
        <v>5.6561202879235777E-4</v>
      </c>
    </row>
    <row r="14" spans="1:6" x14ac:dyDescent="0.25">
      <c r="A14" s="3" t="s">
        <v>41</v>
      </c>
      <c r="B14" t="str">
        <f ca="1">IMDIV(B12,B5)</f>
        <v>0.000175221238938054-0.000428318584070796i</v>
      </c>
      <c r="C14">
        <f ca="1">SQRT(IMREAL(B14)^2 +IMAGINARY(B14)^2)</f>
        <v>4.6277347810283828E-4</v>
      </c>
    </row>
    <row r="15" spans="1:6" x14ac:dyDescent="0.25">
      <c r="A15" s="3" t="s">
        <v>44</v>
      </c>
      <c r="B15" t="s">
        <v>42</v>
      </c>
      <c r="C15">
        <f ca="1">DEGREES(IMARGUMENT(B14))+90</f>
        <v>22.24902365721249</v>
      </c>
    </row>
    <row r="16" spans="1:6" x14ac:dyDescent="0.25">
      <c r="A16" s="3" t="s">
        <v>43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E530-CABE-429C-997C-CC5B8F4F526C}">
  <dimension ref="A1:F19"/>
  <sheetViews>
    <sheetView tabSelected="1" workbookViewId="0">
      <selection activeCell="F18" sqref="F18"/>
    </sheetView>
  </sheetViews>
  <sheetFormatPr defaultRowHeight="15" x14ac:dyDescent="0.25"/>
  <cols>
    <col min="3" max="3" width="18.7109375" customWidth="1"/>
    <col min="4" max="4" width="33.140625" customWidth="1"/>
    <col min="6" max="6" width="42.140625" customWidth="1"/>
  </cols>
  <sheetData>
    <row r="1" spans="1:6" x14ac:dyDescent="0.25">
      <c r="A1" t="s">
        <v>22</v>
      </c>
    </row>
    <row r="2" spans="1:6" x14ac:dyDescent="0.25">
      <c r="A2" t="s">
        <v>9</v>
      </c>
      <c r="B2" t="s">
        <v>10</v>
      </c>
      <c r="C2" t="s">
        <v>11</v>
      </c>
      <c r="E2" t="s">
        <v>50</v>
      </c>
      <c r="F2" t="str">
        <f ca="1">COMPLEX(Data!M5,0)</f>
        <v>55</v>
      </c>
    </row>
    <row r="3" spans="1:6" x14ac:dyDescent="0.25">
      <c r="A3" t="s">
        <v>14</v>
      </c>
      <c r="B3" t="s">
        <v>15</v>
      </c>
      <c r="C3">
        <f ca="1">SQRT(IMREAL(F9)^2 +IMAGINARY(F9)^2)</f>
        <v>6.7674124470229837E-4</v>
      </c>
      <c r="E3" t="s">
        <v>45</v>
      </c>
      <c r="F3" t="str">
        <f ca="1">COMPLEX(0,Data!Q5)</f>
        <v>50000i</v>
      </c>
    </row>
    <row r="4" spans="1:6" x14ac:dyDescent="0.25">
      <c r="A4" t="s">
        <v>18</v>
      </c>
      <c r="C4" t="str">
        <f ca="1">IMPRODUCT(F5,F9)</f>
        <v>35.4364191464001+11.3862110788148i</v>
      </c>
      <c r="E4" t="s">
        <v>34</v>
      </c>
      <c r="F4" t="str">
        <f ca="1">COMPLEX(Data!N5,0)</f>
        <v>45000</v>
      </c>
    </row>
    <row r="5" spans="1:6" x14ac:dyDescent="0.25">
      <c r="A5" t="s">
        <v>51</v>
      </c>
      <c r="C5" t="str">
        <f ca="1">IMSUB(F2,C4)</f>
        <v>19.5635808535999-11.3862110788148i</v>
      </c>
      <c r="E5" t="s">
        <v>46</v>
      </c>
      <c r="F5" t="str">
        <f ca="1">COMPLEX(0,Data!P5)</f>
        <v>55000i</v>
      </c>
    </row>
    <row r="6" spans="1:6" x14ac:dyDescent="0.25">
      <c r="A6" t="s">
        <v>39</v>
      </c>
      <c r="C6" t="str">
        <f ca="1">IMDIV(C5,F4)</f>
        <v>0.000434746241191109-0.000253026912862551i</v>
      </c>
      <c r="D6">
        <f ca="1">SQRT(IMREAL(C6)^2 +IMAGINARY(C6)^2)</f>
        <v>5.0301780571124016E-4</v>
      </c>
      <c r="E6" t="s">
        <v>48</v>
      </c>
      <c r="F6" t="str">
        <f ca="1">IMDIV(IMSUM(F4,F3),IMPRODUCT(F4,F3))</f>
        <v>0.0000222222222222222-0.00002i</v>
      </c>
    </row>
    <row r="7" spans="1:6" x14ac:dyDescent="0.25">
      <c r="A7" t="s">
        <v>41</v>
      </c>
      <c r="C7" t="str">
        <f ca="1">IMDIV(C5,F5)</f>
        <v>-0.000207022019614815-0.000355701470065453i</v>
      </c>
      <c r="D7">
        <f ca="1">SQRT(IMREAL(C7)^2 +IMAGINARY(C7)^2)</f>
        <v>4.1156002285465144E-4</v>
      </c>
      <c r="E7" t="s">
        <v>47</v>
      </c>
      <c r="F7" t="str">
        <f ca="1">IMDIV(1,F6)</f>
        <v>24861.8784530387+22375.6906077348i</v>
      </c>
    </row>
    <row r="8" spans="1:6" x14ac:dyDescent="0.25">
      <c r="A8" t="s">
        <v>57</v>
      </c>
      <c r="C8" t="str">
        <f ca="1">IMDIV(C5,F3)</f>
        <v>-0.000227724221576296-0.000391271617071998i</v>
      </c>
      <c r="D8">
        <f ca="1">SQRT(IMREAL(C8)^2 +IMAGINARY(C8)^2)</f>
        <v>4.527160251401161E-4</v>
      </c>
      <c r="E8" t="s">
        <v>49</v>
      </c>
      <c r="F8" t="str">
        <f ca="1">IMSUM(F7,F5)</f>
        <v>24861.8784530387+77375.6906077348i</v>
      </c>
    </row>
    <row r="9" spans="1:6" x14ac:dyDescent="0.25">
      <c r="A9" t="s">
        <v>43</v>
      </c>
      <c r="D9">
        <f ca="1">DEGREES(IMARGUMENT(C6))+90</f>
        <v>59.800141928856391</v>
      </c>
      <c r="E9" t="s">
        <v>36</v>
      </c>
      <c r="F9" t="str">
        <f ca="1">IMDIV(F2,Schem4!F8)</f>
        <v>0.000207022019614814-0.000644298529934548i</v>
      </c>
    </row>
    <row r="10" spans="1:6" x14ac:dyDescent="0.25">
      <c r="A10" t="s">
        <v>44</v>
      </c>
      <c r="D10">
        <f ca="1">DEGREES(IMARGUMENT(C7))+90</f>
        <v>-30.199858071143666</v>
      </c>
    </row>
    <row r="11" spans="1:6" x14ac:dyDescent="0.25">
      <c r="A11" t="s">
        <v>59</v>
      </c>
      <c r="D11">
        <f ca="1">DEGREES(IMARGUMENT(C8))-90</f>
        <v>-210.19985807114364</v>
      </c>
    </row>
    <row r="12" spans="1:6" x14ac:dyDescent="0.25">
      <c r="A12" t="s">
        <v>20</v>
      </c>
      <c r="B12" t="e">
        <f ca="1">-_xlfn.ACOT((1/F5-1/F3)/(1/F4))</f>
        <v>#VALUE!</v>
      </c>
    </row>
    <row r="14" spans="1:6" x14ac:dyDescent="0.25">
      <c r="A14" t="s">
        <v>60</v>
      </c>
      <c r="D14" t="str">
        <f ca="1">IMDIV(1,F3)</f>
        <v>-0.00002i</v>
      </c>
    </row>
    <row r="15" spans="1:6" x14ac:dyDescent="0.25">
      <c r="A15" t="s">
        <v>32</v>
      </c>
      <c r="D15" t="str">
        <f t="shared" ref="D15:D16" ca="1" si="0">IMDIV(1,F4)</f>
        <v>0.0000222222222222222</v>
      </c>
    </row>
    <row r="16" spans="1:6" x14ac:dyDescent="0.25">
      <c r="A16" t="s">
        <v>31</v>
      </c>
      <c r="D16" t="str">
        <f t="shared" ca="1" si="0"/>
        <v>-0.0000181818181818182i</v>
      </c>
    </row>
    <row r="17" spans="1:6" x14ac:dyDescent="0.25">
      <c r="A17" t="s">
        <v>61</v>
      </c>
      <c r="D17" t="str">
        <f ca="1">IMSUB(D16,D14)</f>
        <v>0.0000018181818181818i</v>
      </c>
    </row>
    <row r="18" spans="1:6" x14ac:dyDescent="0.25">
      <c r="A18" t="s">
        <v>62</v>
      </c>
      <c r="D18" t="str">
        <f ca="1">IMDIV(D17,D16)</f>
        <v>-0.0999999999999989</v>
      </c>
      <c r="F18">
        <f>DEGREES(-0.089)</f>
        <v>-5.0993243766643266</v>
      </c>
    </row>
    <row r="19" spans="1:6" x14ac:dyDescent="0.25">
      <c r="D19">
        <f ca="1">DEGREES(_xlfn.ACOT(SQRT(IMREAL(D18)^2 +IMAGINARY(D18)^2)))+0</f>
        <v>84.289406862500414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801-59D1-498F-AEC7-821D13E08F6C}">
  <dimension ref="A1:I11"/>
  <sheetViews>
    <sheetView workbookViewId="0">
      <selection activeCell="G10" sqref="G10"/>
    </sheetView>
  </sheetViews>
  <sheetFormatPr defaultRowHeight="15" x14ac:dyDescent="0.25"/>
  <cols>
    <col min="1" max="1" width="11.85546875" customWidth="1"/>
  </cols>
  <sheetData>
    <row r="1" spans="1:9" x14ac:dyDescent="0.25">
      <c r="A1" s="8" t="s">
        <v>52</v>
      </c>
      <c r="B1" s="6" t="s">
        <v>54</v>
      </c>
      <c r="C1" s="6" t="s">
        <v>14</v>
      </c>
      <c r="D1" s="6" t="s">
        <v>16</v>
      </c>
      <c r="E1" s="6" t="s">
        <v>18</v>
      </c>
      <c r="F1" s="6" t="s">
        <v>29</v>
      </c>
      <c r="G1" s="6" t="s">
        <v>20</v>
      </c>
      <c r="H1" s="6" t="s">
        <v>55</v>
      </c>
      <c r="I1" s="6" t="s">
        <v>56</v>
      </c>
    </row>
    <row r="2" spans="1:9" x14ac:dyDescent="0.25">
      <c r="A2" s="8" t="s">
        <v>22</v>
      </c>
      <c r="B2" s="6">
        <f ca="1">Data!M5</f>
        <v>55</v>
      </c>
      <c r="C2" s="6">
        <f ca="1">Schem1!C5</f>
        <v>7.73957299203321E-4</v>
      </c>
      <c r="D2" s="6" t="str">
        <f>Schem1!B6</f>
        <v>I*R</v>
      </c>
      <c r="E2" s="6">
        <f ca="1">Schem1!C7</f>
        <v>42.567651456182652</v>
      </c>
      <c r="F2" s="6" t="s">
        <v>58</v>
      </c>
      <c r="G2" s="6">
        <v>0</v>
      </c>
      <c r="H2" s="6">
        <v>0</v>
      </c>
      <c r="I2" s="6">
        <f ca="1">Schem1!C8</f>
        <v>39.289406862500357</v>
      </c>
    </row>
    <row r="3" spans="1:9" x14ac:dyDescent="0.25">
      <c r="A3" s="8" t="s">
        <v>53</v>
      </c>
      <c r="B3" s="6">
        <f ca="1">B2</f>
        <v>55</v>
      </c>
      <c r="C3" s="6"/>
      <c r="D3" s="6"/>
      <c r="E3" s="6"/>
      <c r="F3" s="6" t="s">
        <v>58</v>
      </c>
      <c r="G3" s="6"/>
      <c r="H3" s="6"/>
      <c r="I3" s="6"/>
    </row>
    <row r="4" spans="1:9" x14ac:dyDescent="0.25">
      <c r="A4" s="8" t="s">
        <v>22</v>
      </c>
      <c r="B4" s="6">
        <f t="shared" ref="B4:B5" ca="1" si="0">B3</f>
        <v>55</v>
      </c>
      <c r="C4" s="6">
        <f ca="1">Schem2!C5</f>
        <v>8.1762356087188297E-4</v>
      </c>
      <c r="D4" s="6">
        <f ca="1">Schem2!C6</f>
        <v>36.793060239234734</v>
      </c>
      <c r="E4" s="6" t="s">
        <v>58</v>
      </c>
      <c r="F4" s="6">
        <f ca="1">Schem2!C7</f>
        <v>40.881178043594147</v>
      </c>
      <c r="G4" s="6">
        <v>0</v>
      </c>
      <c r="H4" s="6">
        <v>0</v>
      </c>
      <c r="I4" s="6">
        <f ca="1">Schem2!C8</f>
        <v>-41.987212495816657</v>
      </c>
    </row>
    <row r="5" spans="1:9" x14ac:dyDescent="0.25">
      <c r="A5" s="8" t="str">
        <f>A3</f>
        <v>Measured</v>
      </c>
      <c r="B5" s="6">
        <f t="shared" ca="1" si="0"/>
        <v>55</v>
      </c>
      <c r="C5" s="6"/>
      <c r="D5" s="6"/>
      <c r="E5" s="6" t="s">
        <v>58</v>
      </c>
      <c r="F5" s="6"/>
      <c r="G5" s="6"/>
      <c r="H5" s="6"/>
      <c r="I5" s="6"/>
    </row>
    <row r="6" spans="1:9" x14ac:dyDescent="0.25">
      <c r="A6" s="9"/>
      <c r="B6" s="7"/>
      <c r="C6" s="7"/>
      <c r="D6" s="7"/>
      <c r="E6" s="7"/>
      <c r="F6" s="7"/>
      <c r="G6" s="7"/>
      <c r="H6" s="7"/>
      <c r="I6" s="7"/>
    </row>
    <row r="7" spans="1:9" x14ac:dyDescent="0.25">
      <c r="A7" s="8" t="str">
        <f>A1</f>
        <v>Schem</v>
      </c>
      <c r="B7" s="6" t="s">
        <v>54</v>
      </c>
      <c r="C7" s="6" t="s">
        <v>14</v>
      </c>
      <c r="D7" s="6" t="s">
        <v>39</v>
      </c>
      <c r="E7" s="6" t="s">
        <v>41</v>
      </c>
      <c r="F7" s="6" t="s">
        <v>57</v>
      </c>
      <c r="G7" s="6" t="s">
        <v>20</v>
      </c>
      <c r="H7" s="6" t="s">
        <v>55</v>
      </c>
      <c r="I7" s="6" t="s">
        <v>56</v>
      </c>
    </row>
    <row r="8" spans="1:9" x14ac:dyDescent="0.25">
      <c r="A8" s="8" t="str">
        <f t="shared" ref="A8:B11" si="1">A2</f>
        <v>Calcs</v>
      </c>
      <c r="B8" s="6">
        <f ca="1">B2</f>
        <v>55</v>
      </c>
      <c r="C8" s="6">
        <f ca="1">Schem3!C3</f>
        <v>7.3080521286455406E-4</v>
      </c>
      <c r="D8" s="6">
        <f ca="1">Schem3!C13</f>
        <v>5.6561202879235777E-4</v>
      </c>
      <c r="E8" s="6">
        <f ca="1">Schem3!C14</f>
        <v>4.6277347810283828E-4</v>
      </c>
      <c r="F8" s="6" t="str">
        <f>F2</f>
        <v>X</v>
      </c>
      <c r="G8" s="6">
        <v>0</v>
      </c>
      <c r="H8" s="6">
        <v>0</v>
      </c>
      <c r="I8" s="6">
        <f ca="1">Schem3!C15</f>
        <v>22.24902365721249</v>
      </c>
    </row>
    <row r="9" spans="1:9" x14ac:dyDescent="0.25">
      <c r="A9" s="8" t="str">
        <f t="shared" si="1"/>
        <v>Measured</v>
      </c>
      <c r="B9" s="6">
        <f t="shared" ca="1" si="1"/>
        <v>55</v>
      </c>
      <c r="C9" s="6"/>
      <c r="D9" s="6"/>
      <c r="E9" s="6"/>
      <c r="F9" s="6" t="str">
        <f>F3</f>
        <v>X</v>
      </c>
      <c r="G9" s="6"/>
      <c r="H9" s="6"/>
      <c r="I9" s="6"/>
    </row>
    <row r="10" spans="1:9" x14ac:dyDescent="0.25">
      <c r="A10" s="8" t="str">
        <f t="shared" si="1"/>
        <v>Calcs</v>
      </c>
      <c r="B10" s="6">
        <f t="shared" ca="1" si="1"/>
        <v>55</v>
      </c>
      <c r="C10" s="6">
        <f ca="1">Schem4!C3</f>
        <v>6.7674124470229837E-4</v>
      </c>
      <c r="D10" s="6">
        <f ca="1">Schem4!D6</f>
        <v>5.0301780571124016E-4</v>
      </c>
      <c r="E10" s="6">
        <f ca="1">Schem4!D7</f>
        <v>4.1156002285465144E-4</v>
      </c>
      <c r="F10" s="6">
        <f ca="1">Schem4!D8</f>
        <v>4.527160251401161E-4</v>
      </c>
      <c r="G10" s="6"/>
      <c r="H10" s="6"/>
      <c r="I10" s="6"/>
    </row>
    <row r="11" spans="1:9" x14ac:dyDescent="0.25">
      <c r="A11" s="8" t="str">
        <f t="shared" si="1"/>
        <v>Measured</v>
      </c>
      <c r="B11" s="6">
        <f t="shared" ca="1" si="1"/>
        <v>55</v>
      </c>
      <c r="C11" s="6"/>
      <c r="D11" s="6"/>
      <c r="E11" s="6"/>
      <c r="F11" s="6"/>
      <c r="G11" s="6"/>
      <c r="H11" s="6"/>
      <c r="I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Schem1</vt:lpstr>
      <vt:lpstr>Schem2</vt:lpstr>
      <vt:lpstr>Schem3</vt:lpstr>
      <vt:lpstr>Schem4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2018-10-10T07:39:26Z</dcterms:modified>
</cp:coreProperties>
</file>