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5.xml" ContentType="application/vnd.openxmlformats-officedocument.drawingml.chart+xml"/>
  <Override PartName="/xl/drawings/drawing5.xml" ContentType="application/vnd.openxmlformats-officedocument.drawingml.chartshapes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1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ml.chartshapes+xml"/>
  <Override PartName="/xl/charts/chart12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ml.chartshapes+xml"/>
  <Override PartName="/xl/charts/chart1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ml.chartshapes+xml"/>
  <Override PartName="/xl/charts/chart14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ml.chartshapes+xml"/>
  <Override PartName="/xl/charts/chart15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ml.chartshapes+xml"/>
  <Override PartName="/xl/charts/chart16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7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13.xml" ContentType="application/vnd.openxmlformats-officedocument.drawing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4.xml" ContentType="application/vnd.openxmlformats-officedocument.drawingml.chartshapes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5.xml" ContentType="application/vnd.openxmlformats-officedocument.drawingml.chartshapes+xml"/>
  <Override PartName="/xl/drawings/drawing16.xml" ContentType="application/vnd.openxmlformats-officedocument.drawing+xml"/>
  <Override PartName="/xl/charts/chart2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17.xml" ContentType="application/vnd.openxmlformats-officedocument.drawing+xml"/>
  <Override PartName="/xl/charts/chart3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38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0.xml" ContentType="application/vnd.openxmlformats-officedocument.drawingml.chartshapes+xml"/>
  <Override PartName="/xl/charts/chart39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1.xml" ContentType="application/vnd.openxmlformats-officedocument.drawingml.chartshapes+xml"/>
  <Override PartName="/xl/drawings/drawing22.xml" ContentType="application/vnd.openxmlformats-officedocument.drawing+xml"/>
  <Override PartName="/xl/charts/chart40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1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2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23.xml" ContentType="application/vnd.openxmlformats-officedocument.drawingml.chartshapes+xml"/>
  <Override PartName="/xl/charts/chart43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24.xml" ContentType="application/vnd.openxmlformats-officedocument.drawingml.chartshapes+xml"/>
  <Override PartName="/xl/drawings/drawing25.xml" ContentType="application/vnd.openxmlformats-officedocument.drawing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26.xml" ContentType="application/vnd.openxmlformats-officedocument.drawing+xml"/>
  <Override PartName="/xl/charts/chart46.xml" ContentType="application/vnd.openxmlformats-officedocument.drawingml.chart+xml"/>
  <Override PartName="/xl/drawings/drawing27.xml" ContentType="application/vnd.openxmlformats-officedocument.drawing+xml"/>
  <Override PartName="/xl/charts/chart47.xml" ContentType="application/vnd.openxmlformats-officedocument.drawingml.chart+xml"/>
  <Override PartName="/xl/drawings/drawing28.xml" ContentType="application/vnd.openxmlformats-officedocument.drawingml.chartshapes+xml"/>
  <Override PartName="/xl/drawings/drawing29.xml" ContentType="application/vnd.openxmlformats-officedocument.drawing+xml"/>
  <Override PartName="/xl/charts/chart48.xml" ContentType="application/vnd.openxmlformats-officedocument.drawingml.chart+xml"/>
  <Override PartName="/xl/drawings/drawing30.xml" ContentType="application/vnd.openxmlformats-officedocument.drawingml.chartshapes+xml"/>
  <Override PartName="/xl/drawings/drawing31.xml" ContentType="application/vnd.openxmlformats-officedocument.drawing+xml"/>
  <Override PartName="/xl/charts/chart49.xml" ContentType="application/vnd.openxmlformats-officedocument.drawingml.chart+xml"/>
  <Override PartName="/xl/drawings/drawing32.xml" ContentType="application/vnd.openxmlformats-officedocument.drawingml.chartshapes+xml"/>
  <Override PartName="/xl/drawings/drawing33.xml" ContentType="application/vnd.openxmlformats-officedocument.drawing+xml"/>
  <Override PartName="/xl/charts/chart50.xml" ContentType="application/vnd.openxmlformats-officedocument.drawingml.chart+xml"/>
  <Override PartName="/xl/drawings/drawing34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35.xml" ContentType="application/vnd.openxmlformats-officedocument.drawing+xml"/>
  <Override PartName="/xl/charts/chart51.xml" ContentType="application/vnd.openxmlformats-officedocument.drawingml.chart+xml"/>
  <Override PartName="/xl/drawings/drawing36.xml" ContentType="application/vnd.openxmlformats-officedocument.drawingml.chartshapes+xml"/>
  <Override PartName="/xl/drawings/drawing37.xml" ContentType="application/vnd.openxmlformats-officedocument.drawing+xml"/>
  <Override PartName="/xl/charts/chart5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8.xml" ContentType="application/vnd.openxmlformats-officedocument.drawingml.chartshapes+xml"/>
  <Override PartName="/xl/charts/chart5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9.xml" ContentType="application/vnd.openxmlformats-officedocument.drawingml.chartshapes+xml"/>
  <Override PartName="/xl/drawings/drawing40.xml" ContentType="application/vnd.openxmlformats-officedocument.drawing+xml"/>
  <Override PartName="/xl/charts/chart5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1.xml" ContentType="application/vnd.openxmlformats-officedocument.drawingml.chartshapes+xml"/>
  <Override PartName="/xl/charts/chart5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2.xml" ContentType="application/vnd.openxmlformats-officedocument.drawingml.chartshapes+xml"/>
  <Override PartName="/xl/drawings/drawing43.xml" ContentType="application/vnd.openxmlformats-officedocument.drawing+xml"/>
  <Override PartName="/xl/charts/chart5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4.xml" ContentType="application/vnd.openxmlformats-officedocument.drawingml.chartshapes+xml"/>
  <Override PartName="/xl/charts/chart5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5.xml" ContentType="application/vnd.openxmlformats-officedocument.drawingml.chartshapes+xml"/>
  <Override PartName="/xl/drawings/drawing46.xml" ContentType="application/vnd.openxmlformats-officedocument.drawing+xml"/>
  <Override PartName="/xl/charts/chart5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5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6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6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6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47.xml" ContentType="application/vnd.openxmlformats-officedocument.drawing+xml"/>
  <Override PartName="/xl/charts/chart6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6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6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48.xml" ContentType="application/vnd.openxmlformats-officedocument.drawing+xml"/>
  <Override PartName="/xl/charts/chart6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6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Downloads new 11.10\"/>
    </mc:Choice>
  </mc:AlternateContent>
  <xr:revisionPtr revIDLastSave="0" documentId="13_ncr:1_{22656CE2-1BE0-4C09-949B-1393D6D7FE54}" xr6:coauthVersionLast="47" xr6:coauthVersionMax="47" xr10:uidLastSave="{00000000-0000-0000-0000-000000000000}"/>
  <bookViews>
    <workbookView xWindow="-120" yWindow="-120" windowWidth="29040" windowHeight="15840" tabRatio="628" xr2:uid="{00000000-000D-0000-FFFF-FFFF00000000}"/>
  </bookViews>
  <sheets>
    <sheet name="charts_data_all" sheetId="67" r:id="rId1"/>
    <sheet name="Чарти" sheetId="53" r:id="rId2"/>
    <sheet name="  Експорт IT + Мігранти" sheetId="68" r:id="rId3"/>
    <sheet name="Імпорт послуг" sheetId="69" r:id="rId4"/>
    <sheet name="Таблиця 1" sheetId="61" r:id="rId5"/>
    <sheet name="Таблиця 2" sheetId="60" r:id="rId6"/>
    <sheet name="Таблиця 3" sheetId="62" r:id="rId7"/>
    <sheet name="окремі статті" sheetId="64" r:id="rId8"/>
    <sheet name="фінрах" sheetId="66" r:id="rId9"/>
    <sheet name="Готівкова валюта поза банками" sheetId="65" r:id="rId10"/>
    <sheet name="залучення кругові" sheetId="63" r:id="rId11"/>
    <sheet name="ПБ - стандартный формат чарта" sheetId="22" r:id="rId12"/>
    <sheet name="Чарт ПБ 2020" sheetId="17" r:id="rId13"/>
    <sheet name="Чарт 2021" sheetId="36" r:id="rId14"/>
    <sheet name="Чарт 2022" sheetId="40" r:id="rId15"/>
    <sheet name="Чарт 2023 V-1" sheetId="51" r:id="rId16"/>
    <sheet name="Чарт 2023 V-2" sheetId="52" r:id="rId17"/>
    <sheet name="табл сравнение" sheetId="25" state="hidden" r:id="rId18"/>
    <sheet name="Чарт ПБ 2022-2023" sheetId="32" r:id="rId19"/>
    <sheet name="Чарт ПБ 2022-2024" sheetId="50" r:id="rId20"/>
    <sheet name="ПБ V-1 (fin min)" sheetId="45" r:id="rId21"/>
    <sheet name="Сравнительная таблица (липень)" sheetId="42" r:id="rId22"/>
    <sheet name="Интервенции (V-1)" sheetId="43" r:id="rId23"/>
    <sheet name="ПБ V-2 (fin plan)" sheetId="46" r:id="rId24"/>
    <sheet name="Интервенции (V-2)" sheetId="47" r:id="rId25"/>
    <sheet name="Курсовые сценарии" sheetId="48" r:id="rId26"/>
    <sheet name="макет прогноза на месяц" sheetId="10" r:id="rId27"/>
    <sheet name="ТБ 2022" sheetId="54" r:id="rId28"/>
    <sheet name="ТБ 2023" sheetId="55" r:id="rId29"/>
    <sheet name="ТБ 2024" sheetId="56" r:id="rId30"/>
    <sheet name="ЗВР-інт 2022-2024" sheetId="57" r:id="rId31"/>
    <sheet name="курс 2022-2023 v1" sheetId="58" r:id="rId32"/>
    <sheet name="курс 2022-2023 v2" sheetId="59" r:id="rId33"/>
  </sheets>
  <externalReferences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</externalReferences>
  <definedNames>
    <definedName name="\C" localSheetId="24">#REF!</definedName>
    <definedName name="\C" localSheetId="31">#REF!</definedName>
    <definedName name="\C" localSheetId="32">#REF!</definedName>
    <definedName name="\C" localSheetId="26">#REF!</definedName>
    <definedName name="\C" localSheetId="11">#REF!</definedName>
    <definedName name="\C" localSheetId="20">#REF!</definedName>
    <definedName name="\C" localSheetId="23">#REF!</definedName>
    <definedName name="\C" localSheetId="21">#REF!</definedName>
    <definedName name="\C" localSheetId="17">#REF!</definedName>
    <definedName name="\C" localSheetId="12">#REF!</definedName>
    <definedName name="\C" localSheetId="18">#REF!</definedName>
    <definedName name="\C" localSheetId="19">#REF!</definedName>
    <definedName name="\C">#REF!</definedName>
    <definedName name="\D" localSheetId="24">#REF!</definedName>
    <definedName name="\D" localSheetId="31">#REF!</definedName>
    <definedName name="\D" localSheetId="32">#REF!</definedName>
    <definedName name="\D" localSheetId="26">#REF!</definedName>
    <definedName name="\D" localSheetId="11">#REF!</definedName>
    <definedName name="\D" localSheetId="20">#REF!</definedName>
    <definedName name="\D" localSheetId="23">#REF!</definedName>
    <definedName name="\D" localSheetId="21">#REF!</definedName>
    <definedName name="\D" localSheetId="17">#REF!</definedName>
    <definedName name="\D" localSheetId="12">#REF!</definedName>
    <definedName name="\D" localSheetId="18">#REF!</definedName>
    <definedName name="\D" localSheetId="19">#REF!</definedName>
    <definedName name="\D">#REF!</definedName>
    <definedName name="\E" localSheetId="24">#REF!</definedName>
    <definedName name="\E" localSheetId="31">#REF!</definedName>
    <definedName name="\E" localSheetId="32">#REF!</definedName>
    <definedName name="\E" localSheetId="26">#REF!</definedName>
    <definedName name="\E" localSheetId="11">#REF!</definedName>
    <definedName name="\E" localSheetId="20">#REF!</definedName>
    <definedName name="\E" localSheetId="23">#REF!</definedName>
    <definedName name="\E" localSheetId="21">#REF!</definedName>
    <definedName name="\E" localSheetId="17">#REF!</definedName>
    <definedName name="\E" localSheetId="12">#REF!</definedName>
    <definedName name="\E" localSheetId="18">#REF!</definedName>
    <definedName name="\E" localSheetId="19">#REF!</definedName>
    <definedName name="\E">#REF!</definedName>
    <definedName name="\H" localSheetId="24">#REF!</definedName>
    <definedName name="\H" localSheetId="26">#REF!</definedName>
    <definedName name="\H" localSheetId="20">#REF!</definedName>
    <definedName name="\H" localSheetId="23">#REF!</definedName>
    <definedName name="\H" localSheetId="21">#REF!</definedName>
    <definedName name="\H" localSheetId="17">#REF!</definedName>
    <definedName name="\H">#REF!</definedName>
    <definedName name="\K" localSheetId="24">#REF!</definedName>
    <definedName name="\K" localSheetId="26">#REF!</definedName>
    <definedName name="\K" localSheetId="20">#REF!</definedName>
    <definedName name="\K" localSheetId="23">#REF!</definedName>
    <definedName name="\K" localSheetId="21">#REF!</definedName>
    <definedName name="\K" localSheetId="17">#REF!</definedName>
    <definedName name="\K">#REF!</definedName>
    <definedName name="\L" localSheetId="24">#REF!</definedName>
    <definedName name="\L" localSheetId="26">#REF!</definedName>
    <definedName name="\L" localSheetId="20">#REF!</definedName>
    <definedName name="\L" localSheetId="23">#REF!</definedName>
    <definedName name="\L" localSheetId="21">#REF!</definedName>
    <definedName name="\L" localSheetId="17">#REF!</definedName>
    <definedName name="\L">#REF!</definedName>
    <definedName name="\P" localSheetId="24">#REF!</definedName>
    <definedName name="\P" localSheetId="26">#REF!</definedName>
    <definedName name="\P" localSheetId="20">#REF!</definedName>
    <definedName name="\P" localSheetId="23">#REF!</definedName>
    <definedName name="\P" localSheetId="21">#REF!</definedName>
    <definedName name="\P" localSheetId="17">#REF!</definedName>
    <definedName name="\P">#REF!</definedName>
    <definedName name="\Q" localSheetId="24">#REF!</definedName>
    <definedName name="\Q" localSheetId="26">#REF!</definedName>
    <definedName name="\Q" localSheetId="20">#REF!</definedName>
    <definedName name="\Q" localSheetId="23">#REF!</definedName>
    <definedName name="\Q" localSheetId="21">#REF!</definedName>
    <definedName name="\Q" localSheetId="17">#REF!</definedName>
    <definedName name="\Q">#REF!</definedName>
    <definedName name="\S" localSheetId="24">#REF!</definedName>
    <definedName name="\S" localSheetId="26">#REF!</definedName>
    <definedName name="\S" localSheetId="20">#REF!</definedName>
    <definedName name="\S" localSheetId="23">#REF!</definedName>
    <definedName name="\S" localSheetId="21">#REF!</definedName>
    <definedName name="\S" localSheetId="17">#REF!</definedName>
    <definedName name="\S">#REF!</definedName>
    <definedName name="\T" localSheetId="24">#REF!</definedName>
    <definedName name="\T" localSheetId="26">#REF!</definedName>
    <definedName name="\T" localSheetId="20">#REF!</definedName>
    <definedName name="\T" localSheetId="23">#REF!</definedName>
    <definedName name="\T" localSheetId="21">#REF!</definedName>
    <definedName name="\T" localSheetId="17">#REF!</definedName>
    <definedName name="\T">#REF!</definedName>
    <definedName name="\V" localSheetId="24">#REF!</definedName>
    <definedName name="\V" localSheetId="26">#REF!</definedName>
    <definedName name="\V" localSheetId="20">#REF!</definedName>
    <definedName name="\V" localSheetId="23">#REF!</definedName>
    <definedName name="\V" localSheetId="21">#REF!</definedName>
    <definedName name="\V" localSheetId="17">#REF!</definedName>
    <definedName name="\V">#REF!</definedName>
    <definedName name="\W" localSheetId="24">#REF!</definedName>
    <definedName name="\W" localSheetId="26">#REF!</definedName>
    <definedName name="\W" localSheetId="20">#REF!</definedName>
    <definedName name="\W" localSheetId="23">#REF!</definedName>
    <definedName name="\W" localSheetId="21">#REF!</definedName>
    <definedName name="\W" localSheetId="17">#REF!</definedName>
    <definedName name="\W">#REF!</definedName>
    <definedName name="\X" localSheetId="24">#REF!</definedName>
    <definedName name="\X" localSheetId="26">#REF!</definedName>
    <definedName name="\X" localSheetId="20">#REF!</definedName>
    <definedName name="\X" localSheetId="23">#REF!</definedName>
    <definedName name="\X" localSheetId="21">#REF!</definedName>
    <definedName name="\X" localSheetId="17">#REF!</definedName>
    <definedName name="\X">#REF!</definedName>
    <definedName name="____________________________cp1" localSheetId="31" hidden="1">{"'előző év december'!$A$2:$CP$214"}</definedName>
    <definedName name="____________________________cp1" localSheetId="32" hidden="1">{"'előző év december'!$A$2:$CP$214"}</definedName>
    <definedName name="____________________________cp1" localSheetId="11" hidden="1">{"'előző év december'!$A$2:$CP$214"}</definedName>
    <definedName name="____________________________cp1" localSheetId="12" hidden="1">{"'előző év december'!$A$2:$CP$214"}</definedName>
    <definedName name="____________________________cp1" localSheetId="18" hidden="1">{"'előző év december'!$A$2:$CP$214"}</definedName>
    <definedName name="____________________________cp1" localSheetId="19" hidden="1">{"'előző év december'!$A$2:$CP$214"}</definedName>
    <definedName name="____________________________cp1" hidden="1">{"'előző év december'!$A$2:$CP$214"}</definedName>
    <definedName name="____________________________cp10" localSheetId="31" hidden="1">{"'előző év december'!$A$2:$CP$214"}</definedName>
    <definedName name="____________________________cp10" localSheetId="32" hidden="1">{"'előző év december'!$A$2:$CP$214"}</definedName>
    <definedName name="____________________________cp10" localSheetId="11" hidden="1">{"'előző év december'!$A$2:$CP$214"}</definedName>
    <definedName name="____________________________cp10" localSheetId="12" hidden="1">{"'előző év december'!$A$2:$CP$214"}</definedName>
    <definedName name="____________________________cp10" localSheetId="18" hidden="1">{"'előző év december'!$A$2:$CP$214"}</definedName>
    <definedName name="____________________________cp10" localSheetId="19" hidden="1">{"'előző év december'!$A$2:$CP$214"}</definedName>
    <definedName name="____________________________cp10" hidden="1">{"'előző év december'!$A$2:$CP$214"}</definedName>
    <definedName name="____________________________cp11" localSheetId="31" hidden="1">{"'előző év december'!$A$2:$CP$214"}</definedName>
    <definedName name="____________________________cp11" localSheetId="32" hidden="1">{"'előző év december'!$A$2:$CP$214"}</definedName>
    <definedName name="____________________________cp11" localSheetId="11" hidden="1">{"'előző év december'!$A$2:$CP$214"}</definedName>
    <definedName name="____________________________cp11" localSheetId="12" hidden="1">{"'előző év december'!$A$2:$CP$214"}</definedName>
    <definedName name="____________________________cp11" localSheetId="18" hidden="1">{"'előző év december'!$A$2:$CP$214"}</definedName>
    <definedName name="____________________________cp11" localSheetId="19" hidden="1">{"'előző év december'!$A$2:$CP$214"}</definedName>
    <definedName name="____________________________cp11" hidden="1">{"'előző év december'!$A$2:$CP$214"}</definedName>
    <definedName name="____________________________cp2" localSheetId="31" hidden="1">{"'előző év december'!$A$2:$CP$214"}</definedName>
    <definedName name="____________________________cp2" localSheetId="32" hidden="1">{"'előző év december'!$A$2:$CP$214"}</definedName>
    <definedName name="____________________________cp2" localSheetId="11" hidden="1">{"'előző év december'!$A$2:$CP$214"}</definedName>
    <definedName name="____________________________cp2" localSheetId="12" hidden="1">{"'előző év december'!$A$2:$CP$214"}</definedName>
    <definedName name="____________________________cp2" localSheetId="18" hidden="1">{"'előző év december'!$A$2:$CP$214"}</definedName>
    <definedName name="____________________________cp2" localSheetId="19" hidden="1">{"'előző év december'!$A$2:$CP$214"}</definedName>
    <definedName name="____________________________cp2" hidden="1">{"'előző év december'!$A$2:$CP$214"}</definedName>
    <definedName name="____________________________cp3" localSheetId="31" hidden="1">{"'előző év december'!$A$2:$CP$214"}</definedName>
    <definedName name="____________________________cp3" localSheetId="32" hidden="1">{"'előző év december'!$A$2:$CP$214"}</definedName>
    <definedName name="____________________________cp3" localSheetId="11" hidden="1">{"'előző év december'!$A$2:$CP$214"}</definedName>
    <definedName name="____________________________cp3" localSheetId="12" hidden="1">{"'előző év december'!$A$2:$CP$214"}</definedName>
    <definedName name="____________________________cp3" localSheetId="18" hidden="1">{"'előző év december'!$A$2:$CP$214"}</definedName>
    <definedName name="____________________________cp3" localSheetId="19" hidden="1">{"'előző év december'!$A$2:$CP$214"}</definedName>
    <definedName name="____________________________cp3" hidden="1">{"'előző év december'!$A$2:$CP$214"}</definedName>
    <definedName name="____________________________cp4" localSheetId="31" hidden="1">{"'előző év december'!$A$2:$CP$214"}</definedName>
    <definedName name="____________________________cp4" localSheetId="32" hidden="1">{"'előző év december'!$A$2:$CP$214"}</definedName>
    <definedName name="____________________________cp4" localSheetId="11" hidden="1">{"'előző év december'!$A$2:$CP$214"}</definedName>
    <definedName name="____________________________cp4" localSheetId="12" hidden="1">{"'előző év december'!$A$2:$CP$214"}</definedName>
    <definedName name="____________________________cp4" localSheetId="18" hidden="1">{"'előző év december'!$A$2:$CP$214"}</definedName>
    <definedName name="____________________________cp4" localSheetId="19" hidden="1">{"'előző év december'!$A$2:$CP$214"}</definedName>
    <definedName name="____________________________cp4" hidden="1">{"'előző év december'!$A$2:$CP$214"}</definedName>
    <definedName name="____________________________cp5" localSheetId="31" hidden="1">{"'előző év december'!$A$2:$CP$214"}</definedName>
    <definedName name="____________________________cp5" localSheetId="32" hidden="1">{"'előző év december'!$A$2:$CP$214"}</definedName>
    <definedName name="____________________________cp5" localSheetId="11" hidden="1">{"'előző év december'!$A$2:$CP$214"}</definedName>
    <definedName name="____________________________cp5" localSheetId="12" hidden="1">{"'előző év december'!$A$2:$CP$214"}</definedName>
    <definedName name="____________________________cp5" localSheetId="18" hidden="1">{"'előző év december'!$A$2:$CP$214"}</definedName>
    <definedName name="____________________________cp5" localSheetId="19" hidden="1">{"'előző év december'!$A$2:$CP$214"}</definedName>
    <definedName name="____________________________cp5" hidden="1">{"'előző év december'!$A$2:$CP$214"}</definedName>
    <definedName name="____________________________cp6" localSheetId="31" hidden="1">{"'előző év december'!$A$2:$CP$214"}</definedName>
    <definedName name="____________________________cp6" localSheetId="32" hidden="1">{"'előző év december'!$A$2:$CP$214"}</definedName>
    <definedName name="____________________________cp6" localSheetId="11" hidden="1">{"'előző év december'!$A$2:$CP$214"}</definedName>
    <definedName name="____________________________cp6" localSheetId="12" hidden="1">{"'előző év december'!$A$2:$CP$214"}</definedName>
    <definedName name="____________________________cp6" localSheetId="18" hidden="1">{"'előző év december'!$A$2:$CP$214"}</definedName>
    <definedName name="____________________________cp6" localSheetId="19" hidden="1">{"'előző év december'!$A$2:$CP$214"}</definedName>
    <definedName name="____________________________cp6" hidden="1">{"'előző év december'!$A$2:$CP$214"}</definedName>
    <definedName name="____________________________cp7" localSheetId="31" hidden="1">{"'előző év december'!$A$2:$CP$214"}</definedName>
    <definedName name="____________________________cp7" localSheetId="32" hidden="1">{"'előző év december'!$A$2:$CP$214"}</definedName>
    <definedName name="____________________________cp7" localSheetId="11" hidden="1">{"'előző év december'!$A$2:$CP$214"}</definedName>
    <definedName name="____________________________cp7" localSheetId="12" hidden="1">{"'előző év december'!$A$2:$CP$214"}</definedName>
    <definedName name="____________________________cp7" localSheetId="18" hidden="1">{"'előző év december'!$A$2:$CP$214"}</definedName>
    <definedName name="____________________________cp7" localSheetId="19" hidden="1">{"'előző év december'!$A$2:$CP$214"}</definedName>
    <definedName name="____________________________cp7" hidden="1">{"'előző év december'!$A$2:$CP$214"}</definedName>
    <definedName name="____________________________cp8" localSheetId="31" hidden="1">{"'előző év december'!$A$2:$CP$214"}</definedName>
    <definedName name="____________________________cp8" localSheetId="32" hidden="1">{"'előző év december'!$A$2:$CP$214"}</definedName>
    <definedName name="____________________________cp8" localSheetId="11" hidden="1">{"'előző év december'!$A$2:$CP$214"}</definedName>
    <definedName name="____________________________cp8" localSheetId="12" hidden="1">{"'előző év december'!$A$2:$CP$214"}</definedName>
    <definedName name="____________________________cp8" localSheetId="18" hidden="1">{"'előző év december'!$A$2:$CP$214"}</definedName>
    <definedName name="____________________________cp8" localSheetId="19" hidden="1">{"'előző év december'!$A$2:$CP$214"}</definedName>
    <definedName name="____________________________cp8" hidden="1">{"'előző év december'!$A$2:$CP$214"}</definedName>
    <definedName name="____________________________cp9" localSheetId="31" hidden="1">{"'előző év december'!$A$2:$CP$214"}</definedName>
    <definedName name="____________________________cp9" localSheetId="32" hidden="1">{"'előző év december'!$A$2:$CP$214"}</definedName>
    <definedName name="____________________________cp9" localSheetId="11" hidden="1">{"'előző év december'!$A$2:$CP$214"}</definedName>
    <definedName name="____________________________cp9" localSheetId="12" hidden="1">{"'előző év december'!$A$2:$CP$214"}</definedName>
    <definedName name="____________________________cp9" localSheetId="18" hidden="1">{"'előző év december'!$A$2:$CP$214"}</definedName>
    <definedName name="____________________________cp9" localSheetId="19" hidden="1">{"'előző év december'!$A$2:$CP$214"}</definedName>
    <definedName name="____________________________cp9" hidden="1">{"'előző év december'!$A$2:$CP$214"}</definedName>
    <definedName name="____________________________cpr2" localSheetId="31" hidden="1">{"'előző év december'!$A$2:$CP$214"}</definedName>
    <definedName name="____________________________cpr2" localSheetId="32" hidden="1">{"'előző év december'!$A$2:$CP$214"}</definedName>
    <definedName name="____________________________cpr2" localSheetId="11" hidden="1">{"'előző év december'!$A$2:$CP$214"}</definedName>
    <definedName name="____________________________cpr2" localSheetId="12" hidden="1">{"'előző év december'!$A$2:$CP$214"}</definedName>
    <definedName name="____________________________cpr2" localSheetId="18" hidden="1">{"'előző év december'!$A$2:$CP$214"}</definedName>
    <definedName name="____________________________cpr2" localSheetId="19" hidden="1">{"'előző év december'!$A$2:$CP$214"}</definedName>
    <definedName name="____________________________cpr2" hidden="1">{"'előző év december'!$A$2:$CP$214"}</definedName>
    <definedName name="____________________________cpr3" localSheetId="31" hidden="1">{"'előző év december'!$A$2:$CP$214"}</definedName>
    <definedName name="____________________________cpr3" localSheetId="32" hidden="1">{"'előző év december'!$A$2:$CP$214"}</definedName>
    <definedName name="____________________________cpr3" localSheetId="11" hidden="1">{"'előző év december'!$A$2:$CP$214"}</definedName>
    <definedName name="____________________________cpr3" localSheetId="12" hidden="1">{"'előző év december'!$A$2:$CP$214"}</definedName>
    <definedName name="____________________________cpr3" localSheetId="18" hidden="1">{"'előző év december'!$A$2:$CP$214"}</definedName>
    <definedName name="____________________________cpr3" localSheetId="19" hidden="1">{"'előző év december'!$A$2:$CP$214"}</definedName>
    <definedName name="____________________________cpr3" hidden="1">{"'előző év december'!$A$2:$CP$214"}</definedName>
    <definedName name="____________________________cpr4" localSheetId="31" hidden="1">{"'előző év december'!$A$2:$CP$214"}</definedName>
    <definedName name="____________________________cpr4" localSheetId="32" hidden="1">{"'előző év december'!$A$2:$CP$214"}</definedName>
    <definedName name="____________________________cpr4" localSheetId="11" hidden="1">{"'előző év december'!$A$2:$CP$214"}</definedName>
    <definedName name="____________________________cpr4" localSheetId="12" hidden="1">{"'előző év december'!$A$2:$CP$214"}</definedName>
    <definedName name="____________________________cpr4" localSheetId="18" hidden="1">{"'előző év december'!$A$2:$CP$214"}</definedName>
    <definedName name="____________________________cpr4" localSheetId="19" hidden="1">{"'előző év december'!$A$2:$CP$214"}</definedName>
    <definedName name="____________________________cpr4" hidden="1">{"'előző év december'!$A$2:$CP$214"}</definedName>
    <definedName name="___________________________cp1" localSheetId="31" hidden="1">{"'előző év december'!$A$2:$CP$214"}</definedName>
    <definedName name="___________________________cp1" localSheetId="32" hidden="1">{"'előző év december'!$A$2:$CP$214"}</definedName>
    <definedName name="___________________________cp1" localSheetId="11" hidden="1">{"'előző év december'!$A$2:$CP$214"}</definedName>
    <definedName name="___________________________cp1" localSheetId="12" hidden="1">{"'előző év december'!$A$2:$CP$214"}</definedName>
    <definedName name="___________________________cp1" localSheetId="18" hidden="1">{"'előző év december'!$A$2:$CP$214"}</definedName>
    <definedName name="___________________________cp1" localSheetId="19" hidden="1">{"'előző év december'!$A$2:$CP$214"}</definedName>
    <definedName name="___________________________cp1" hidden="1">{"'előző év december'!$A$2:$CP$214"}</definedName>
    <definedName name="___________________________cp10" localSheetId="31" hidden="1">{"'előző év december'!$A$2:$CP$214"}</definedName>
    <definedName name="___________________________cp10" localSheetId="32" hidden="1">{"'előző év december'!$A$2:$CP$214"}</definedName>
    <definedName name="___________________________cp10" localSheetId="11" hidden="1">{"'előző év december'!$A$2:$CP$214"}</definedName>
    <definedName name="___________________________cp10" localSheetId="12" hidden="1">{"'előző év december'!$A$2:$CP$214"}</definedName>
    <definedName name="___________________________cp10" localSheetId="18" hidden="1">{"'előző év december'!$A$2:$CP$214"}</definedName>
    <definedName name="___________________________cp10" localSheetId="19" hidden="1">{"'előző év december'!$A$2:$CP$214"}</definedName>
    <definedName name="___________________________cp10" hidden="1">{"'előző év december'!$A$2:$CP$214"}</definedName>
    <definedName name="___________________________cp11" localSheetId="31" hidden="1">{"'előző év december'!$A$2:$CP$214"}</definedName>
    <definedName name="___________________________cp11" localSheetId="32" hidden="1">{"'előző év december'!$A$2:$CP$214"}</definedName>
    <definedName name="___________________________cp11" localSheetId="11" hidden="1">{"'előző év december'!$A$2:$CP$214"}</definedName>
    <definedName name="___________________________cp11" localSheetId="12" hidden="1">{"'előző év december'!$A$2:$CP$214"}</definedName>
    <definedName name="___________________________cp11" localSheetId="18" hidden="1">{"'előző év december'!$A$2:$CP$214"}</definedName>
    <definedName name="___________________________cp11" localSheetId="19" hidden="1">{"'előző év december'!$A$2:$CP$214"}</definedName>
    <definedName name="___________________________cp11" hidden="1">{"'előző év december'!$A$2:$CP$214"}</definedName>
    <definedName name="___________________________cp2" localSheetId="31" hidden="1">{"'előző év december'!$A$2:$CP$214"}</definedName>
    <definedName name="___________________________cp2" localSheetId="32" hidden="1">{"'előző év december'!$A$2:$CP$214"}</definedName>
    <definedName name="___________________________cp2" localSheetId="11" hidden="1">{"'előző év december'!$A$2:$CP$214"}</definedName>
    <definedName name="___________________________cp2" localSheetId="12" hidden="1">{"'előző év december'!$A$2:$CP$214"}</definedName>
    <definedName name="___________________________cp2" localSheetId="18" hidden="1">{"'előző év december'!$A$2:$CP$214"}</definedName>
    <definedName name="___________________________cp2" localSheetId="19" hidden="1">{"'előző év december'!$A$2:$CP$214"}</definedName>
    <definedName name="___________________________cp2" hidden="1">{"'előző év december'!$A$2:$CP$214"}</definedName>
    <definedName name="___________________________cp3" localSheetId="31" hidden="1">{"'előző év december'!$A$2:$CP$214"}</definedName>
    <definedName name="___________________________cp3" localSheetId="32" hidden="1">{"'előző év december'!$A$2:$CP$214"}</definedName>
    <definedName name="___________________________cp3" localSheetId="11" hidden="1">{"'előző év december'!$A$2:$CP$214"}</definedName>
    <definedName name="___________________________cp3" localSheetId="12" hidden="1">{"'előző év december'!$A$2:$CP$214"}</definedName>
    <definedName name="___________________________cp3" localSheetId="18" hidden="1">{"'előző év december'!$A$2:$CP$214"}</definedName>
    <definedName name="___________________________cp3" localSheetId="19" hidden="1">{"'előző év december'!$A$2:$CP$214"}</definedName>
    <definedName name="___________________________cp3" hidden="1">{"'előző év december'!$A$2:$CP$214"}</definedName>
    <definedName name="___________________________cp4" localSheetId="31" hidden="1">{"'előző év december'!$A$2:$CP$214"}</definedName>
    <definedName name="___________________________cp4" localSheetId="32" hidden="1">{"'előző év december'!$A$2:$CP$214"}</definedName>
    <definedName name="___________________________cp4" localSheetId="11" hidden="1">{"'előző év december'!$A$2:$CP$214"}</definedName>
    <definedName name="___________________________cp4" localSheetId="12" hidden="1">{"'előző év december'!$A$2:$CP$214"}</definedName>
    <definedName name="___________________________cp4" localSheetId="18" hidden="1">{"'előző év december'!$A$2:$CP$214"}</definedName>
    <definedName name="___________________________cp4" localSheetId="19" hidden="1">{"'előző év december'!$A$2:$CP$214"}</definedName>
    <definedName name="___________________________cp4" hidden="1">{"'előző év december'!$A$2:$CP$214"}</definedName>
    <definedName name="___________________________cp5" localSheetId="31" hidden="1">{"'előző év december'!$A$2:$CP$214"}</definedName>
    <definedName name="___________________________cp5" localSheetId="32" hidden="1">{"'előző év december'!$A$2:$CP$214"}</definedName>
    <definedName name="___________________________cp5" localSheetId="11" hidden="1">{"'előző év december'!$A$2:$CP$214"}</definedName>
    <definedName name="___________________________cp5" localSheetId="12" hidden="1">{"'előző év december'!$A$2:$CP$214"}</definedName>
    <definedName name="___________________________cp5" localSheetId="18" hidden="1">{"'előző év december'!$A$2:$CP$214"}</definedName>
    <definedName name="___________________________cp5" localSheetId="19" hidden="1">{"'előző év december'!$A$2:$CP$214"}</definedName>
    <definedName name="___________________________cp5" hidden="1">{"'előző év december'!$A$2:$CP$214"}</definedName>
    <definedName name="___________________________cp6" localSheetId="31" hidden="1">{"'előző év december'!$A$2:$CP$214"}</definedName>
    <definedName name="___________________________cp6" localSheetId="32" hidden="1">{"'előző év december'!$A$2:$CP$214"}</definedName>
    <definedName name="___________________________cp6" localSheetId="11" hidden="1">{"'előző év december'!$A$2:$CP$214"}</definedName>
    <definedName name="___________________________cp6" localSheetId="12" hidden="1">{"'előző év december'!$A$2:$CP$214"}</definedName>
    <definedName name="___________________________cp6" localSheetId="18" hidden="1">{"'előző év december'!$A$2:$CP$214"}</definedName>
    <definedName name="___________________________cp6" localSheetId="19" hidden="1">{"'előző év december'!$A$2:$CP$214"}</definedName>
    <definedName name="___________________________cp6" hidden="1">{"'előző év december'!$A$2:$CP$214"}</definedName>
    <definedName name="___________________________cp7" localSheetId="31" hidden="1">{"'előző év december'!$A$2:$CP$214"}</definedName>
    <definedName name="___________________________cp7" localSheetId="32" hidden="1">{"'előző év december'!$A$2:$CP$214"}</definedName>
    <definedName name="___________________________cp7" localSheetId="11" hidden="1">{"'előző év december'!$A$2:$CP$214"}</definedName>
    <definedName name="___________________________cp7" localSheetId="12" hidden="1">{"'előző év december'!$A$2:$CP$214"}</definedName>
    <definedName name="___________________________cp7" localSheetId="18" hidden="1">{"'előző év december'!$A$2:$CP$214"}</definedName>
    <definedName name="___________________________cp7" localSheetId="19" hidden="1">{"'előző év december'!$A$2:$CP$214"}</definedName>
    <definedName name="___________________________cp7" hidden="1">{"'előző év december'!$A$2:$CP$214"}</definedName>
    <definedName name="___________________________cp8" localSheetId="31" hidden="1">{"'előző év december'!$A$2:$CP$214"}</definedName>
    <definedName name="___________________________cp8" localSheetId="32" hidden="1">{"'előző év december'!$A$2:$CP$214"}</definedName>
    <definedName name="___________________________cp8" localSheetId="11" hidden="1">{"'előző év december'!$A$2:$CP$214"}</definedName>
    <definedName name="___________________________cp8" localSheetId="12" hidden="1">{"'előző év december'!$A$2:$CP$214"}</definedName>
    <definedName name="___________________________cp8" localSheetId="18" hidden="1">{"'előző év december'!$A$2:$CP$214"}</definedName>
    <definedName name="___________________________cp8" localSheetId="19" hidden="1">{"'előző év december'!$A$2:$CP$214"}</definedName>
    <definedName name="___________________________cp8" hidden="1">{"'előző év december'!$A$2:$CP$214"}</definedName>
    <definedName name="___________________________cp9" localSheetId="31" hidden="1">{"'előző év december'!$A$2:$CP$214"}</definedName>
    <definedName name="___________________________cp9" localSheetId="32" hidden="1">{"'előző év december'!$A$2:$CP$214"}</definedName>
    <definedName name="___________________________cp9" localSheetId="11" hidden="1">{"'előző év december'!$A$2:$CP$214"}</definedName>
    <definedName name="___________________________cp9" localSheetId="12" hidden="1">{"'előző év december'!$A$2:$CP$214"}</definedName>
    <definedName name="___________________________cp9" localSheetId="18" hidden="1">{"'előző év december'!$A$2:$CP$214"}</definedName>
    <definedName name="___________________________cp9" localSheetId="19" hidden="1">{"'előző év december'!$A$2:$CP$214"}</definedName>
    <definedName name="___________________________cp9" hidden="1">{"'előző év december'!$A$2:$CP$214"}</definedName>
    <definedName name="___________________________cpr2" localSheetId="31" hidden="1">{"'előző év december'!$A$2:$CP$214"}</definedName>
    <definedName name="___________________________cpr2" localSheetId="32" hidden="1">{"'előző év december'!$A$2:$CP$214"}</definedName>
    <definedName name="___________________________cpr2" localSheetId="11" hidden="1">{"'előző év december'!$A$2:$CP$214"}</definedName>
    <definedName name="___________________________cpr2" localSheetId="12" hidden="1">{"'előző év december'!$A$2:$CP$214"}</definedName>
    <definedName name="___________________________cpr2" localSheetId="18" hidden="1">{"'előző év december'!$A$2:$CP$214"}</definedName>
    <definedName name="___________________________cpr2" localSheetId="19" hidden="1">{"'előző év december'!$A$2:$CP$214"}</definedName>
    <definedName name="___________________________cpr2" hidden="1">{"'előző év december'!$A$2:$CP$214"}</definedName>
    <definedName name="___________________________cpr3" localSheetId="31" hidden="1">{"'előző év december'!$A$2:$CP$214"}</definedName>
    <definedName name="___________________________cpr3" localSheetId="32" hidden="1">{"'előző év december'!$A$2:$CP$214"}</definedName>
    <definedName name="___________________________cpr3" localSheetId="11" hidden="1">{"'előző év december'!$A$2:$CP$214"}</definedName>
    <definedName name="___________________________cpr3" localSheetId="12" hidden="1">{"'előző év december'!$A$2:$CP$214"}</definedName>
    <definedName name="___________________________cpr3" localSheetId="18" hidden="1">{"'előző év december'!$A$2:$CP$214"}</definedName>
    <definedName name="___________________________cpr3" localSheetId="19" hidden="1">{"'előző év december'!$A$2:$CP$214"}</definedName>
    <definedName name="___________________________cpr3" hidden="1">{"'előző év december'!$A$2:$CP$214"}</definedName>
    <definedName name="___________________________cpr4" localSheetId="31" hidden="1">{"'előző év december'!$A$2:$CP$214"}</definedName>
    <definedName name="___________________________cpr4" localSheetId="32" hidden="1">{"'előző év december'!$A$2:$CP$214"}</definedName>
    <definedName name="___________________________cpr4" localSheetId="11" hidden="1">{"'előző év december'!$A$2:$CP$214"}</definedName>
    <definedName name="___________________________cpr4" localSheetId="12" hidden="1">{"'előző év december'!$A$2:$CP$214"}</definedName>
    <definedName name="___________________________cpr4" localSheetId="18" hidden="1">{"'előző év december'!$A$2:$CP$214"}</definedName>
    <definedName name="___________________________cpr4" localSheetId="19" hidden="1">{"'előző év december'!$A$2:$CP$214"}</definedName>
    <definedName name="___________________________cpr4" hidden="1">{"'előző év december'!$A$2:$CP$214"}</definedName>
    <definedName name="__________________________cp1" localSheetId="31" hidden="1">{"'előző év december'!$A$2:$CP$214"}</definedName>
    <definedName name="__________________________cp1" localSheetId="32" hidden="1">{"'előző év december'!$A$2:$CP$214"}</definedName>
    <definedName name="__________________________cp1" localSheetId="11" hidden="1">{"'előző év december'!$A$2:$CP$214"}</definedName>
    <definedName name="__________________________cp1" localSheetId="12" hidden="1">{"'előző év december'!$A$2:$CP$214"}</definedName>
    <definedName name="__________________________cp1" localSheetId="18" hidden="1">{"'előző év december'!$A$2:$CP$214"}</definedName>
    <definedName name="__________________________cp1" localSheetId="19" hidden="1">{"'előző év december'!$A$2:$CP$214"}</definedName>
    <definedName name="__________________________cp1" hidden="1">{"'előző év december'!$A$2:$CP$214"}</definedName>
    <definedName name="__________________________cp10" localSheetId="31" hidden="1">{"'előző év december'!$A$2:$CP$214"}</definedName>
    <definedName name="__________________________cp10" localSheetId="32" hidden="1">{"'előző év december'!$A$2:$CP$214"}</definedName>
    <definedName name="__________________________cp10" localSheetId="11" hidden="1">{"'előző év december'!$A$2:$CP$214"}</definedName>
    <definedName name="__________________________cp10" localSheetId="12" hidden="1">{"'előző év december'!$A$2:$CP$214"}</definedName>
    <definedName name="__________________________cp10" localSheetId="18" hidden="1">{"'előző év december'!$A$2:$CP$214"}</definedName>
    <definedName name="__________________________cp10" localSheetId="19" hidden="1">{"'előző év december'!$A$2:$CP$214"}</definedName>
    <definedName name="__________________________cp10" hidden="1">{"'előző év december'!$A$2:$CP$214"}</definedName>
    <definedName name="__________________________cp11" localSheetId="31" hidden="1">{"'előző év december'!$A$2:$CP$214"}</definedName>
    <definedName name="__________________________cp11" localSheetId="32" hidden="1">{"'előző év december'!$A$2:$CP$214"}</definedName>
    <definedName name="__________________________cp11" localSheetId="11" hidden="1">{"'előző év december'!$A$2:$CP$214"}</definedName>
    <definedName name="__________________________cp11" localSheetId="12" hidden="1">{"'előző év december'!$A$2:$CP$214"}</definedName>
    <definedName name="__________________________cp11" localSheetId="18" hidden="1">{"'előző év december'!$A$2:$CP$214"}</definedName>
    <definedName name="__________________________cp11" localSheetId="19" hidden="1">{"'előző év december'!$A$2:$CP$214"}</definedName>
    <definedName name="__________________________cp11" hidden="1">{"'előző év december'!$A$2:$CP$214"}</definedName>
    <definedName name="__________________________cp2" localSheetId="31" hidden="1">{"'előző év december'!$A$2:$CP$214"}</definedName>
    <definedName name="__________________________cp2" localSheetId="32" hidden="1">{"'előző év december'!$A$2:$CP$214"}</definedName>
    <definedName name="__________________________cp2" localSheetId="11" hidden="1">{"'előző év december'!$A$2:$CP$214"}</definedName>
    <definedName name="__________________________cp2" localSheetId="12" hidden="1">{"'előző év december'!$A$2:$CP$214"}</definedName>
    <definedName name="__________________________cp2" localSheetId="18" hidden="1">{"'előző év december'!$A$2:$CP$214"}</definedName>
    <definedName name="__________________________cp2" localSheetId="19" hidden="1">{"'előző év december'!$A$2:$CP$214"}</definedName>
    <definedName name="__________________________cp2" hidden="1">{"'előző év december'!$A$2:$CP$214"}</definedName>
    <definedName name="__________________________cp3" localSheetId="31" hidden="1">{"'előző év december'!$A$2:$CP$214"}</definedName>
    <definedName name="__________________________cp3" localSheetId="32" hidden="1">{"'előző év december'!$A$2:$CP$214"}</definedName>
    <definedName name="__________________________cp3" localSheetId="11" hidden="1">{"'előző év december'!$A$2:$CP$214"}</definedName>
    <definedName name="__________________________cp3" localSheetId="12" hidden="1">{"'előző év december'!$A$2:$CP$214"}</definedName>
    <definedName name="__________________________cp3" localSheetId="18" hidden="1">{"'előző év december'!$A$2:$CP$214"}</definedName>
    <definedName name="__________________________cp3" localSheetId="19" hidden="1">{"'előző év december'!$A$2:$CP$214"}</definedName>
    <definedName name="__________________________cp3" hidden="1">{"'előző év december'!$A$2:$CP$214"}</definedName>
    <definedName name="__________________________cp4" localSheetId="31" hidden="1">{"'előző év december'!$A$2:$CP$214"}</definedName>
    <definedName name="__________________________cp4" localSheetId="32" hidden="1">{"'előző év december'!$A$2:$CP$214"}</definedName>
    <definedName name="__________________________cp4" localSheetId="11" hidden="1">{"'előző év december'!$A$2:$CP$214"}</definedName>
    <definedName name="__________________________cp4" localSheetId="12" hidden="1">{"'előző év december'!$A$2:$CP$214"}</definedName>
    <definedName name="__________________________cp4" localSheetId="18" hidden="1">{"'előző év december'!$A$2:$CP$214"}</definedName>
    <definedName name="__________________________cp4" localSheetId="19" hidden="1">{"'előző év december'!$A$2:$CP$214"}</definedName>
    <definedName name="__________________________cp4" hidden="1">{"'előző év december'!$A$2:$CP$214"}</definedName>
    <definedName name="__________________________cp5" localSheetId="31" hidden="1">{"'előző év december'!$A$2:$CP$214"}</definedName>
    <definedName name="__________________________cp5" localSheetId="32" hidden="1">{"'előző év december'!$A$2:$CP$214"}</definedName>
    <definedName name="__________________________cp5" localSheetId="11" hidden="1">{"'előző év december'!$A$2:$CP$214"}</definedName>
    <definedName name="__________________________cp5" localSheetId="12" hidden="1">{"'előző év december'!$A$2:$CP$214"}</definedName>
    <definedName name="__________________________cp5" localSheetId="18" hidden="1">{"'előző év december'!$A$2:$CP$214"}</definedName>
    <definedName name="__________________________cp5" localSheetId="19" hidden="1">{"'előző év december'!$A$2:$CP$214"}</definedName>
    <definedName name="__________________________cp5" hidden="1">{"'előző év december'!$A$2:$CP$214"}</definedName>
    <definedName name="__________________________cp6" localSheetId="31" hidden="1">{"'előző év december'!$A$2:$CP$214"}</definedName>
    <definedName name="__________________________cp6" localSheetId="32" hidden="1">{"'előző év december'!$A$2:$CP$214"}</definedName>
    <definedName name="__________________________cp6" localSheetId="11" hidden="1">{"'előző év december'!$A$2:$CP$214"}</definedName>
    <definedName name="__________________________cp6" localSheetId="12" hidden="1">{"'előző év december'!$A$2:$CP$214"}</definedName>
    <definedName name="__________________________cp6" localSheetId="18" hidden="1">{"'előző év december'!$A$2:$CP$214"}</definedName>
    <definedName name="__________________________cp6" localSheetId="19" hidden="1">{"'előző év december'!$A$2:$CP$214"}</definedName>
    <definedName name="__________________________cp6" hidden="1">{"'előző év december'!$A$2:$CP$214"}</definedName>
    <definedName name="__________________________cp7" localSheetId="31" hidden="1">{"'előző év december'!$A$2:$CP$214"}</definedName>
    <definedName name="__________________________cp7" localSheetId="32" hidden="1">{"'előző év december'!$A$2:$CP$214"}</definedName>
    <definedName name="__________________________cp7" localSheetId="11" hidden="1">{"'előző év december'!$A$2:$CP$214"}</definedName>
    <definedName name="__________________________cp7" localSheetId="12" hidden="1">{"'előző év december'!$A$2:$CP$214"}</definedName>
    <definedName name="__________________________cp7" localSheetId="18" hidden="1">{"'előző év december'!$A$2:$CP$214"}</definedName>
    <definedName name="__________________________cp7" localSheetId="19" hidden="1">{"'előző év december'!$A$2:$CP$214"}</definedName>
    <definedName name="__________________________cp7" hidden="1">{"'előző év december'!$A$2:$CP$214"}</definedName>
    <definedName name="__________________________cp8" localSheetId="31" hidden="1">{"'előző év december'!$A$2:$CP$214"}</definedName>
    <definedName name="__________________________cp8" localSheetId="32" hidden="1">{"'előző év december'!$A$2:$CP$214"}</definedName>
    <definedName name="__________________________cp8" localSheetId="11" hidden="1">{"'előző év december'!$A$2:$CP$214"}</definedName>
    <definedName name="__________________________cp8" localSheetId="12" hidden="1">{"'előző év december'!$A$2:$CP$214"}</definedName>
    <definedName name="__________________________cp8" localSheetId="18" hidden="1">{"'előző év december'!$A$2:$CP$214"}</definedName>
    <definedName name="__________________________cp8" localSheetId="19" hidden="1">{"'előző év december'!$A$2:$CP$214"}</definedName>
    <definedName name="__________________________cp8" hidden="1">{"'előző év december'!$A$2:$CP$214"}</definedName>
    <definedName name="__________________________cp9" localSheetId="31" hidden="1">{"'előző év december'!$A$2:$CP$214"}</definedName>
    <definedName name="__________________________cp9" localSheetId="32" hidden="1">{"'előző év december'!$A$2:$CP$214"}</definedName>
    <definedName name="__________________________cp9" localSheetId="11" hidden="1">{"'előző év december'!$A$2:$CP$214"}</definedName>
    <definedName name="__________________________cp9" localSheetId="12" hidden="1">{"'előző év december'!$A$2:$CP$214"}</definedName>
    <definedName name="__________________________cp9" localSheetId="18" hidden="1">{"'előző év december'!$A$2:$CP$214"}</definedName>
    <definedName name="__________________________cp9" localSheetId="19" hidden="1">{"'előző év december'!$A$2:$CP$214"}</definedName>
    <definedName name="__________________________cp9" hidden="1">{"'előző év december'!$A$2:$CP$214"}</definedName>
    <definedName name="__________________________cpr2" localSheetId="31" hidden="1">{"'előző év december'!$A$2:$CP$214"}</definedName>
    <definedName name="__________________________cpr2" localSheetId="32" hidden="1">{"'előző év december'!$A$2:$CP$214"}</definedName>
    <definedName name="__________________________cpr2" localSheetId="11" hidden="1">{"'előző év december'!$A$2:$CP$214"}</definedName>
    <definedName name="__________________________cpr2" localSheetId="12" hidden="1">{"'előző év december'!$A$2:$CP$214"}</definedName>
    <definedName name="__________________________cpr2" localSheetId="18" hidden="1">{"'előző év december'!$A$2:$CP$214"}</definedName>
    <definedName name="__________________________cpr2" localSheetId="19" hidden="1">{"'előző év december'!$A$2:$CP$214"}</definedName>
    <definedName name="__________________________cpr2" hidden="1">{"'előző év december'!$A$2:$CP$214"}</definedName>
    <definedName name="__________________________cpr3" localSheetId="31" hidden="1">{"'előző év december'!$A$2:$CP$214"}</definedName>
    <definedName name="__________________________cpr3" localSheetId="32" hidden="1">{"'előző év december'!$A$2:$CP$214"}</definedName>
    <definedName name="__________________________cpr3" localSheetId="11" hidden="1">{"'előző év december'!$A$2:$CP$214"}</definedName>
    <definedName name="__________________________cpr3" localSheetId="12" hidden="1">{"'előző év december'!$A$2:$CP$214"}</definedName>
    <definedName name="__________________________cpr3" localSheetId="18" hidden="1">{"'előző év december'!$A$2:$CP$214"}</definedName>
    <definedName name="__________________________cpr3" localSheetId="19" hidden="1">{"'előző év december'!$A$2:$CP$214"}</definedName>
    <definedName name="__________________________cpr3" hidden="1">{"'előző év december'!$A$2:$CP$214"}</definedName>
    <definedName name="__________________________cpr4" localSheetId="31" hidden="1">{"'előző év december'!$A$2:$CP$214"}</definedName>
    <definedName name="__________________________cpr4" localSheetId="32" hidden="1">{"'előző év december'!$A$2:$CP$214"}</definedName>
    <definedName name="__________________________cpr4" localSheetId="11" hidden="1">{"'előző év december'!$A$2:$CP$214"}</definedName>
    <definedName name="__________________________cpr4" localSheetId="12" hidden="1">{"'előző év december'!$A$2:$CP$214"}</definedName>
    <definedName name="__________________________cpr4" localSheetId="18" hidden="1">{"'előző év december'!$A$2:$CP$214"}</definedName>
    <definedName name="__________________________cpr4" localSheetId="19" hidden="1">{"'előző év december'!$A$2:$CP$214"}</definedName>
    <definedName name="__________________________cpr4" hidden="1">{"'előző év december'!$A$2:$CP$214"}</definedName>
    <definedName name="_________________________cp1" localSheetId="31" hidden="1">{"'előző év december'!$A$2:$CP$214"}</definedName>
    <definedName name="_________________________cp1" localSheetId="32" hidden="1">{"'előző év december'!$A$2:$CP$214"}</definedName>
    <definedName name="_________________________cp1" localSheetId="11" hidden="1">{"'előző év december'!$A$2:$CP$214"}</definedName>
    <definedName name="_________________________cp1" localSheetId="12" hidden="1">{"'előző év december'!$A$2:$CP$214"}</definedName>
    <definedName name="_________________________cp1" localSheetId="18" hidden="1">{"'előző év december'!$A$2:$CP$214"}</definedName>
    <definedName name="_________________________cp1" localSheetId="19" hidden="1">{"'előző év december'!$A$2:$CP$214"}</definedName>
    <definedName name="_________________________cp1" hidden="1">{"'előző év december'!$A$2:$CP$214"}</definedName>
    <definedName name="_________________________cp10" localSheetId="31" hidden="1">{"'előző év december'!$A$2:$CP$214"}</definedName>
    <definedName name="_________________________cp10" localSheetId="32" hidden="1">{"'előző év december'!$A$2:$CP$214"}</definedName>
    <definedName name="_________________________cp10" localSheetId="11" hidden="1">{"'előző év december'!$A$2:$CP$214"}</definedName>
    <definedName name="_________________________cp10" localSheetId="12" hidden="1">{"'előző év december'!$A$2:$CP$214"}</definedName>
    <definedName name="_________________________cp10" localSheetId="18" hidden="1">{"'előző év december'!$A$2:$CP$214"}</definedName>
    <definedName name="_________________________cp10" localSheetId="19" hidden="1">{"'előző év december'!$A$2:$CP$214"}</definedName>
    <definedName name="_________________________cp10" hidden="1">{"'előző év december'!$A$2:$CP$214"}</definedName>
    <definedName name="_________________________cp11" localSheetId="31" hidden="1">{"'előző év december'!$A$2:$CP$214"}</definedName>
    <definedName name="_________________________cp11" localSheetId="32" hidden="1">{"'előző év december'!$A$2:$CP$214"}</definedName>
    <definedName name="_________________________cp11" localSheetId="11" hidden="1">{"'előző év december'!$A$2:$CP$214"}</definedName>
    <definedName name="_________________________cp11" localSheetId="12" hidden="1">{"'előző év december'!$A$2:$CP$214"}</definedName>
    <definedName name="_________________________cp11" localSheetId="18" hidden="1">{"'előző év december'!$A$2:$CP$214"}</definedName>
    <definedName name="_________________________cp11" localSheetId="19" hidden="1">{"'előző év december'!$A$2:$CP$214"}</definedName>
    <definedName name="_________________________cp11" hidden="1">{"'előző év december'!$A$2:$CP$214"}</definedName>
    <definedName name="_________________________cp2" localSheetId="31" hidden="1">{"'előző év december'!$A$2:$CP$214"}</definedName>
    <definedName name="_________________________cp2" localSheetId="32" hidden="1">{"'előző év december'!$A$2:$CP$214"}</definedName>
    <definedName name="_________________________cp2" localSheetId="11" hidden="1">{"'előző év december'!$A$2:$CP$214"}</definedName>
    <definedName name="_________________________cp2" localSheetId="12" hidden="1">{"'előző év december'!$A$2:$CP$214"}</definedName>
    <definedName name="_________________________cp2" localSheetId="18" hidden="1">{"'előző év december'!$A$2:$CP$214"}</definedName>
    <definedName name="_________________________cp2" localSheetId="19" hidden="1">{"'előző év december'!$A$2:$CP$214"}</definedName>
    <definedName name="_________________________cp2" hidden="1">{"'előző év december'!$A$2:$CP$214"}</definedName>
    <definedName name="_________________________cp3" localSheetId="31" hidden="1">{"'előző év december'!$A$2:$CP$214"}</definedName>
    <definedName name="_________________________cp3" localSheetId="32" hidden="1">{"'előző év december'!$A$2:$CP$214"}</definedName>
    <definedName name="_________________________cp3" localSheetId="11" hidden="1">{"'előző év december'!$A$2:$CP$214"}</definedName>
    <definedName name="_________________________cp3" localSheetId="12" hidden="1">{"'előző év december'!$A$2:$CP$214"}</definedName>
    <definedName name="_________________________cp3" localSheetId="18" hidden="1">{"'előző év december'!$A$2:$CP$214"}</definedName>
    <definedName name="_________________________cp3" localSheetId="19" hidden="1">{"'előző év december'!$A$2:$CP$214"}</definedName>
    <definedName name="_________________________cp3" hidden="1">{"'előző év december'!$A$2:$CP$214"}</definedName>
    <definedName name="_________________________cp4" localSheetId="31" hidden="1">{"'előző év december'!$A$2:$CP$214"}</definedName>
    <definedName name="_________________________cp4" localSheetId="32" hidden="1">{"'előző év december'!$A$2:$CP$214"}</definedName>
    <definedName name="_________________________cp4" localSheetId="11" hidden="1">{"'előző év december'!$A$2:$CP$214"}</definedName>
    <definedName name="_________________________cp4" localSheetId="12" hidden="1">{"'előző év december'!$A$2:$CP$214"}</definedName>
    <definedName name="_________________________cp4" localSheetId="18" hidden="1">{"'előző év december'!$A$2:$CP$214"}</definedName>
    <definedName name="_________________________cp4" localSheetId="19" hidden="1">{"'előző év december'!$A$2:$CP$214"}</definedName>
    <definedName name="_________________________cp4" hidden="1">{"'előző év december'!$A$2:$CP$214"}</definedName>
    <definedName name="_________________________cp5" localSheetId="31" hidden="1">{"'előző év december'!$A$2:$CP$214"}</definedName>
    <definedName name="_________________________cp5" localSheetId="32" hidden="1">{"'előző év december'!$A$2:$CP$214"}</definedName>
    <definedName name="_________________________cp5" localSheetId="11" hidden="1">{"'előző év december'!$A$2:$CP$214"}</definedName>
    <definedName name="_________________________cp5" localSheetId="12" hidden="1">{"'előző év december'!$A$2:$CP$214"}</definedName>
    <definedName name="_________________________cp5" localSheetId="18" hidden="1">{"'előző év december'!$A$2:$CP$214"}</definedName>
    <definedName name="_________________________cp5" localSheetId="19" hidden="1">{"'előző év december'!$A$2:$CP$214"}</definedName>
    <definedName name="_________________________cp5" hidden="1">{"'előző év december'!$A$2:$CP$214"}</definedName>
    <definedName name="_________________________cp6" localSheetId="31" hidden="1">{"'előző év december'!$A$2:$CP$214"}</definedName>
    <definedName name="_________________________cp6" localSheetId="32" hidden="1">{"'előző év december'!$A$2:$CP$214"}</definedName>
    <definedName name="_________________________cp6" localSheetId="11" hidden="1">{"'előző év december'!$A$2:$CP$214"}</definedName>
    <definedName name="_________________________cp6" localSheetId="12" hidden="1">{"'előző év december'!$A$2:$CP$214"}</definedName>
    <definedName name="_________________________cp6" localSheetId="18" hidden="1">{"'előző év december'!$A$2:$CP$214"}</definedName>
    <definedName name="_________________________cp6" localSheetId="19" hidden="1">{"'előző év december'!$A$2:$CP$214"}</definedName>
    <definedName name="_________________________cp6" hidden="1">{"'előző év december'!$A$2:$CP$214"}</definedName>
    <definedName name="_________________________cp7" localSheetId="31" hidden="1">{"'előző év december'!$A$2:$CP$214"}</definedName>
    <definedName name="_________________________cp7" localSheetId="32" hidden="1">{"'előző év december'!$A$2:$CP$214"}</definedName>
    <definedName name="_________________________cp7" localSheetId="11" hidden="1">{"'előző év december'!$A$2:$CP$214"}</definedName>
    <definedName name="_________________________cp7" localSheetId="12" hidden="1">{"'előző év december'!$A$2:$CP$214"}</definedName>
    <definedName name="_________________________cp7" localSheetId="18" hidden="1">{"'előző év december'!$A$2:$CP$214"}</definedName>
    <definedName name="_________________________cp7" localSheetId="19" hidden="1">{"'előző év december'!$A$2:$CP$214"}</definedName>
    <definedName name="_________________________cp7" hidden="1">{"'előző év december'!$A$2:$CP$214"}</definedName>
    <definedName name="_________________________cp8" localSheetId="31" hidden="1">{"'előző év december'!$A$2:$CP$214"}</definedName>
    <definedName name="_________________________cp8" localSheetId="32" hidden="1">{"'előző év december'!$A$2:$CP$214"}</definedName>
    <definedName name="_________________________cp8" localSheetId="11" hidden="1">{"'előző év december'!$A$2:$CP$214"}</definedName>
    <definedName name="_________________________cp8" localSheetId="12" hidden="1">{"'előző év december'!$A$2:$CP$214"}</definedName>
    <definedName name="_________________________cp8" localSheetId="18" hidden="1">{"'előző év december'!$A$2:$CP$214"}</definedName>
    <definedName name="_________________________cp8" localSheetId="19" hidden="1">{"'előző év december'!$A$2:$CP$214"}</definedName>
    <definedName name="_________________________cp8" hidden="1">{"'előző év december'!$A$2:$CP$214"}</definedName>
    <definedName name="_________________________cp9" localSheetId="31" hidden="1">{"'előző év december'!$A$2:$CP$214"}</definedName>
    <definedName name="_________________________cp9" localSheetId="32" hidden="1">{"'előző év december'!$A$2:$CP$214"}</definedName>
    <definedName name="_________________________cp9" localSheetId="11" hidden="1">{"'előző év december'!$A$2:$CP$214"}</definedName>
    <definedName name="_________________________cp9" localSheetId="12" hidden="1">{"'előző év december'!$A$2:$CP$214"}</definedName>
    <definedName name="_________________________cp9" localSheetId="18" hidden="1">{"'előző év december'!$A$2:$CP$214"}</definedName>
    <definedName name="_________________________cp9" localSheetId="19" hidden="1">{"'előző év december'!$A$2:$CP$214"}</definedName>
    <definedName name="_________________________cp9" hidden="1">{"'előző év december'!$A$2:$CP$214"}</definedName>
    <definedName name="_________________________cpr2" localSheetId="31" hidden="1">{"'előző év december'!$A$2:$CP$214"}</definedName>
    <definedName name="_________________________cpr2" localSheetId="32" hidden="1">{"'előző év december'!$A$2:$CP$214"}</definedName>
    <definedName name="_________________________cpr2" localSheetId="11" hidden="1">{"'előző év december'!$A$2:$CP$214"}</definedName>
    <definedName name="_________________________cpr2" localSheetId="12" hidden="1">{"'előző év december'!$A$2:$CP$214"}</definedName>
    <definedName name="_________________________cpr2" localSheetId="18" hidden="1">{"'előző év december'!$A$2:$CP$214"}</definedName>
    <definedName name="_________________________cpr2" localSheetId="19" hidden="1">{"'előző év december'!$A$2:$CP$214"}</definedName>
    <definedName name="_________________________cpr2" hidden="1">{"'előző év december'!$A$2:$CP$214"}</definedName>
    <definedName name="_________________________cpr3" localSheetId="31" hidden="1">{"'előző év december'!$A$2:$CP$214"}</definedName>
    <definedName name="_________________________cpr3" localSheetId="32" hidden="1">{"'előző év december'!$A$2:$CP$214"}</definedName>
    <definedName name="_________________________cpr3" localSheetId="11" hidden="1">{"'előző év december'!$A$2:$CP$214"}</definedName>
    <definedName name="_________________________cpr3" localSheetId="12" hidden="1">{"'előző év december'!$A$2:$CP$214"}</definedName>
    <definedName name="_________________________cpr3" localSheetId="18" hidden="1">{"'előző év december'!$A$2:$CP$214"}</definedName>
    <definedName name="_________________________cpr3" localSheetId="19" hidden="1">{"'előző év december'!$A$2:$CP$214"}</definedName>
    <definedName name="_________________________cpr3" hidden="1">{"'előző év december'!$A$2:$CP$214"}</definedName>
    <definedName name="_________________________cpr4" localSheetId="31" hidden="1">{"'előző év december'!$A$2:$CP$214"}</definedName>
    <definedName name="_________________________cpr4" localSheetId="32" hidden="1">{"'előző év december'!$A$2:$CP$214"}</definedName>
    <definedName name="_________________________cpr4" localSheetId="11" hidden="1">{"'előző év december'!$A$2:$CP$214"}</definedName>
    <definedName name="_________________________cpr4" localSheetId="12" hidden="1">{"'előző év december'!$A$2:$CP$214"}</definedName>
    <definedName name="_________________________cpr4" localSheetId="18" hidden="1">{"'előző év december'!$A$2:$CP$214"}</definedName>
    <definedName name="_________________________cpr4" localSheetId="19" hidden="1">{"'előző év december'!$A$2:$CP$214"}</definedName>
    <definedName name="_________________________cpr4" hidden="1">{"'előző év december'!$A$2:$CP$214"}</definedName>
    <definedName name="________________________cp1" localSheetId="31" hidden="1">{"'előző év december'!$A$2:$CP$214"}</definedName>
    <definedName name="________________________cp1" localSheetId="32" hidden="1">{"'előző év december'!$A$2:$CP$214"}</definedName>
    <definedName name="________________________cp1" localSheetId="11" hidden="1">{"'előző év december'!$A$2:$CP$214"}</definedName>
    <definedName name="________________________cp1" localSheetId="12" hidden="1">{"'előző év december'!$A$2:$CP$214"}</definedName>
    <definedName name="________________________cp1" localSheetId="18" hidden="1">{"'előző év december'!$A$2:$CP$214"}</definedName>
    <definedName name="________________________cp1" localSheetId="19" hidden="1">{"'előző év december'!$A$2:$CP$214"}</definedName>
    <definedName name="________________________cp1" hidden="1">{"'előző év december'!$A$2:$CP$214"}</definedName>
    <definedName name="________________________cp10" localSheetId="31" hidden="1">{"'előző év december'!$A$2:$CP$214"}</definedName>
    <definedName name="________________________cp10" localSheetId="32" hidden="1">{"'előző év december'!$A$2:$CP$214"}</definedName>
    <definedName name="________________________cp10" localSheetId="11" hidden="1">{"'előző év december'!$A$2:$CP$214"}</definedName>
    <definedName name="________________________cp10" localSheetId="12" hidden="1">{"'előző év december'!$A$2:$CP$214"}</definedName>
    <definedName name="________________________cp10" localSheetId="18" hidden="1">{"'előző év december'!$A$2:$CP$214"}</definedName>
    <definedName name="________________________cp10" localSheetId="19" hidden="1">{"'előző év december'!$A$2:$CP$214"}</definedName>
    <definedName name="________________________cp10" hidden="1">{"'előző év december'!$A$2:$CP$214"}</definedName>
    <definedName name="________________________cp11" localSheetId="31" hidden="1">{"'előző év december'!$A$2:$CP$214"}</definedName>
    <definedName name="________________________cp11" localSheetId="32" hidden="1">{"'előző év december'!$A$2:$CP$214"}</definedName>
    <definedName name="________________________cp11" localSheetId="11" hidden="1">{"'előző év december'!$A$2:$CP$214"}</definedName>
    <definedName name="________________________cp11" localSheetId="12" hidden="1">{"'előző év december'!$A$2:$CP$214"}</definedName>
    <definedName name="________________________cp11" localSheetId="18" hidden="1">{"'előző év december'!$A$2:$CP$214"}</definedName>
    <definedName name="________________________cp11" localSheetId="19" hidden="1">{"'előző év december'!$A$2:$CP$214"}</definedName>
    <definedName name="________________________cp11" hidden="1">{"'előző év december'!$A$2:$CP$214"}</definedName>
    <definedName name="________________________cp2" localSheetId="31" hidden="1">{"'előző év december'!$A$2:$CP$214"}</definedName>
    <definedName name="________________________cp2" localSheetId="32" hidden="1">{"'előző év december'!$A$2:$CP$214"}</definedName>
    <definedName name="________________________cp2" localSheetId="11" hidden="1">{"'előző év december'!$A$2:$CP$214"}</definedName>
    <definedName name="________________________cp2" localSheetId="12" hidden="1">{"'előző év december'!$A$2:$CP$214"}</definedName>
    <definedName name="________________________cp2" localSheetId="18" hidden="1">{"'előző év december'!$A$2:$CP$214"}</definedName>
    <definedName name="________________________cp2" localSheetId="19" hidden="1">{"'előző év december'!$A$2:$CP$214"}</definedName>
    <definedName name="________________________cp2" hidden="1">{"'előző év december'!$A$2:$CP$214"}</definedName>
    <definedName name="________________________cp3" localSheetId="31" hidden="1">{"'előző év december'!$A$2:$CP$214"}</definedName>
    <definedName name="________________________cp3" localSheetId="32" hidden="1">{"'előző év december'!$A$2:$CP$214"}</definedName>
    <definedName name="________________________cp3" localSheetId="11" hidden="1">{"'előző év december'!$A$2:$CP$214"}</definedName>
    <definedName name="________________________cp3" localSheetId="12" hidden="1">{"'előző év december'!$A$2:$CP$214"}</definedName>
    <definedName name="________________________cp3" localSheetId="18" hidden="1">{"'előző év december'!$A$2:$CP$214"}</definedName>
    <definedName name="________________________cp3" localSheetId="19" hidden="1">{"'előző év december'!$A$2:$CP$214"}</definedName>
    <definedName name="________________________cp3" hidden="1">{"'előző év december'!$A$2:$CP$214"}</definedName>
    <definedName name="________________________cp4" localSheetId="31" hidden="1">{"'előző év december'!$A$2:$CP$214"}</definedName>
    <definedName name="________________________cp4" localSheetId="32" hidden="1">{"'előző év december'!$A$2:$CP$214"}</definedName>
    <definedName name="________________________cp4" localSheetId="11" hidden="1">{"'előző év december'!$A$2:$CP$214"}</definedName>
    <definedName name="________________________cp4" localSheetId="12" hidden="1">{"'előző év december'!$A$2:$CP$214"}</definedName>
    <definedName name="________________________cp4" localSheetId="18" hidden="1">{"'előző év december'!$A$2:$CP$214"}</definedName>
    <definedName name="________________________cp4" localSheetId="19" hidden="1">{"'előző év december'!$A$2:$CP$214"}</definedName>
    <definedName name="________________________cp4" hidden="1">{"'előző év december'!$A$2:$CP$214"}</definedName>
    <definedName name="________________________cp5" localSheetId="31" hidden="1">{"'előző év december'!$A$2:$CP$214"}</definedName>
    <definedName name="________________________cp5" localSheetId="32" hidden="1">{"'előző év december'!$A$2:$CP$214"}</definedName>
    <definedName name="________________________cp5" localSheetId="11" hidden="1">{"'előző év december'!$A$2:$CP$214"}</definedName>
    <definedName name="________________________cp5" localSheetId="12" hidden="1">{"'előző év december'!$A$2:$CP$214"}</definedName>
    <definedName name="________________________cp5" localSheetId="18" hidden="1">{"'előző év december'!$A$2:$CP$214"}</definedName>
    <definedName name="________________________cp5" localSheetId="19" hidden="1">{"'előző év december'!$A$2:$CP$214"}</definedName>
    <definedName name="________________________cp5" hidden="1">{"'előző év december'!$A$2:$CP$214"}</definedName>
    <definedName name="________________________cp6" localSheetId="31" hidden="1">{"'előző év december'!$A$2:$CP$214"}</definedName>
    <definedName name="________________________cp6" localSheetId="32" hidden="1">{"'előző év december'!$A$2:$CP$214"}</definedName>
    <definedName name="________________________cp6" localSheetId="11" hidden="1">{"'előző év december'!$A$2:$CP$214"}</definedName>
    <definedName name="________________________cp6" localSheetId="12" hidden="1">{"'előző év december'!$A$2:$CP$214"}</definedName>
    <definedName name="________________________cp6" localSheetId="18" hidden="1">{"'előző év december'!$A$2:$CP$214"}</definedName>
    <definedName name="________________________cp6" localSheetId="19" hidden="1">{"'előző év december'!$A$2:$CP$214"}</definedName>
    <definedName name="________________________cp6" hidden="1">{"'előző év december'!$A$2:$CP$214"}</definedName>
    <definedName name="________________________cp7" localSheetId="31" hidden="1">{"'előző év december'!$A$2:$CP$214"}</definedName>
    <definedName name="________________________cp7" localSheetId="32" hidden="1">{"'előző év december'!$A$2:$CP$214"}</definedName>
    <definedName name="________________________cp7" localSheetId="11" hidden="1">{"'előző év december'!$A$2:$CP$214"}</definedName>
    <definedName name="________________________cp7" localSheetId="12" hidden="1">{"'előző év december'!$A$2:$CP$214"}</definedName>
    <definedName name="________________________cp7" localSheetId="18" hidden="1">{"'előző év december'!$A$2:$CP$214"}</definedName>
    <definedName name="________________________cp7" localSheetId="19" hidden="1">{"'előző év december'!$A$2:$CP$214"}</definedName>
    <definedName name="________________________cp7" hidden="1">{"'előző év december'!$A$2:$CP$214"}</definedName>
    <definedName name="________________________cp8" localSheetId="31" hidden="1">{"'előző év december'!$A$2:$CP$214"}</definedName>
    <definedName name="________________________cp8" localSheetId="32" hidden="1">{"'előző év december'!$A$2:$CP$214"}</definedName>
    <definedName name="________________________cp8" localSheetId="11" hidden="1">{"'előző év december'!$A$2:$CP$214"}</definedName>
    <definedName name="________________________cp8" localSheetId="12" hidden="1">{"'előző év december'!$A$2:$CP$214"}</definedName>
    <definedName name="________________________cp8" localSheetId="18" hidden="1">{"'előző év december'!$A$2:$CP$214"}</definedName>
    <definedName name="________________________cp8" localSheetId="19" hidden="1">{"'előző év december'!$A$2:$CP$214"}</definedName>
    <definedName name="________________________cp8" hidden="1">{"'előző év december'!$A$2:$CP$214"}</definedName>
    <definedName name="________________________cp9" localSheetId="31" hidden="1">{"'előző év december'!$A$2:$CP$214"}</definedName>
    <definedName name="________________________cp9" localSheetId="32" hidden="1">{"'előző év december'!$A$2:$CP$214"}</definedName>
    <definedName name="________________________cp9" localSheetId="11" hidden="1">{"'előző év december'!$A$2:$CP$214"}</definedName>
    <definedName name="________________________cp9" localSheetId="12" hidden="1">{"'előző év december'!$A$2:$CP$214"}</definedName>
    <definedName name="________________________cp9" localSheetId="18" hidden="1">{"'előző év december'!$A$2:$CP$214"}</definedName>
    <definedName name="________________________cp9" localSheetId="19" hidden="1">{"'előző év december'!$A$2:$CP$214"}</definedName>
    <definedName name="________________________cp9" hidden="1">{"'előző év december'!$A$2:$CP$214"}</definedName>
    <definedName name="________________________cpr2" localSheetId="31" hidden="1">{"'előző év december'!$A$2:$CP$214"}</definedName>
    <definedName name="________________________cpr2" localSheetId="32" hidden="1">{"'előző év december'!$A$2:$CP$214"}</definedName>
    <definedName name="________________________cpr2" localSheetId="11" hidden="1">{"'előző év december'!$A$2:$CP$214"}</definedName>
    <definedName name="________________________cpr2" localSheetId="12" hidden="1">{"'előző év december'!$A$2:$CP$214"}</definedName>
    <definedName name="________________________cpr2" localSheetId="18" hidden="1">{"'előző év december'!$A$2:$CP$214"}</definedName>
    <definedName name="________________________cpr2" localSheetId="19" hidden="1">{"'előző év december'!$A$2:$CP$214"}</definedName>
    <definedName name="________________________cpr2" hidden="1">{"'előző év december'!$A$2:$CP$214"}</definedName>
    <definedName name="________________________cpr3" localSheetId="31" hidden="1">{"'előző év december'!$A$2:$CP$214"}</definedName>
    <definedName name="________________________cpr3" localSheetId="32" hidden="1">{"'előző év december'!$A$2:$CP$214"}</definedName>
    <definedName name="________________________cpr3" localSheetId="11" hidden="1">{"'előző év december'!$A$2:$CP$214"}</definedName>
    <definedName name="________________________cpr3" localSheetId="12" hidden="1">{"'előző év december'!$A$2:$CP$214"}</definedName>
    <definedName name="________________________cpr3" localSheetId="18" hidden="1">{"'előző év december'!$A$2:$CP$214"}</definedName>
    <definedName name="________________________cpr3" localSheetId="19" hidden="1">{"'előző év december'!$A$2:$CP$214"}</definedName>
    <definedName name="________________________cpr3" hidden="1">{"'előző év december'!$A$2:$CP$214"}</definedName>
    <definedName name="________________________cpr4" localSheetId="31" hidden="1">{"'előző év december'!$A$2:$CP$214"}</definedName>
    <definedName name="________________________cpr4" localSheetId="32" hidden="1">{"'előző év december'!$A$2:$CP$214"}</definedName>
    <definedName name="________________________cpr4" localSheetId="11" hidden="1">{"'előző év december'!$A$2:$CP$214"}</definedName>
    <definedName name="________________________cpr4" localSheetId="12" hidden="1">{"'előző év december'!$A$2:$CP$214"}</definedName>
    <definedName name="________________________cpr4" localSheetId="18" hidden="1">{"'előző év december'!$A$2:$CP$214"}</definedName>
    <definedName name="________________________cpr4" localSheetId="19" hidden="1">{"'előző év december'!$A$2:$CP$214"}</definedName>
    <definedName name="________________________cpr4" hidden="1">{"'előző év december'!$A$2:$CP$214"}</definedName>
    <definedName name="_______________________cp1" localSheetId="31" hidden="1">{"'előző év december'!$A$2:$CP$214"}</definedName>
    <definedName name="_______________________cp1" localSheetId="32" hidden="1">{"'előző év december'!$A$2:$CP$214"}</definedName>
    <definedName name="_______________________cp1" localSheetId="11" hidden="1">{"'előző év december'!$A$2:$CP$214"}</definedName>
    <definedName name="_______________________cp1" localSheetId="12" hidden="1">{"'előző év december'!$A$2:$CP$214"}</definedName>
    <definedName name="_______________________cp1" localSheetId="18" hidden="1">{"'előző év december'!$A$2:$CP$214"}</definedName>
    <definedName name="_______________________cp1" localSheetId="19" hidden="1">{"'előző év december'!$A$2:$CP$214"}</definedName>
    <definedName name="_______________________cp1" hidden="1">{"'előző év december'!$A$2:$CP$214"}</definedName>
    <definedName name="_______________________cp10" localSheetId="31" hidden="1">{"'előző év december'!$A$2:$CP$214"}</definedName>
    <definedName name="_______________________cp10" localSheetId="32" hidden="1">{"'előző év december'!$A$2:$CP$214"}</definedName>
    <definedName name="_______________________cp10" localSheetId="11" hidden="1">{"'előző év december'!$A$2:$CP$214"}</definedName>
    <definedName name="_______________________cp10" localSheetId="12" hidden="1">{"'előző év december'!$A$2:$CP$214"}</definedName>
    <definedName name="_______________________cp10" localSheetId="18" hidden="1">{"'előző év december'!$A$2:$CP$214"}</definedName>
    <definedName name="_______________________cp10" localSheetId="19" hidden="1">{"'előző év december'!$A$2:$CP$214"}</definedName>
    <definedName name="_______________________cp10" hidden="1">{"'előző év december'!$A$2:$CP$214"}</definedName>
    <definedName name="_______________________cp11" localSheetId="31" hidden="1">{"'előző év december'!$A$2:$CP$214"}</definedName>
    <definedName name="_______________________cp11" localSheetId="32" hidden="1">{"'előző év december'!$A$2:$CP$214"}</definedName>
    <definedName name="_______________________cp11" localSheetId="11" hidden="1">{"'előző év december'!$A$2:$CP$214"}</definedName>
    <definedName name="_______________________cp11" localSheetId="12" hidden="1">{"'előző év december'!$A$2:$CP$214"}</definedName>
    <definedName name="_______________________cp11" localSheetId="18" hidden="1">{"'előző év december'!$A$2:$CP$214"}</definedName>
    <definedName name="_______________________cp11" localSheetId="19" hidden="1">{"'előző év december'!$A$2:$CP$214"}</definedName>
    <definedName name="_______________________cp11" hidden="1">{"'előző év december'!$A$2:$CP$214"}</definedName>
    <definedName name="_______________________cp2" localSheetId="31" hidden="1">{"'előző év december'!$A$2:$CP$214"}</definedName>
    <definedName name="_______________________cp2" localSheetId="32" hidden="1">{"'előző év december'!$A$2:$CP$214"}</definedName>
    <definedName name="_______________________cp2" localSheetId="11" hidden="1">{"'előző év december'!$A$2:$CP$214"}</definedName>
    <definedName name="_______________________cp2" localSheetId="12" hidden="1">{"'előző év december'!$A$2:$CP$214"}</definedName>
    <definedName name="_______________________cp2" localSheetId="18" hidden="1">{"'előző év december'!$A$2:$CP$214"}</definedName>
    <definedName name="_______________________cp2" localSheetId="19" hidden="1">{"'előző év december'!$A$2:$CP$214"}</definedName>
    <definedName name="_______________________cp2" hidden="1">{"'előző év december'!$A$2:$CP$214"}</definedName>
    <definedName name="_______________________cp3" localSheetId="31" hidden="1">{"'előző év december'!$A$2:$CP$214"}</definedName>
    <definedName name="_______________________cp3" localSheetId="32" hidden="1">{"'előző év december'!$A$2:$CP$214"}</definedName>
    <definedName name="_______________________cp3" localSheetId="11" hidden="1">{"'előző év december'!$A$2:$CP$214"}</definedName>
    <definedName name="_______________________cp3" localSheetId="12" hidden="1">{"'előző év december'!$A$2:$CP$214"}</definedName>
    <definedName name="_______________________cp3" localSheetId="18" hidden="1">{"'előző év december'!$A$2:$CP$214"}</definedName>
    <definedName name="_______________________cp3" localSheetId="19" hidden="1">{"'előző év december'!$A$2:$CP$214"}</definedName>
    <definedName name="_______________________cp3" hidden="1">{"'előző év december'!$A$2:$CP$214"}</definedName>
    <definedName name="_______________________cp4" localSheetId="31" hidden="1">{"'előző év december'!$A$2:$CP$214"}</definedName>
    <definedName name="_______________________cp4" localSheetId="32" hidden="1">{"'előző év december'!$A$2:$CP$214"}</definedName>
    <definedName name="_______________________cp4" localSheetId="11" hidden="1">{"'előző év december'!$A$2:$CP$214"}</definedName>
    <definedName name="_______________________cp4" localSheetId="12" hidden="1">{"'előző év december'!$A$2:$CP$214"}</definedName>
    <definedName name="_______________________cp4" localSheetId="18" hidden="1">{"'előző év december'!$A$2:$CP$214"}</definedName>
    <definedName name="_______________________cp4" localSheetId="19" hidden="1">{"'előző év december'!$A$2:$CP$214"}</definedName>
    <definedName name="_______________________cp4" hidden="1">{"'előző év december'!$A$2:$CP$214"}</definedName>
    <definedName name="_______________________cp5" localSheetId="31" hidden="1">{"'előző év december'!$A$2:$CP$214"}</definedName>
    <definedName name="_______________________cp5" localSheetId="32" hidden="1">{"'előző év december'!$A$2:$CP$214"}</definedName>
    <definedName name="_______________________cp5" localSheetId="11" hidden="1">{"'előző év december'!$A$2:$CP$214"}</definedName>
    <definedName name="_______________________cp5" localSheetId="12" hidden="1">{"'előző év december'!$A$2:$CP$214"}</definedName>
    <definedName name="_______________________cp5" localSheetId="18" hidden="1">{"'előző év december'!$A$2:$CP$214"}</definedName>
    <definedName name="_______________________cp5" localSheetId="19" hidden="1">{"'előző év december'!$A$2:$CP$214"}</definedName>
    <definedName name="_______________________cp5" hidden="1">{"'előző év december'!$A$2:$CP$214"}</definedName>
    <definedName name="_______________________cp6" localSheetId="31" hidden="1">{"'előző év december'!$A$2:$CP$214"}</definedName>
    <definedName name="_______________________cp6" localSheetId="32" hidden="1">{"'előző év december'!$A$2:$CP$214"}</definedName>
    <definedName name="_______________________cp6" localSheetId="11" hidden="1">{"'előző év december'!$A$2:$CP$214"}</definedName>
    <definedName name="_______________________cp6" localSheetId="12" hidden="1">{"'előző év december'!$A$2:$CP$214"}</definedName>
    <definedName name="_______________________cp6" localSheetId="18" hidden="1">{"'előző év december'!$A$2:$CP$214"}</definedName>
    <definedName name="_______________________cp6" localSheetId="19" hidden="1">{"'előző év december'!$A$2:$CP$214"}</definedName>
    <definedName name="_______________________cp6" hidden="1">{"'előző év december'!$A$2:$CP$214"}</definedName>
    <definedName name="_______________________cp7" localSheetId="31" hidden="1">{"'előző év december'!$A$2:$CP$214"}</definedName>
    <definedName name="_______________________cp7" localSheetId="32" hidden="1">{"'előző év december'!$A$2:$CP$214"}</definedName>
    <definedName name="_______________________cp7" localSheetId="11" hidden="1">{"'előző év december'!$A$2:$CP$214"}</definedName>
    <definedName name="_______________________cp7" localSheetId="12" hidden="1">{"'előző év december'!$A$2:$CP$214"}</definedName>
    <definedName name="_______________________cp7" localSheetId="18" hidden="1">{"'előző év december'!$A$2:$CP$214"}</definedName>
    <definedName name="_______________________cp7" localSheetId="19" hidden="1">{"'előző év december'!$A$2:$CP$214"}</definedName>
    <definedName name="_______________________cp7" hidden="1">{"'előző év december'!$A$2:$CP$214"}</definedName>
    <definedName name="_______________________cp8" localSheetId="31" hidden="1">{"'előző év december'!$A$2:$CP$214"}</definedName>
    <definedName name="_______________________cp8" localSheetId="32" hidden="1">{"'előző év december'!$A$2:$CP$214"}</definedName>
    <definedName name="_______________________cp8" localSheetId="11" hidden="1">{"'előző év december'!$A$2:$CP$214"}</definedName>
    <definedName name="_______________________cp8" localSheetId="12" hidden="1">{"'előző év december'!$A$2:$CP$214"}</definedName>
    <definedName name="_______________________cp8" localSheetId="18" hidden="1">{"'előző év december'!$A$2:$CP$214"}</definedName>
    <definedName name="_______________________cp8" localSheetId="19" hidden="1">{"'előző év december'!$A$2:$CP$214"}</definedName>
    <definedName name="_______________________cp8" hidden="1">{"'előző év december'!$A$2:$CP$214"}</definedName>
    <definedName name="_______________________cp9" localSheetId="31" hidden="1">{"'előző év december'!$A$2:$CP$214"}</definedName>
    <definedName name="_______________________cp9" localSheetId="32" hidden="1">{"'előző év december'!$A$2:$CP$214"}</definedName>
    <definedName name="_______________________cp9" localSheetId="11" hidden="1">{"'előző év december'!$A$2:$CP$214"}</definedName>
    <definedName name="_______________________cp9" localSheetId="12" hidden="1">{"'előző év december'!$A$2:$CP$214"}</definedName>
    <definedName name="_______________________cp9" localSheetId="18" hidden="1">{"'előző év december'!$A$2:$CP$214"}</definedName>
    <definedName name="_______________________cp9" localSheetId="19" hidden="1">{"'előző év december'!$A$2:$CP$214"}</definedName>
    <definedName name="_______________________cp9" hidden="1">{"'előző év december'!$A$2:$CP$214"}</definedName>
    <definedName name="_______________________cpr2" localSheetId="31" hidden="1">{"'előző év december'!$A$2:$CP$214"}</definedName>
    <definedName name="_______________________cpr2" localSheetId="32" hidden="1">{"'előző év december'!$A$2:$CP$214"}</definedName>
    <definedName name="_______________________cpr2" localSheetId="11" hidden="1">{"'előző év december'!$A$2:$CP$214"}</definedName>
    <definedName name="_______________________cpr2" localSheetId="12" hidden="1">{"'előző év december'!$A$2:$CP$214"}</definedName>
    <definedName name="_______________________cpr2" localSheetId="18" hidden="1">{"'előző év december'!$A$2:$CP$214"}</definedName>
    <definedName name="_______________________cpr2" localSheetId="19" hidden="1">{"'előző év december'!$A$2:$CP$214"}</definedName>
    <definedName name="_______________________cpr2" hidden="1">{"'előző év december'!$A$2:$CP$214"}</definedName>
    <definedName name="_______________________cpr3" localSheetId="31" hidden="1">{"'előző év december'!$A$2:$CP$214"}</definedName>
    <definedName name="_______________________cpr3" localSheetId="32" hidden="1">{"'előző év december'!$A$2:$CP$214"}</definedName>
    <definedName name="_______________________cpr3" localSheetId="11" hidden="1">{"'előző év december'!$A$2:$CP$214"}</definedName>
    <definedName name="_______________________cpr3" localSheetId="12" hidden="1">{"'előző év december'!$A$2:$CP$214"}</definedName>
    <definedName name="_______________________cpr3" localSheetId="18" hidden="1">{"'előző év december'!$A$2:$CP$214"}</definedName>
    <definedName name="_______________________cpr3" localSheetId="19" hidden="1">{"'előző év december'!$A$2:$CP$214"}</definedName>
    <definedName name="_______________________cpr3" hidden="1">{"'előző év december'!$A$2:$CP$214"}</definedName>
    <definedName name="_______________________cpr4" localSheetId="31" hidden="1">{"'előző év december'!$A$2:$CP$214"}</definedName>
    <definedName name="_______________________cpr4" localSheetId="32" hidden="1">{"'előző év december'!$A$2:$CP$214"}</definedName>
    <definedName name="_______________________cpr4" localSheetId="11" hidden="1">{"'előző év december'!$A$2:$CP$214"}</definedName>
    <definedName name="_______________________cpr4" localSheetId="12" hidden="1">{"'előző év december'!$A$2:$CP$214"}</definedName>
    <definedName name="_______________________cpr4" localSheetId="18" hidden="1">{"'előző év december'!$A$2:$CP$214"}</definedName>
    <definedName name="_______________________cpr4" localSheetId="19" hidden="1">{"'előző év december'!$A$2:$CP$214"}</definedName>
    <definedName name="_______________________cpr4" hidden="1">{"'előző év december'!$A$2:$CP$214"}</definedName>
    <definedName name="______________________cp1" localSheetId="31" hidden="1">{"'előző év december'!$A$2:$CP$214"}</definedName>
    <definedName name="______________________cp1" localSheetId="32" hidden="1">{"'előző év december'!$A$2:$CP$214"}</definedName>
    <definedName name="______________________cp1" localSheetId="11" hidden="1">{"'előző év december'!$A$2:$CP$214"}</definedName>
    <definedName name="______________________cp1" localSheetId="12" hidden="1">{"'előző év december'!$A$2:$CP$214"}</definedName>
    <definedName name="______________________cp1" localSheetId="18" hidden="1">{"'előző év december'!$A$2:$CP$214"}</definedName>
    <definedName name="______________________cp1" localSheetId="19" hidden="1">{"'előző év december'!$A$2:$CP$214"}</definedName>
    <definedName name="______________________cp1" hidden="1">{"'előző év december'!$A$2:$CP$214"}</definedName>
    <definedName name="______________________cp10" localSheetId="31" hidden="1">{"'előző év december'!$A$2:$CP$214"}</definedName>
    <definedName name="______________________cp10" localSheetId="32" hidden="1">{"'előző év december'!$A$2:$CP$214"}</definedName>
    <definedName name="______________________cp10" localSheetId="11" hidden="1">{"'előző év december'!$A$2:$CP$214"}</definedName>
    <definedName name="______________________cp10" localSheetId="12" hidden="1">{"'előző év december'!$A$2:$CP$214"}</definedName>
    <definedName name="______________________cp10" localSheetId="18" hidden="1">{"'előző év december'!$A$2:$CP$214"}</definedName>
    <definedName name="______________________cp10" localSheetId="19" hidden="1">{"'előző év december'!$A$2:$CP$214"}</definedName>
    <definedName name="______________________cp10" hidden="1">{"'előző év december'!$A$2:$CP$214"}</definedName>
    <definedName name="______________________cp11" localSheetId="31" hidden="1">{"'előző év december'!$A$2:$CP$214"}</definedName>
    <definedName name="______________________cp11" localSheetId="32" hidden="1">{"'előző év december'!$A$2:$CP$214"}</definedName>
    <definedName name="______________________cp11" localSheetId="11" hidden="1">{"'előző év december'!$A$2:$CP$214"}</definedName>
    <definedName name="______________________cp11" localSheetId="12" hidden="1">{"'előző év december'!$A$2:$CP$214"}</definedName>
    <definedName name="______________________cp11" localSheetId="18" hidden="1">{"'előző év december'!$A$2:$CP$214"}</definedName>
    <definedName name="______________________cp11" localSheetId="19" hidden="1">{"'előző év december'!$A$2:$CP$214"}</definedName>
    <definedName name="______________________cp11" hidden="1">{"'előző év december'!$A$2:$CP$214"}</definedName>
    <definedName name="______________________cp2" localSheetId="31" hidden="1">{"'előző év december'!$A$2:$CP$214"}</definedName>
    <definedName name="______________________cp2" localSheetId="32" hidden="1">{"'előző év december'!$A$2:$CP$214"}</definedName>
    <definedName name="______________________cp2" localSheetId="11" hidden="1">{"'előző év december'!$A$2:$CP$214"}</definedName>
    <definedName name="______________________cp2" localSheetId="12" hidden="1">{"'előző év december'!$A$2:$CP$214"}</definedName>
    <definedName name="______________________cp2" localSheetId="18" hidden="1">{"'előző év december'!$A$2:$CP$214"}</definedName>
    <definedName name="______________________cp2" localSheetId="19" hidden="1">{"'előző év december'!$A$2:$CP$214"}</definedName>
    <definedName name="______________________cp2" hidden="1">{"'előző év december'!$A$2:$CP$214"}</definedName>
    <definedName name="______________________cp3" localSheetId="31" hidden="1">{"'előző év december'!$A$2:$CP$214"}</definedName>
    <definedName name="______________________cp3" localSheetId="32" hidden="1">{"'előző év december'!$A$2:$CP$214"}</definedName>
    <definedName name="______________________cp3" localSheetId="11" hidden="1">{"'előző év december'!$A$2:$CP$214"}</definedName>
    <definedName name="______________________cp3" localSheetId="12" hidden="1">{"'előző év december'!$A$2:$CP$214"}</definedName>
    <definedName name="______________________cp3" localSheetId="18" hidden="1">{"'előző év december'!$A$2:$CP$214"}</definedName>
    <definedName name="______________________cp3" localSheetId="19" hidden="1">{"'előző év december'!$A$2:$CP$214"}</definedName>
    <definedName name="______________________cp3" hidden="1">{"'előző év december'!$A$2:$CP$214"}</definedName>
    <definedName name="______________________cp4" localSheetId="31" hidden="1">{"'előző év december'!$A$2:$CP$214"}</definedName>
    <definedName name="______________________cp4" localSheetId="32" hidden="1">{"'előző év december'!$A$2:$CP$214"}</definedName>
    <definedName name="______________________cp4" localSheetId="11" hidden="1">{"'előző év december'!$A$2:$CP$214"}</definedName>
    <definedName name="______________________cp4" localSheetId="12" hidden="1">{"'előző év december'!$A$2:$CP$214"}</definedName>
    <definedName name="______________________cp4" localSheetId="18" hidden="1">{"'előző év december'!$A$2:$CP$214"}</definedName>
    <definedName name="______________________cp4" localSheetId="19" hidden="1">{"'előző év december'!$A$2:$CP$214"}</definedName>
    <definedName name="______________________cp4" hidden="1">{"'előző év december'!$A$2:$CP$214"}</definedName>
    <definedName name="______________________cp5" localSheetId="31" hidden="1">{"'előző év december'!$A$2:$CP$214"}</definedName>
    <definedName name="______________________cp5" localSheetId="32" hidden="1">{"'előző év december'!$A$2:$CP$214"}</definedName>
    <definedName name="______________________cp5" localSheetId="11" hidden="1">{"'előző év december'!$A$2:$CP$214"}</definedName>
    <definedName name="______________________cp5" localSheetId="12" hidden="1">{"'előző év december'!$A$2:$CP$214"}</definedName>
    <definedName name="______________________cp5" localSheetId="18" hidden="1">{"'előző év december'!$A$2:$CP$214"}</definedName>
    <definedName name="______________________cp5" localSheetId="19" hidden="1">{"'előző év december'!$A$2:$CP$214"}</definedName>
    <definedName name="______________________cp5" hidden="1">{"'előző év december'!$A$2:$CP$214"}</definedName>
    <definedName name="______________________cp6" localSheetId="31" hidden="1">{"'előző év december'!$A$2:$CP$214"}</definedName>
    <definedName name="______________________cp6" localSheetId="32" hidden="1">{"'előző év december'!$A$2:$CP$214"}</definedName>
    <definedName name="______________________cp6" localSheetId="11" hidden="1">{"'előző év december'!$A$2:$CP$214"}</definedName>
    <definedName name="______________________cp6" localSheetId="12" hidden="1">{"'előző év december'!$A$2:$CP$214"}</definedName>
    <definedName name="______________________cp6" localSheetId="18" hidden="1">{"'előző év december'!$A$2:$CP$214"}</definedName>
    <definedName name="______________________cp6" localSheetId="19" hidden="1">{"'előző év december'!$A$2:$CP$214"}</definedName>
    <definedName name="______________________cp6" hidden="1">{"'előző év december'!$A$2:$CP$214"}</definedName>
    <definedName name="______________________cp7" localSheetId="31" hidden="1">{"'előző év december'!$A$2:$CP$214"}</definedName>
    <definedName name="______________________cp7" localSheetId="32" hidden="1">{"'előző év december'!$A$2:$CP$214"}</definedName>
    <definedName name="______________________cp7" localSheetId="11" hidden="1">{"'előző év december'!$A$2:$CP$214"}</definedName>
    <definedName name="______________________cp7" localSheetId="12" hidden="1">{"'előző év december'!$A$2:$CP$214"}</definedName>
    <definedName name="______________________cp7" localSheetId="18" hidden="1">{"'előző év december'!$A$2:$CP$214"}</definedName>
    <definedName name="______________________cp7" localSheetId="19" hidden="1">{"'előző év december'!$A$2:$CP$214"}</definedName>
    <definedName name="______________________cp7" hidden="1">{"'előző év december'!$A$2:$CP$214"}</definedName>
    <definedName name="______________________cp8" localSheetId="31" hidden="1">{"'előző év december'!$A$2:$CP$214"}</definedName>
    <definedName name="______________________cp8" localSheetId="32" hidden="1">{"'előző év december'!$A$2:$CP$214"}</definedName>
    <definedName name="______________________cp8" localSheetId="11" hidden="1">{"'előző év december'!$A$2:$CP$214"}</definedName>
    <definedName name="______________________cp8" localSheetId="12" hidden="1">{"'előző év december'!$A$2:$CP$214"}</definedName>
    <definedName name="______________________cp8" localSheetId="18" hidden="1">{"'előző év december'!$A$2:$CP$214"}</definedName>
    <definedName name="______________________cp8" localSheetId="19" hidden="1">{"'előző év december'!$A$2:$CP$214"}</definedName>
    <definedName name="______________________cp8" hidden="1">{"'előző év december'!$A$2:$CP$214"}</definedName>
    <definedName name="______________________cp9" localSheetId="31" hidden="1">{"'előző év december'!$A$2:$CP$214"}</definedName>
    <definedName name="______________________cp9" localSheetId="32" hidden="1">{"'előző év december'!$A$2:$CP$214"}</definedName>
    <definedName name="______________________cp9" localSheetId="11" hidden="1">{"'előző év december'!$A$2:$CP$214"}</definedName>
    <definedName name="______________________cp9" localSheetId="12" hidden="1">{"'előző év december'!$A$2:$CP$214"}</definedName>
    <definedName name="______________________cp9" localSheetId="18" hidden="1">{"'előző év december'!$A$2:$CP$214"}</definedName>
    <definedName name="______________________cp9" localSheetId="19" hidden="1">{"'előző év december'!$A$2:$CP$214"}</definedName>
    <definedName name="______________________cp9" hidden="1">{"'előző év december'!$A$2:$CP$214"}</definedName>
    <definedName name="______________________cpr2" localSheetId="31" hidden="1">{"'előző év december'!$A$2:$CP$214"}</definedName>
    <definedName name="______________________cpr2" localSheetId="32" hidden="1">{"'előző év december'!$A$2:$CP$214"}</definedName>
    <definedName name="______________________cpr2" localSheetId="11" hidden="1">{"'előző év december'!$A$2:$CP$214"}</definedName>
    <definedName name="______________________cpr2" localSheetId="12" hidden="1">{"'előző év december'!$A$2:$CP$214"}</definedName>
    <definedName name="______________________cpr2" localSheetId="18" hidden="1">{"'előző év december'!$A$2:$CP$214"}</definedName>
    <definedName name="______________________cpr2" localSheetId="19" hidden="1">{"'előző év december'!$A$2:$CP$214"}</definedName>
    <definedName name="______________________cpr2" hidden="1">{"'előző év december'!$A$2:$CP$214"}</definedName>
    <definedName name="______________________cpr3" localSheetId="31" hidden="1">{"'előző év december'!$A$2:$CP$214"}</definedName>
    <definedName name="______________________cpr3" localSheetId="32" hidden="1">{"'előző év december'!$A$2:$CP$214"}</definedName>
    <definedName name="______________________cpr3" localSheetId="11" hidden="1">{"'előző év december'!$A$2:$CP$214"}</definedName>
    <definedName name="______________________cpr3" localSheetId="12" hidden="1">{"'előző év december'!$A$2:$CP$214"}</definedName>
    <definedName name="______________________cpr3" localSheetId="18" hidden="1">{"'előző év december'!$A$2:$CP$214"}</definedName>
    <definedName name="______________________cpr3" localSheetId="19" hidden="1">{"'előző év december'!$A$2:$CP$214"}</definedName>
    <definedName name="______________________cpr3" hidden="1">{"'előző év december'!$A$2:$CP$214"}</definedName>
    <definedName name="______________________cpr4" localSheetId="31" hidden="1">{"'előző év december'!$A$2:$CP$214"}</definedName>
    <definedName name="______________________cpr4" localSheetId="32" hidden="1">{"'előző év december'!$A$2:$CP$214"}</definedName>
    <definedName name="______________________cpr4" localSheetId="11" hidden="1">{"'előző év december'!$A$2:$CP$214"}</definedName>
    <definedName name="______________________cpr4" localSheetId="12" hidden="1">{"'előző év december'!$A$2:$CP$214"}</definedName>
    <definedName name="______________________cpr4" localSheetId="18" hidden="1">{"'előző év december'!$A$2:$CP$214"}</definedName>
    <definedName name="______________________cpr4" localSheetId="19" hidden="1">{"'előző év december'!$A$2:$CP$214"}</definedName>
    <definedName name="______________________cpr4" hidden="1">{"'előző év december'!$A$2:$CP$214"}</definedName>
    <definedName name="_____________________cp1" localSheetId="31" hidden="1">{"'előző év december'!$A$2:$CP$214"}</definedName>
    <definedName name="_____________________cp1" localSheetId="32" hidden="1">{"'előző év december'!$A$2:$CP$214"}</definedName>
    <definedName name="_____________________cp1" localSheetId="11" hidden="1">{"'előző év december'!$A$2:$CP$214"}</definedName>
    <definedName name="_____________________cp1" localSheetId="12" hidden="1">{"'előző év december'!$A$2:$CP$214"}</definedName>
    <definedName name="_____________________cp1" localSheetId="18" hidden="1">{"'előző év december'!$A$2:$CP$214"}</definedName>
    <definedName name="_____________________cp1" localSheetId="19" hidden="1">{"'előző év december'!$A$2:$CP$214"}</definedName>
    <definedName name="_____________________cp1" hidden="1">{"'előző év december'!$A$2:$CP$214"}</definedName>
    <definedName name="_____________________cp10" localSheetId="31" hidden="1">{"'előző év december'!$A$2:$CP$214"}</definedName>
    <definedName name="_____________________cp10" localSheetId="32" hidden="1">{"'előző év december'!$A$2:$CP$214"}</definedName>
    <definedName name="_____________________cp10" localSheetId="11" hidden="1">{"'előző év december'!$A$2:$CP$214"}</definedName>
    <definedName name="_____________________cp10" localSheetId="12" hidden="1">{"'előző év december'!$A$2:$CP$214"}</definedName>
    <definedName name="_____________________cp10" localSheetId="18" hidden="1">{"'előző év december'!$A$2:$CP$214"}</definedName>
    <definedName name="_____________________cp10" localSheetId="19" hidden="1">{"'előző év december'!$A$2:$CP$214"}</definedName>
    <definedName name="_____________________cp10" hidden="1">{"'előző év december'!$A$2:$CP$214"}</definedName>
    <definedName name="_____________________cp11" localSheetId="31" hidden="1">{"'előző év december'!$A$2:$CP$214"}</definedName>
    <definedName name="_____________________cp11" localSheetId="32" hidden="1">{"'előző év december'!$A$2:$CP$214"}</definedName>
    <definedName name="_____________________cp11" localSheetId="11" hidden="1">{"'előző év december'!$A$2:$CP$214"}</definedName>
    <definedName name="_____________________cp11" localSheetId="12" hidden="1">{"'előző év december'!$A$2:$CP$214"}</definedName>
    <definedName name="_____________________cp11" localSheetId="18" hidden="1">{"'előző év december'!$A$2:$CP$214"}</definedName>
    <definedName name="_____________________cp11" localSheetId="19" hidden="1">{"'előző év december'!$A$2:$CP$214"}</definedName>
    <definedName name="_____________________cp11" hidden="1">{"'előző év december'!$A$2:$CP$214"}</definedName>
    <definedName name="_____________________cp2" localSheetId="31" hidden="1">{"'előző év december'!$A$2:$CP$214"}</definedName>
    <definedName name="_____________________cp2" localSheetId="32" hidden="1">{"'előző év december'!$A$2:$CP$214"}</definedName>
    <definedName name="_____________________cp2" localSheetId="11" hidden="1">{"'előző év december'!$A$2:$CP$214"}</definedName>
    <definedName name="_____________________cp2" localSheetId="12" hidden="1">{"'előző év december'!$A$2:$CP$214"}</definedName>
    <definedName name="_____________________cp2" localSheetId="18" hidden="1">{"'előző év december'!$A$2:$CP$214"}</definedName>
    <definedName name="_____________________cp2" localSheetId="19" hidden="1">{"'előző év december'!$A$2:$CP$214"}</definedName>
    <definedName name="_____________________cp2" hidden="1">{"'előző év december'!$A$2:$CP$214"}</definedName>
    <definedName name="_____________________cp3" localSheetId="31" hidden="1">{"'előző év december'!$A$2:$CP$214"}</definedName>
    <definedName name="_____________________cp3" localSheetId="32" hidden="1">{"'előző év december'!$A$2:$CP$214"}</definedName>
    <definedName name="_____________________cp3" localSheetId="11" hidden="1">{"'előző év december'!$A$2:$CP$214"}</definedName>
    <definedName name="_____________________cp3" localSheetId="12" hidden="1">{"'előző év december'!$A$2:$CP$214"}</definedName>
    <definedName name="_____________________cp3" localSheetId="18" hidden="1">{"'előző év december'!$A$2:$CP$214"}</definedName>
    <definedName name="_____________________cp3" localSheetId="19" hidden="1">{"'előző év december'!$A$2:$CP$214"}</definedName>
    <definedName name="_____________________cp3" hidden="1">{"'előző év december'!$A$2:$CP$214"}</definedName>
    <definedName name="_____________________cp4" localSheetId="31" hidden="1">{"'előző év december'!$A$2:$CP$214"}</definedName>
    <definedName name="_____________________cp4" localSheetId="32" hidden="1">{"'előző év december'!$A$2:$CP$214"}</definedName>
    <definedName name="_____________________cp4" localSheetId="11" hidden="1">{"'előző év december'!$A$2:$CP$214"}</definedName>
    <definedName name="_____________________cp4" localSheetId="12" hidden="1">{"'előző év december'!$A$2:$CP$214"}</definedName>
    <definedName name="_____________________cp4" localSheetId="18" hidden="1">{"'előző év december'!$A$2:$CP$214"}</definedName>
    <definedName name="_____________________cp4" localSheetId="19" hidden="1">{"'előző év december'!$A$2:$CP$214"}</definedName>
    <definedName name="_____________________cp4" hidden="1">{"'előző év december'!$A$2:$CP$214"}</definedName>
    <definedName name="_____________________cp5" localSheetId="31" hidden="1">{"'előző év december'!$A$2:$CP$214"}</definedName>
    <definedName name="_____________________cp5" localSheetId="32" hidden="1">{"'előző év december'!$A$2:$CP$214"}</definedName>
    <definedName name="_____________________cp5" localSheetId="11" hidden="1">{"'előző év december'!$A$2:$CP$214"}</definedName>
    <definedName name="_____________________cp5" localSheetId="12" hidden="1">{"'előző év december'!$A$2:$CP$214"}</definedName>
    <definedName name="_____________________cp5" localSheetId="18" hidden="1">{"'előző év december'!$A$2:$CP$214"}</definedName>
    <definedName name="_____________________cp5" localSheetId="19" hidden="1">{"'előző év december'!$A$2:$CP$214"}</definedName>
    <definedName name="_____________________cp5" hidden="1">{"'előző év december'!$A$2:$CP$214"}</definedName>
    <definedName name="_____________________cp6" localSheetId="31" hidden="1">{"'előző év december'!$A$2:$CP$214"}</definedName>
    <definedName name="_____________________cp6" localSheetId="32" hidden="1">{"'előző év december'!$A$2:$CP$214"}</definedName>
    <definedName name="_____________________cp6" localSheetId="11" hidden="1">{"'előző év december'!$A$2:$CP$214"}</definedName>
    <definedName name="_____________________cp6" localSheetId="12" hidden="1">{"'előző év december'!$A$2:$CP$214"}</definedName>
    <definedName name="_____________________cp6" localSheetId="18" hidden="1">{"'előző év december'!$A$2:$CP$214"}</definedName>
    <definedName name="_____________________cp6" localSheetId="19" hidden="1">{"'előző év december'!$A$2:$CP$214"}</definedName>
    <definedName name="_____________________cp6" hidden="1">{"'előző év december'!$A$2:$CP$214"}</definedName>
    <definedName name="_____________________cp7" localSheetId="31" hidden="1">{"'előző év december'!$A$2:$CP$214"}</definedName>
    <definedName name="_____________________cp7" localSheetId="32" hidden="1">{"'előző év december'!$A$2:$CP$214"}</definedName>
    <definedName name="_____________________cp7" localSheetId="11" hidden="1">{"'előző év december'!$A$2:$CP$214"}</definedName>
    <definedName name="_____________________cp7" localSheetId="12" hidden="1">{"'előző év december'!$A$2:$CP$214"}</definedName>
    <definedName name="_____________________cp7" localSheetId="18" hidden="1">{"'előző év december'!$A$2:$CP$214"}</definedName>
    <definedName name="_____________________cp7" localSheetId="19" hidden="1">{"'előző év december'!$A$2:$CP$214"}</definedName>
    <definedName name="_____________________cp7" hidden="1">{"'előző év december'!$A$2:$CP$214"}</definedName>
    <definedName name="_____________________cp8" localSheetId="31" hidden="1">{"'előző év december'!$A$2:$CP$214"}</definedName>
    <definedName name="_____________________cp8" localSheetId="32" hidden="1">{"'előző év december'!$A$2:$CP$214"}</definedName>
    <definedName name="_____________________cp8" localSheetId="11" hidden="1">{"'előző év december'!$A$2:$CP$214"}</definedName>
    <definedName name="_____________________cp8" localSheetId="12" hidden="1">{"'előző év december'!$A$2:$CP$214"}</definedName>
    <definedName name="_____________________cp8" localSheetId="18" hidden="1">{"'előző év december'!$A$2:$CP$214"}</definedName>
    <definedName name="_____________________cp8" localSheetId="19" hidden="1">{"'előző év december'!$A$2:$CP$214"}</definedName>
    <definedName name="_____________________cp8" hidden="1">{"'előző év december'!$A$2:$CP$214"}</definedName>
    <definedName name="_____________________cp9" localSheetId="31" hidden="1">{"'előző év december'!$A$2:$CP$214"}</definedName>
    <definedName name="_____________________cp9" localSheetId="32" hidden="1">{"'előző év december'!$A$2:$CP$214"}</definedName>
    <definedName name="_____________________cp9" localSheetId="11" hidden="1">{"'előző év december'!$A$2:$CP$214"}</definedName>
    <definedName name="_____________________cp9" localSheetId="12" hidden="1">{"'előző év december'!$A$2:$CP$214"}</definedName>
    <definedName name="_____________________cp9" localSheetId="18" hidden="1">{"'előző év december'!$A$2:$CP$214"}</definedName>
    <definedName name="_____________________cp9" localSheetId="19" hidden="1">{"'előző év december'!$A$2:$CP$214"}</definedName>
    <definedName name="_____________________cp9" hidden="1">{"'előző év december'!$A$2:$CP$214"}</definedName>
    <definedName name="_____________________cpr2" localSheetId="31" hidden="1">{"'előző év december'!$A$2:$CP$214"}</definedName>
    <definedName name="_____________________cpr2" localSheetId="32" hidden="1">{"'előző év december'!$A$2:$CP$214"}</definedName>
    <definedName name="_____________________cpr2" localSheetId="11" hidden="1">{"'előző év december'!$A$2:$CP$214"}</definedName>
    <definedName name="_____________________cpr2" localSheetId="12" hidden="1">{"'előző év december'!$A$2:$CP$214"}</definedName>
    <definedName name="_____________________cpr2" localSheetId="18" hidden="1">{"'előző év december'!$A$2:$CP$214"}</definedName>
    <definedName name="_____________________cpr2" localSheetId="19" hidden="1">{"'előző év december'!$A$2:$CP$214"}</definedName>
    <definedName name="_____________________cpr2" hidden="1">{"'előző év december'!$A$2:$CP$214"}</definedName>
    <definedName name="_____________________cpr3" localSheetId="31" hidden="1">{"'előző év december'!$A$2:$CP$214"}</definedName>
    <definedName name="_____________________cpr3" localSheetId="32" hidden="1">{"'előző év december'!$A$2:$CP$214"}</definedName>
    <definedName name="_____________________cpr3" localSheetId="11" hidden="1">{"'előző év december'!$A$2:$CP$214"}</definedName>
    <definedName name="_____________________cpr3" localSheetId="12" hidden="1">{"'előző év december'!$A$2:$CP$214"}</definedName>
    <definedName name="_____________________cpr3" localSheetId="18" hidden="1">{"'előző év december'!$A$2:$CP$214"}</definedName>
    <definedName name="_____________________cpr3" localSheetId="19" hidden="1">{"'előző év december'!$A$2:$CP$214"}</definedName>
    <definedName name="_____________________cpr3" hidden="1">{"'előző év december'!$A$2:$CP$214"}</definedName>
    <definedName name="_____________________cpr4" localSheetId="31" hidden="1">{"'előző év december'!$A$2:$CP$214"}</definedName>
    <definedName name="_____________________cpr4" localSheetId="32" hidden="1">{"'előző év december'!$A$2:$CP$214"}</definedName>
    <definedName name="_____________________cpr4" localSheetId="11" hidden="1">{"'előző év december'!$A$2:$CP$214"}</definedName>
    <definedName name="_____________________cpr4" localSheetId="12" hidden="1">{"'előző év december'!$A$2:$CP$214"}</definedName>
    <definedName name="_____________________cpr4" localSheetId="18" hidden="1">{"'előző év december'!$A$2:$CP$214"}</definedName>
    <definedName name="_____________________cpr4" localSheetId="19" hidden="1">{"'előző év december'!$A$2:$CP$214"}</definedName>
    <definedName name="_____________________cpr4" hidden="1">{"'előző év december'!$A$2:$CP$214"}</definedName>
    <definedName name="____________________cp1" localSheetId="31" hidden="1">{"'előző év december'!$A$2:$CP$214"}</definedName>
    <definedName name="____________________cp1" localSheetId="32" hidden="1">{"'előző év december'!$A$2:$CP$214"}</definedName>
    <definedName name="____________________cp1" localSheetId="11" hidden="1">{"'előző év december'!$A$2:$CP$214"}</definedName>
    <definedName name="____________________cp1" localSheetId="12" hidden="1">{"'előző év december'!$A$2:$CP$214"}</definedName>
    <definedName name="____________________cp1" localSheetId="18" hidden="1">{"'előző év december'!$A$2:$CP$214"}</definedName>
    <definedName name="____________________cp1" localSheetId="19" hidden="1">{"'előző év december'!$A$2:$CP$214"}</definedName>
    <definedName name="____________________cp1" hidden="1">{"'előző év december'!$A$2:$CP$214"}</definedName>
    <definedName name="____________________cp10" localSheetId="31" hidden="1">{"'előző év december'!$A$2:$CP$214"}</definedName>
    <definedName name="____________________cp10" localSheetId="32" hidden="1">{"'előző év december'!$A$2:$CP$214"}</definedName>
    <definedName name="____________________cp10" localSheetId="11" hidden="1">{"'előző év december'!$A$2:$CP$214"}</definedName>
    <definedName name="____________________cp10" localSheetId="12" hidden="1">{"'előző év december'!$A$2:$CP$214"}</definedName>
    <definedName name="____________________cp10" localSheetId="18" hidden="1">{"'előző év december'!$A$2:$CP$214"}</definedName>
    <definedName name="____________________cp10" localSheetId="19" hidden="1">{"'előző év december'!$A$2:$CP$214"}</definedName>
    <definedName name="____________________cp10" hidden="1">{"'előző év december'!$A$2:$CP$214"}</definedName>
    <definedName name="____________________cp11" localSheetId="31" hidden="1">{"'előző év december'!$A$2:$CP$214"}</definedName>
    <definedName name="____________________cp11" localSheetId="32" hidden="1">{"'előző év december'!$A$2:$CP$214"}</definedName>
    <definedName name="____________________cp11" localSheetId="11" hidden="1">{"'előző év december'!$A$2:$CP$214"}</definedName>
    <definedName name="____________________cp11" localSheetId="12" hidden="1">{"'előző év december'!$A$2:$CP$214"}</definedName>
    <definedName name="____________________cp11" localSheetId="18" hidden="1">{"'előző év december'!$A$2:$CP$214"}</definedName>
    <definedName name="____________________cp11" localSheetId="19" hidden="1">{"'előző év december'!$A$2:$CP$214"}</definedName>
    <definedName name="____________________cp11" hidden="1">{"'előző év december'!$A$2:$CP$214"}</definedName>
    <definedName name="____________________cp2" localSheetId="31" hidden="1">{"'előző év december'!$A$2:$CP$214"}</definedName>
    <definedName name="____________________cp2" localSheetId="32" hidden="1">{"'előző év december'!$A$2:$CP$214"}</definedName>
    <definedName name="____________________cp2" localSheetId="11" hidden="1">{"'előző év december'!$A$2:$CP$214"}</definedName>
    <definedName name="____________________cp2" localSheetId="12" hidden="1">{"'előző év december'!$A$2:$CP$214"}</definedName>
    <definedName name="____________________cp2" localSheetId="18" hidden="1">{"'előző év december'!$A$2:$CP$214"}</definedName>
    <definedName name="____________________cp2" localSheetId="19" hidden="1">{"'előző év december'!$A$2:$CP$214"}</definedName>
    <definedName name="____________________cp2" hidden="1">{"'előző év december'!$A$2:$CP$214"}</definedName>
    <definedName name="____________________cp3" localSheetId="31" hidden="1">{"'előző év december'!$A$2:$CP$214"}</definedName>
    <definedName name="____________________cp3" localSheetId="32" hidden="1">{"'előző év december'!$A$2:$CP$214"}</definedName>
    <definedName name="____________________cp3" localSheetId="11" hidden="1">{"'előző év december'!$A$2:$CP$214"}</definedName>
    <definedName name="____________________cp3" localSheetId="12" hidden="1">{"'előző év december'!$A$2:$CP$214"}</definedName>
    <definedName name="____________________cp3" localSheetId="18" hidden="1">{"'előző év december'!$A$2:$CP$214"}</definedName>
    <definedName name="____________________cp3" localSheetId="19" hidden="1">{"'előző év december'!$A$2:$CP$214"}</definedName>
    <definedName name="____________________cp3" hidden="1">{"'előző év december'!$A$2:$CP$214"}</definedName>
    <definedName name="____________________cp4" localSheetId="31" hidden="1">{"'előző év december'!$A$2:$CP$214"}</definedName>
    <definedName name="____________________cp4" localSheetId="32" hidden="1">{"'előző év december'!$A$2:$CP$214"}</definedName>
    <definedName name="____________________cp4" localSheetId="11" hidden="1">{"'előző év december'!$A$2:$CP$214"}</definedName>
    <definedName name="____________________cp4" localSheetId="12" hidden="1">{"'előző év december'!$A$2:$CP$214"}</definedName>
    <definedName name="____________________cp4" localSheetId="18" hidden="1">{"'előző év december'!$A$2:$CP$214"}</definedName>
    <definedName name="____________________cp4" localSheetId="19" hidden="1">{"'előző év december'!$A$2:$CP$214"}</definedName>
    <definedName name="____________________cp4" hidden="1">{"'előző év december'!$A$2:$CP$214"}</definedName>
    <definedName name="____________________cp5" localSheetId="31" hidden="1">{"'előző év december'!$A$2:$CP$214"}</definedName>
    <definedName name="____________________cp5" localSheetId="32" hidden="1">{"'előző év december'!$A$2:$CP$214"}</definedName>
    <definedName name="____________________cp5" localSheetId="11" hidden="1">{"'előző év december'!$A$2:$CP$214"}</definedName>
    <definedName name="____________________cp5" localSheetId="12" hidden="1">{"'előző év december'!$A$2:$CP$214"}</definedName>
    <definedName name="____________________cp5" localSheetId="18" hidden="1">{"'előző év december'!$A$2:$CP$214"}</definedName>
    <definedName name="____________________cp5" localSheetId="19" hidden="1">{"'előző év december'!$A$2:$CP$214"}</definedName>
    <definedName name="____________________cp5" hidden="1">{"'előző év december'!$A$2:$CP$214"}</definedName>
    <definedName name="____________________cp6" localSheetId="31" hidden="1">{"'előző év december'!$A$2:$CP$214"}</definedName>
    <definedName name="____________________cp6" localSheetId="32" hidden="1">{"'előző év december'!$A$2:$CP$214"}</definedName>
    <definedName name="____________________cp6" localSheetId="11" hidden="1">{"'előző év december'!$A$2:$CP$214"}</definedName>
    <definedName name="____________________cp6" localSheetId="12" hidden="1">{"'előző év december'!$A$2:$CP$214"}</definedName>
    <definedName name="____________________cp6" localSheetId="18" hidden="1">{"'előző év december'!$A$2:$CP$214"}</definedName>
    <definedName name="____________________cp6" localSheetId="19" hidden="1">{"'előző év december'!$A$2:$CP$214"}</definedName>
    <definedName name="____________________cp6" hidden="1">{"'előző év december'!$A$2:$CP$214"}</definedName>
    <definedName name="____________________cp7" localSheetId="31" hidden="1">{"'előző év december'!$A$2:$CP$214"}</definedName>
    <definedName name="____________________cp7" localSheetId="32" hidden="1">{"'előző év december'!$A$2:$CP$214"}</definedName>
    <definedName name="____________________cp7" localSheetId="11" hidden="1">{"'előző év december'!$A$2:$CP$214"}</definedName>
    <definedName name="____________________cp7" localSheetId="12" hidden="1">{"'előző év december'!$A$2:$CP$214"}</definedName>
    <definedName name="____________________cp7" localSheetId="18" hidden="1">{"'előző év december'!$A$2:$CP$214"}</definedName>
    <definedName name="____________________cp7" localSheetId="19" hidden="1">{"'előző év december'!$A$2:$CP$214"}</definedName>
    <definedName name="____________________cp7" hidden="1">{"'előző év december'!$A$2:$CP$214"}</definedName>
    <definedName name="____________________cp8" localSheetId="31" hidden="1">{"'előző év december'!$A$2:$CP$214"}</definedName>
    <definedName name="____________________cp8" localSheetId="32" hidden="1">{"'előző év december'!$A$2:$CP$214"}</definedName>
    <definedName name="____________________cp8" localSheetId="11" hidden="1">{"'előző év december'!$A$2:$CP$214"}</definedName>
    <definedName name="____________________cp8" localSheetId="12" hidden="1">{"'előző év december'!$A$2:$CP$214"}</definedName>
    <definedName name="____________________cp8" localSheetId="18" hidden="1">{"'előző év december'!$A$2:$CP$214"}</definedName>
    <definedName name="____________________cp8" localSheetId="19" hidden="1">{"'előző év december'!$A$2:$CP$214"}</definedName>
    <definedName name="____________________cp8" hidden="1">{"'előző év december'!$A$2:$CP$214"}</definedName>
    <definedName name="____________________cp9" localSheetId="31" hidden="1">{"'előző év december'!$A$2:$CP$214"}</definedName>
    <definedName name="____________________cp9" localSheetId="32" hidden="1">{"'előző év december'!$A$2:$CP$214"}</definedName>
    <definedName name="____________________cp9" localSheetId="11" hidden="1">{"'előző év december'!$A$2:$CP$214"}</definedName>
    <definedName name="____________________cp9" localSheetId="12" hidden="1">{"'előző év december'!$A$2:$CP$214"}</definedName>
    <definedName name="____________________cp9" localSheetId="18" hidden="1">{"'előző év december'!$A$2:$CP$214"}</definedName>
    <definedName name="____________________cp9" localSheetId="19" hidden="1">{"'előző év december'!$A$2:$CP$214"}</definedName>
    <definedName name="____________________cp9" hidden="1">{"'előző év december'!$A$2:$CP$214"}</definedName>
    <definedName name="____________________cpr2" localSheetId="31" hidden="1">{"'előző év december'!$A$2:$CP$214"}</definedName>
    <definedName name="____________________cpr2" localSheetId="32" hidden="1">{"'előző év december'!$A$2:$CP$214"}</definedName>
    <definedName name="____________________cpr2" localSheetId="11" hidden="1">{"'előző év december'!$A$2:$CP$214"}</definedName>
    <definedName name="____________________cpr2" localSheetId="12" hidden="1">{"'előző év december'!$A$2:$CP$214"}</definedName>
    <definedName name="____________________cpr2" localSheetId="18" hidden="1">{"'előző év december'!$A$2:$CP$214"}</definedName>
    <definedName name="____________________cpr2" localSheetId="19" hidden="1">{"'előző év december'!$A$2:$CP$214"}</definedName>
    <definedName name="____________________cpr2" hidden="1">{"'előző év december'!$A$2:$CP$214"}</definedName>
    <definedName name="____________________cpr3" localSheetId="31" hidden="1">{"'előző év december'!$A$2:$CP$214"}</definedName>
    <definedName name="____________________cpr3" localSheetId="32" hidden="1">{"'előző év december'!$A$2:$CP$214"}</definedName>
    <definedName name="____________________cpr3" localSheetId="11" hidden="1">{"'előző év december'!$A$2:$CP$214"}</definedName>
    <definedName name="____________________cpr3" localSheetId="12" hidden="1">{"'előző év december'!$A$2:$CP$214"}</definedName>
    <definedName name="____________________cpr3" localSheetId="18" hidden="1">{"'előző év december'!$A$2:$CP$214"}</definedName>
    <definedName name="____________________cpr3" localSheetId="19" hidden="1">{"'előző év december'!$A$2:$CP$214"}</definedName>
    <definedName name="____________________cpr3" hidden="1">{"'előző év december'!$A$2:$CP$214"}</definedName>
    <definedName name="____________________cpr4" localSheetId="31" hidden="1">{"'előző év december'!$A$2:$CP$214"}</definedName>
    <definedName name="____________________cpr4" localSheetId="32" hidden="1">{"'előző év december'!$A$2:$CP$214"}</definedName>
    <definedName name="____________________cpr4" localSheetId="11" hidden="1">{"'előző év december'!$A$2:$CP$214"}</definedName>
    <definedName name="____________________cpr4" localSheetId="12" hidden="1">{"'előző év december'!$A$2:$CP$214"}</definedName>
    <definedName name="____________________cpr4" localSheetId="18" hidden="1">{"'előző év december'!$A$2:$CP$214"}</definedName>
    <definedName name="____________________cpr4" localSheetId="19" hidden="1">{"'előző év december'!$A$2:$CP$214"}</definedName>
    <definedName name="____________________cpr4" hidden="1">{"'előző év december'!$A$2:$CP$214"}</definedName>
    <definedName name="___________________cp1" localSheetId="31" hidden="1">{"'előző év december'!$A$2:$CP$214"}</definedName>
    <definedName name="___________________cp1" localSheetId="32" hidden="1">{"'előző év december'!$A$2:$CP$214"}</definedName>
    <definedName name="___________________cp1" localSheetId="11" hidden="1">{"'előző év december'!$A$2:$CP$214"}</definedName>
    <definedName name="___________________cp1" localSheetId="12" hidden="1">{"'előző év december'!$A$2:$CP$214"}</definedName>
    <definedName name="___________________cp1" localSheetId="18" hidden="1">{"'előző év december'!$A$2:$CP$214"}</definedName>
    <definedName name="___________________cp1" localSheetId="19" hidden="1">{"'előző év december'!$A$2:$CP$214"}</definedName>
    <definedName name="___________________cp1" hidden="1">{"'előző év december'!$A$2:$CP$214"}</definedName>
    <definedName name="___________________cp10" localSheetId="31" hidden="1">{"'előző év december'!$A$2:$CP$214"}</definedName>
    <definedName name="___________________cp10" localSheetId="32" hidden="1">{"'előző év december'!$A$2:$CP$214"}</definedName>
    <definedName name="___________________cp10" localSheetId="11" hidden="1">{"'előző év december'!$A$2:$CP$214"}</definedName>
    <definedName name="___________________cp10" localSheetId="12" hidden="1">{"'előző év december'!$A$2:$CP$214"}</definedName>
    <definedName name="___________________cp10" localSheetId="18" hidden="1">{"'előző év december'!$A$2:$CP$214"}</definedName>
    <definedName name="___________________cp10" localSheetId="19" hidden="1">{"'előző év december'!$A$2:$CP$214"}</definedName>
    <definedName name="___________________cp10" hidden="1">{"'előző év december'!$A$2:$CP$214"}</definedName>
    <definedName name="___________________cp11" localSheetId="31" hidden="1">{"'előző év december'!$A$2:$CP$214"}</definedName>
    <definedName name="___________________cp11" localSheetId="32" hidden="1">{"'előző év december'!$A$2:$CP$214"}</definedName>
    <definedName name="___________________cp11" localSheetId="11" hidden="1">{"'előző év december'!$A$2:$CP$214"}</definedName>
    <definedName name="___________________cp11" localSheetId="12" hidden="1">{"'előző év december'!$A$2:$CP$214"}</definedName>
    <definedName name="___________________cp11" localSheetId="18" hidden="1">{"'előző év december'!$A$2:$CP$214"}</definedName>
    <definedName name="___________________cp11" localSheetId="19" hidden="1">{"'előző év december'!$A$2:$CP$214"}</definedName>
    <definedName name="___________________cp11" hidden="1">{"'előző év december'!$A$2:$CP$214"}</definedName>
    <definedName name="___________________cp2" localSheetId="31" hidden="1">{"'előző év december'!$A$2:$CP$214"}</definedName>
    <definedName name="___________________cp2" localSheetId="32" hidden="1">{"'előző év december'!$A$2:$CP$214"}</definedName>
    <definedName name="___________________cp2" localSheetId="11" hidden="1">{"'előző év december'!$A$2:$CP$214"}</definedName>
    <definedName name="___________________cp2" localSheetId="12" hidden="1">{"'előző év december'!$A$2:$CP$214"}</definedName>
    <definedName name="___________________cp2" localSheetId="18" hidden="1">{"'előző év december'!$A$2:$CP$214"}</definedName>
    <definedName name="___________________cp2" localSheetId="19" hidden="1">{"'előző év december'!$A$2:$CP$214"}</definedName>
    <definedName name="___________________cp2" hidden="1">{"'előző év december'!$A$2:$CP$214"}</definedName>
    <definedName name="___________________cp3" localSheetId="31" hidden="1">{"'előző év december'!$A$2:$CP$214"}</definedName>
    <definedName name="___________________cp3" localSheetId="32" hidden="1">{"'előző év december'!$A$2:$CP$214"}</definedName>
    <definedName name="___________________cp3" localSheetId="11" hidden="1">{"'előző év december'!$A$2:$CP$214"}</definedName>
    <definedName name="___________________cp3" localSheetId="12" hidden="1">{"'előző év december'!$A$2:$CP$214"}</definedName>
    <definedName name="___________________cp3" localSheetId="18" hidden="1">{"'előző év december'!$A$2:$CP$214"}</definedName>
    <definedName name="___________________cp3" localSheetId="19" hidden="1">{"'előző év december'!$A$2:$CP$214"}</definedName>
    <definedName name="___________________cp3" hidden="1">{"'előző év december'!$A$2:$CP$214"}</definedName>
    <definedName name="___________________cp4" localSheetId="31" hidden="1">{"'előző év december'!$A$2:$CP$214"}</definedName>
    <definedName name="___________________cp4" localSheetId="32" hidden="1">{"'előző év december'!$A$2:$CP$214"}</definedName>
    <definedName name="___________________cp4" localSheetId="11" hidden="1">{"'előző év december'!$A$2:$CP$214"}</definedName>
    <definedName name="___________________cp4" localSheetId="12" hidden="1">{"'előző év december'!$A$2:$CP$214"}</definedName>
    <definedName name="___________________cp4" localSheetId="18" hidden="1">{"'előző év december'!$A$2:$CP$214"}</definedName>
    <definedName name="___________________cp4" localSheetId="19" hidden="1">{"'előző év december'!$A$2:$CP$214"}</definedName>
    <definedName name="___________________cp4" hidden="1">{"'előző év december'!$A$2:$CP$214"}</definedName>
    <definedName name="___________________cp5" localSheetId="31" hidden="1">{"'előző év december'!$A$2:$CP$214"}</definedName>
    <definedName name="___________________cp5" localSheetId="32" hidden="1">{"'előző év december'!$A$2:$CP$214"}</definedName>
    <definedName name="___________________cp5" localSheetId="11" hidden="1">{"'előző év december'!$A$2:$CP$214"}</definedName>
    <definedName name="___________________cp5" localSheetId="12" hidden="1">{"'előző év december'!$A$2:$CP$214"}</definedName>
    <definedName name="___________________cp5" localSheetId="18" hidden="1">{"'előző év december'!$A$2:$CP$214"}</definedName>
    <definedName name="___________________cp5" localSheetId="19" hidden="1">{"'előző év december'!$A$2:$CP$214"}</definedName>
    <definedName name="___________________cp5" hidden="1">{"'előző év december'!$A$2:$CP$214"}</definedName>
    <definedName name="___________________cp6" localSheetId="31" hidden="1">{"'előző év december'!$A$2:$CP$214"}</definedName>
    <definedName name="___________________cp6" localSheetId="32" hidden="1">{"'előző év december'!$A$2:$CP$214"}</definedName>
    <definedName name="___________________cp6" localSheetId="11" hidden="1">{"'előző év december'!$A$2:$CP$214"}</definedName>
    <definedName name="___________________cp6" localSheetId="12" hidden="1">{"'előző év december'!$A$2:$CP$214"}</definedName>
    <definedName name="___________________cp6" localSheetId="18" hidden="1">{"'előző év december'!$A$2:$CP$214"}</definedName>
    <definedName name="___________________cp6" localSheetId="19" hidden="1">{"'előző év december'!$A$2:$CP$214"}</definedName>
    <definedName name="___________________cp6" hidden="1">{"'előző év december'!$A$2:$CP$214"}</definedName>
    <definedName name="___________________cp7" localSheetId="31" hidden="1">{"'előző év december'!$A$2:$CP$214"}</definedName>
    <definedName name="___________________cp7" localSheetId="32" hidden="1">{"'előző év december'!$A$2:$CP$214"}</definedName>
    <definedName name="___________________cp7" localSheetId="11" hidden="1">{"'előző év december'!$A$2:$CP$214"}</definedName>
    <definedName name="___________________cp7" localSheetId="12" hidden="1">{"'előző év december'!$A$2:$CP$214"}</definedName>
    <definedName name="___________________cp7" localSheetId="18" hidden="1">{"'előző év december'!$A$2:$CP$214"}</definedName>
    <definedName name="___________________cp7" localSheetId="19" hidden="1">{"'előző év december'!$A$2:$CP$214"}</definedName>
    <definedName name="___________________cp7" hidden="1">{"'előző év december'!$A$2:$CP$214"}</definedName>
    <definedName name="___________________cp8" localSheetId="31" hidden="1">{"'előző év december'!$A$2:$CP$214"}</definedName>
    <definedName name="___________________cp8" localSheetId="32" hidden="1">{"'előző év december'!$A$2:$CP$214"}</definedName>
    <definedName name="___________________cp8" localSheetId="11" hidden="1">{"'előző év december'!$A$2:$CP$214"}</definedName>
    <definedName name="___________________cp8" localSheetId="12" hidden="1">{"'előző év december'!$A$2:$CP$214"}</definedName>
    <definedName name="___________________cp8" localSheetId="18" hidden="1">{"'előző év december'!$A$2:$CP$214"}</definedName>
    <definedName name="___________________cp8" localSheetId="19" hidden="1">{"'előző év december'!$A$2:$CP$214"}</definedName>
    <definedName name="___________________cp8" hidden="1">{"'előző év december'!$A$2:$CP$214"}</definedName>
    <definedName name="___________________cp9" localSheetId="31" hidden="1">{"'előző év december'!$A$2:$CP$214"}</definedName>
    <definedName name="___________________cp9" localSheetId="32" hidden="1">{"'előző év december'!$A$2:$CP$214"}</definedName>
    <definedName name="___________________cp9" localSheetId="11" hidden="1">{"'előző év december'!$A$2:$CP$214"}</definedName>
    <definedName name="___________________cp9" localSheetId="12" hidden="1">{"'előző év december'!$A$2:$CP$214"}</definedName>
    <definedName name="___________________cp9" localSheetId="18" hidden="1">{"'előző év december'!$A$2:$CP$214"}</definedName>
    <definedName name="___________________cp9" localSheetId="19" hidden="1">{"'előző év december'!$A$2:$CP$214"}</definedName>
    <definedName name="___________________cp9" hidden="1">{"'előző év december'!$A$2:$CP$214"}</definedName>
    <definedName name="___________________cpr2" localSheetId="31" hidden="1">{"'előző év december'!$A$2:$CP$214"}</definedName>
    <definedName name="___________________cpr2" localSheetId="32" hidden="1">{"'előző év december'!$A$2:$CP$214"}</definedName>
    <definedName name="___________________cpr2" localSheetId="11" hidden="1">{"'előző év december'!$A$2:$CP$214"}</definedName>
    <definedName name="___________________cpr2" localSheetId="12" hidden="1">{"'előző év december'!$A$2:$CP$214"}</definedName>
    <definedName name="___________________cpr2" localSheetId="18" hidden="1">{"'előző év december'!$A$2:$CP$214"}</definedName>
    <definedName name="___________________cpr2" localSheetId="19" hidden="1">{"'előző év december'!$A$2:$CP$214"}</definedName>
    <definedName name="___________________cpr2" hidden="1">{"'előző év december'!$A$2:$CP$214"}</definedName>
    <definedName name="___________________cpr3" localSheetId="31" hidden="1">{"'előző év december'!$A$2:$CP$214"}</definedName>
    <definedName name="___________________cpr3" localSheetId="32" hidden="1">{"'előző év december'!$A$2:$CP$214"}</definedName>
    <definedName name="___________________cpr3" localSheetId="11" hidden="1">{"'előző év december'!$A$2:$CP$214"}</definedName>
    <definedName name="___________________cpr3" localSheetId="12" hidden="1">{"'előző év december'!$A$2:$CP$214"}</definedName>
    <definedName name="___________________cpr3" localSheetId="18" hidden="1">{"'előző év december'!$A$2:$CP$214"}</definedName>
    <definedName name="___________________cpr3" localSheetId="19" hidden="1">{"'előző év december'!$A$2:$CP$214"}</definedName>
    <definedName name="___________________cpr3" hidden="1">{"'előző év december'!$A$2:$CP$214"}</definedName>
    <definedName name="___________________cpr4" localSheetId="31" hidden="1">{"'előző év december'!$A$2:$CP$214"}</definedName>
    <definedName name="___________________cpr4" localSheetId="32" hidden="1">{"'előző év december'!$A$2:$CP$214"}</definedName>
    <definedName name="___________________cpr4" localSheetId="11" hidden="1">{"'előző év december'!$A$2:$CP$214"}</definedName>
    <definedName name="___________________cpr4" localSheetId="12" hidden="1">{"'előző év december'!$A$2:$CP$214"}</definedName>
    <definedName name="___________________cpr4" localSheetId="18" hidden="1">{"'előző év december'!$A$2:$CP$214"}</definedName>
    <definedName name="___________________cpr4" localSheetId="19" hidden="1">{"'előző év december'!$A$2:$CP$214"}</definedName>
    <definedName name="___________________cpr4" hidden="1">{"'előző év december'!$A$2:$CP$214"}</definedName>
    <definedName name="__________________cp1" localSheetId="31" hidden="1">{"'előző év december'!$A$2:$CP$214"}</definedName>
    <definedName name="__________________cp1" localSheetId="32" hidden="1">{"'előző év december'!$A$2:$CP$214"}</definedName>
    <definedName name="__________________cp1" localSheetId="11" hidden="1">{"'előző év december'!$A$2:$CP$214"}</definedName>
    <definedName name="__________________cp1" localSheetId="12" hidden="1">{"'előző év december'!$A$2:$CP$214"}</definedName>
    <definedName name="__________________cp1" localSheetId="18" hidden="1">{"'előző év december'!$A$2:$CP$214"}</definedName>
    <definedName name="__________________cp1" localSheetId="19" hidden="1">{"'előző év december'!$A$2:$CP$214"}</definedName>
    <definedName name="__________________cp1" hidden="1">{"'előző év december'!$A$2:$CP$214"}</definedName>
    <definedName name="__________________cp10" localSheetId="31" hidden="1">{"'előző év december'!$A$2:$CP$214"}</definedName>
    <definedName name="__________________cp10" localSheetId="32" hidden="1">{"'előző év december'!$A$2:$CP$214"}</definedName>
    <definedName name="__________________cp10" localSheetId="11" hidden="1">{"'előző év december'!$A$2:$CP$214"}</definedName>
    <definedName name="__________________cp10" localSheetId="12" hidden="1">{"'előző év december'!$A$2:$CP$214"}</definedName>
    <definedName name="__________________cp10" localSheetId="18" hidden="1">{"'előző év december'!$A$2:$CP$214"}</definedName>
    <definedName name="__________________cp10" localSheetId="19" hidden="1">{"'előző év december'!$A$2:$CP$214"}</definedName>
    <definedName name="__________________cp10" hidden="1">{"'előző év december'!$A$2:$CP$214"}</definedName>
    <definedName name="__________________cp11" localSheetId="31" hidden="1">{"'előző év december'!$A$2:$CP$214"}</definedName>
    <definedName name="__________________cp11" localSheetId="32" hidden="1">{"'előző év december'!$A$2:$CP$214"}</definedName>
    <definedName name="__________________cp11" localSheetId="11" hidden="1">{"'előző év december'!$A$2:$CP$214"}</definedName>
    <definedName name="__________________cp11" localSheetId="12" hidden="1">{"'előző év december'!$A$2:$CP$214"}</definedName>
    <definedName name="__________________cp11" localSheetId="18" hidden="1">{"'előző év december'!$A$2:$CP$214"}</definedName>
    <definedName name="__________________cp11" localSheetId="19" hidden="1">{"'előző év december'!$A$2:$CP$214"}</definedName>
    <definedName name="__________________cp11" hidden="1">{"'előző év december'!$A$2:$CP$214"}</definedName>
    <definedName name="__________________cp2" localSheetId="31" hidden="1">{"'előző év december'!$A$2:$CP$214"}</definedName>
    <definedName name="__________________cp2" localSheetId="32" hidden="1">{"'előző év december'!$A$2:$CP$214"}</definedName>
    <definedName name="__________________cp2" localSheetId="11" hidden="1">{"'előző év december'!$A$2:$CP$214"}</definedName>
    <definedName name="__________________cp2" localSheetId="12" hidden="1">{"'előző év december'!$A$2:$CP$214"}</definedName>
    <definedName name="__________________cp2" localSheetId="18" hidden="1">{"'előző év december'!$A$2:$CP$214"}</definedName>
    <definedName name="__________________cp2" localSheetId="19" hidden="1">{"'előző év december'!$A$2:$CP$214"}</definedName>
    <definedName name="__________________cp2" hidden="1">{"'előző év december'!$A$2:$CP$214"}</definedName>
    <definedName name="__________________cp3" localSheetId="31" hidden="1">{"'előző év december'!$A$2:$CP$214"}</definedName>
    <definedName name="__________________cp3" localSheetId="32" hidden="1">{"'előző év december'!$A$2:$CP$214"}</definedName>
    <definedName name="__________________cp3" localSheetId="11" hidden="1">{"'előző év december'!$A$2:$CP$214"}</definedName>
    <definedName name="__________________cp3" localSheetId="12" hidden="1">{"'előző év december'!$A$2:$CP$214"}</definedName>
    <definedName name="__________________cp3" localSheetId="18" hidden="1">{"'előző év december'!$A$2:$CP$214"}</definedName>
    <definedName name="__________________cp3" localSheetId="19" hidden="1">{"'előző év december'!$A$2:$CP$214"}</definedName>
    <definedName name="__________________cp3" hidden="1">{"'előző év december'!$A$2:$CP$214"}</definedName>
    <definedName name="__________________cp4" localSheetId="31" hidden="1">{"'előző év december'!$A$2:$CP$214"}</definedName>
    <definedName name="__________________cp4" localSheetId="32" hidden="1">{"'előző év december'!$A$2:$CP$214"}</definedName>
    <definedName name="__________________cp4" localSheetId="11" hidden="1">{"'előző év december'!$A$2:$CP$214"}</definedName>
    <definedName name="__________________cp4" localSheetId="12" hidden="1">{"'előző év december'!$A$2:$CP$214"}</definedName>
    <definedName name="__________________cp4" localSheetId="18" hidden="1">{"'előző év december'!$A$2:$CP$214"}</definedName>
    <definedName name="__________________cp4" localSheetId="19" hidden="1">{"'előző év december'!$A$2:$CP$214"}</definedName>
    <definedName name="__________________cp4" hidden="1">{"'előző év december'!$A$2:$CP$214"}</definedName>
    <definedName name="__________________cp5" localSheetId="31" hidden="1">{"'előző év december'!$A$2:$CP$214"}</definedName>
    <definedName name="__________________cp5" localSheetId="32" hidden="1">{"'előző év december'!$A$2:$CP$214"}</definedName>
    <definedName name="__________________cp5" localSheetId="11" hidden="1">{"'előző év december'!$A$2:$CP$214"}</definedName>
    <definedName name="__________________cp5" localSheetId="12" hidden="1">{"'előző év december'!$A$2:$CP$214"}</definedName>
    <definedName name="__________________cp5" localSheetId="18" hidden="1">{"'előző év december'!$A$2:$CP$214"}</definedName>
    <definedName name="__________________cp5" localSheetId="19" hidden="1">{"'előző év december'!$A$2:$CP$214"}</definedName>
    <definedName name="__________________cp5" hidden="1">{"'előző év december'!$A$2:$CP$214"}</definedName>
    <definedName name="__________________cp6" localSheetId="31" hidden="1">{"'előző év december'!$A$2:$CP$214"}</definedName>
    <definedName name="__________________cp6" localSheetId="32" hidden="1">{"'előző év december'!$A$2:$CP$214"}</definedName>
    <definedName name="__________________cp6" localSheetId="11" hidden="1">{"'előző év december'!$A$2:$CP$214"}</definedName>
    <definedName name="__________________cp6" localSheetId="12" hidden="1">{"'előző év december'!$A$2:$CP$214"}</definedName>
    <definedName name="__________________cp6" localSheetId="18" hidden="1">{"'előző év december'!$A$2:$CP$214"}</definedName>
    <definedName name="__________________cp6" localSheetId="19" hidden="1">{"'előző év december'!$A$2:$CP$214"}</definedName>
    <definedName name="__________________cp6" hidden="1">{"'előző év december'!$A$2:$CP$214"}</definedName>
    <definedName name="__________________cp7" localSheetId="31" hidden="1">{"'előző év december'!$A$2:$CP$214"}</definedName>
    <definedName name="__________________cp7" localSheetId="32" hidden="1">{"'előző év december'!$A$2:$CP$214"}</definedName>
    <definedName name="__________________cp7" localSheetId="11" hidden="1">{"'előző év december'!$A$2:$CP$214"}</definedName>
    <definedName name="__________________cp7" localSheetId="12" hidden="1">{"'előző év december'!$A$2:$CP$214"}</definedName>
    <definedName name="__________________cp7" localSheetId="18" hidden="1">{"'előző év december'!$A$2:$CP$214"}</definedName>
    <definedName name="__________________cp7" localSheetId="19" hidden="1">{"'előző év december'!$A$2:$CP$214"}</definedName>
    <definedName name="__________________cp7" hidden="1">{"'előző év december'!$A$2:$CP$214"}</definedName>
    <definedName name="__________________cp8" localSheetId="31" hidden="1">{"'előző év december'!$A$2:$CP$214"}</definedName>
    <definedName name="__________________cp8" localSheetId="32" hidden="1">{"'előző év december'!$A$2:$CP$214"}</definedName>
    <definedName name="__________________cp8" localSheetId="11" hidden="1">{"'előző év december'!$A$2:$CP$214"}</definedName>
    <definedName name="__________________cp8" localSheetId="12" hidden="1">{"'előző év december'!$A$2:$CP$214"}</definedName>
    <definedName name="__________________cp8" localSheetId="18" hidden="1">{"'előző év december'!$A$2:$CP$214"}</definedName>
    <definedName name="__________________cp8" localSheetId="19" hidden="1">{"'előző év december'!$A$2:$CP$214"}</definedName>
    <definedName name="__________________cp8" hidden="1">{"'előző év december'!$A$2:$CP$214"}</definedName>
    <definedName name="__________________cp9" localSheetId="31" hidden="1">{"'előző év december'!$A$2:$CP$214"}</definedName>
    <definedName name="__________________cp9" localSheetId="32" hidden="1">{"'előző év december'!$A$2:$CP$214"}</definedName>
    <definedName name="__________________cp9" localSheetId="11" hidden="1">{"'előző év december'!$A$2:$CP$214"}</definedName>
    <definedName name="__________________cp9" localSheetId="12" hidden="1">{"'előző év december'!$A$2:$CP$214"}</definedName>
    <definedName name="__________________cp9" localSheetId="18" hidden="1">{"'előző év december'!$A$2:$CP$214"}</definedName>
    <definedName name="__________________cp9" localSheetId="19" hidden="1">{"'előző év december'!$A$2:$CP$214"}</definedName>
    <definedName name="__________________cp9" hidden="1">{"'előző év december'!$A$2:$CP$214"}</definedName>
    <definedName name="__________________cpr2" localSheetId="31" hidden="1">{"'előző év december'!$A$2:$CP$214"}</definedName>
    <definedName name="__________________cpr2" localSheetId="32" hidden="1">{"'előző év december'!$A$2:$CP$214"}</definedName>
    <definedName name="__________________cpr2" localSheetId="11" hidden="1">{"'előző év december'!$A$2:$CP$214"}</definedName>
    <definedName name="__________________cpr2" localSheetId="12" hidden="1">{"'előző év december'!$A$2:$CP$214"}</definedName>
    <definedName name="__________________cpr2" localSheetId="18" hidden="1">{"'előző év december'!$A$2:$CP$214"}</definedName>
    <definedName name="__________________cpr2" localSheetId="19" hidden="1">{"'előző év december'!$A$2:$CP$214"}</definedName>
    <definedName name="__________________cpr2" hidden="1">{"'előző év december'!$A$2:$CP$214"}</definedName>
    <definedName name="__________________cpr3" localSheetId="31" hidden="1">{"'előző év december'!$A$2:$CP$214"}</definedName>
    <definedName name="__________________cpr3" localSheetId="32" hidden="1">{"'előző év december'!$A$2:$CP$214"}</definedName>
    <definedName name="__________________cpr3" localSheetId="11" hidden="1">{"'előző év december'!$A$2:$CP$214"}</definedName>
    <definedName name="__________________cpr3" localSheetId="12" hidden="1">{"'előző év december'!$A$2:$CP$214"}</definedName>
    <definedName name="__________________cpr3" localSheetId="18" hidden="1">{"'előző év december'!$A$2:$CP$214"}</definedName>
    <definedName name="__________________cpr3" localSheetId="19" hidden="1">{"'előző év december'!$A$2:$CP$214"}</definedName>
    <definedName name="__________________cpr3" hidden="1">{"'előző év december'!$A$2:$CP$214"}</definedName>
    <definedName name="__________________cpr4" localSheetId="31" hidden="1">{"'előző év december'!$A$2:$CP$214"}</definedName>
    <definedName name="__________________cpr4" localSheetId="32" hidden="1">{"'előző év december'!$A$2:$CP$214"}</definedName>
    <definedName name="__________________cpr4" localSheetId="11" hidden="1">{"'előző év december'!$A$2:$CP$214"}</definedName>
    <definedName name="__________________cpr4" localSheetId="12" hidden="1">{"'előző év december'!$A$2:$CP$214"}</definedName>
    <definedName name="__________________cpr4" localSheetId="18" hidden="1">{"'előző év december'!$A$2:$CP$214"}</definedName>
    <definedName name="__________________cpr4" localSheetId="19" hidden="1">{"'előző év december'!$A$2:$CP$214"}</definedName>
    <definedName name="__________________cpr4" hidden="1">{"'előző év december'!$A$2:$CP$214"}</definedName>
    <definedName name="_________________cp1" localSheetId="31" hidden="1">{"'előző év december'!$A$2:$CP$214"}</definedName>
    <definedName name="_________________cp1" localSheetId="32" hidden="1">{"'előző év december'!$A$2:$CP$214"}</definedName>
    <definedName name="_________________cp1" localSheetId="11" hidden="1">{"'előző év december'!$A$2:$CP$214"}</definedName>
    <definedName name="_________________cp1" localSheetId="12" hidden="1">{"'előző év december'!$A$2:$CP$214"}</definedName>
    <definedName name="_________________cp1" localSheetId="18" hidden="1">{"'előző év december'!$A$2:$CP$214"}</definedName>
    <definedName name="_________________cp1" localSheetId="19" hidden="1">{"'előző év december'!$A$2:$CP$214"}</definedName>
    <definedName name="_________________cp1" hidden="1">{"'előző év december'!$A$2:$CP$214"}</definedName>
    <definedName name="_________________cp10" localSheetId="31" hidden="1">{"'előző év december'!$A$2:$CP$214"}</definedName>
    <definedName name="_________________cp10" localSheetId="32" hidden="1">{"'előző év december'!$A$2:$CP$214"}</definedName>
    <definedName name="_________________cp10" localSheetId="11" hidden="1">{"'előző év december'!$A$2:$CP$214"}</definedName>
    <definedName name="_________________cp10" localSheetId="12" hidden="1">{"'előző év december'!$A$2:$CP$214"}</definedName>
    <definedName name="_________________cp10" localSheetId="18" hidden="1">{"'előző év december'!$A$2:$CP$214"}</definedName>
    <definedName name="_________________cp10" localSheetId="19" hidden="1">{"'előző év december'!$A$2:$CP$214"}</definedName>
    <definedName name="_________________cp10" hidden="1">{"'előző év december'!$A$2:$CP$214"}</definedName>
    <definedName name="_________________cp11" localSheetId="31" hidden="1">{"'előző év december'!$A$2:$CP$214"}</definedName>
    <definedName name="_________________cp11" localSheetId="32" hidden="1">{"'előző év december'!$A$2:$CP$214"}</definedName>
    <definedName name="_________________cp11" localSheetId="11" hidden="1">{"'előző év december'!$A$2:$CP$214"}</definedName>
    <definedName name="_________________cp11" localSheetId="12" hidden="1">{"'előző év december'!$A$2:$CP$214"}</definedName>
    <definedName name="_________________cp11" localSheetId="18" hidden="1">{"'előző év december'!$A$2:$CP$214"}</definedName>
    <definedName name="_________________cp11" localSheetId="19" hidden="1">{"'előző év december'!$A$2:$CP$214"}</definedName>
    <definedName name="_________________cp11" hidden="1">{"'előző év december'!$A$2:$CP$214"}</definedName>
    <definedName name="_________________cp2" localSheetId="31" hidden="1">{"'előző év december'!$A$2:$CP$214"}</definedName>
    <definedName name="_________________cp2" localSheetId="32" hidden="1">{"'előző év december'!$A$2:$CP$214"}</definedName>
    <definedName name="_________________cp2" localSheetId="11" hidden="1">{"'előző év december'!$A$2:$CP$214"}</definedName>
    <definedName name="_________________cp2" localSheetId="12" hidden="1">{"'előző év december'!$A$2:$CP$214"}</definedName>
    <definedName name="_________________cp2" localSheetId="18" hidden="1">{"'előző év december'!$A$2:$CP$214"}</definedName>
    <definedName name="_________________cp2" localSheetId="19" hidden="1">{"'előző év december'!$A$2:$CP$214"}</definedName>
    <definedName name="_________________cp2" hidden="1">{"'előző év december'!$A$2:$CP$214"}</definedName>
    <definedName name="_________________cp3" localSheetId="31" hidden="1">{"'előző év december'!$A$2:$CP$214"}</definedName>
    <definedName name="_________________cp3" localSheetId="32" hidden="1">{"'előző év december'!$A$2:$CP$214"}</definedName>
    <definedName name="_________________cp3" localSheetId="11" hidden="1">{"'előző év december'!$A$2:$CP$214"}</definedName>
    <definedName name="_________________cp3" localSheetId="12" hidden="1">{"'előző év december'!$A$2:$CP$214"}</definedName>
    <definedName name="_________________cp3" localSheetId="18" hidden="1">{"'előző év december'!$A$2:$CP$214"}</definedName>
    <definedName name="_________________cp3" localSheetId="19" hidden="1">{"'előző év december'!$A$2:$CP$214"}</definedName>
    <definedName name="_________________cp3" hidden="1">{"'előző év december'!$A$2:$CP$214"}</definedName>
    <definedName name="_________________cp4" localSheetId="31" hidden="1">{"'előző év december'!$A$2:$CP$214"}</definedName>
    <definedName name="_________________cp4" localSheetId="32" hidden="1">{"'előző év december'!$A$2:$CP$214"}</definedName>
    <definedName name="_________________cp4" localSheetId="11" hidden="1">{"'előző év december'!$A$2:$CP$214"}</definedName>
    <definedName name="_________________cp4" localSheetId="12" hidden="1">{"'előző év december'!$A$2:$CP$214"}</definedName>
    <definedName name="_________________cp4" localSheetId="18" hidden="1">{"'előző év december'!$A$2:$CP$214"}</definedName>
    <definedName name="_________________cp4" localSheetId="19" hidden="1">{"'előző év december'!$A$2:$CP$214"}</definedName>
    <definedName name="_________________cp4" hidden="1">{"'előző év december'!$A$2:$CP$214"}</definedName>
    <definedName name="_________________cp5" localSheetId="31" hidden="1">{"'előző év december'!$A$2:$CP$214"}</definedName>
    <definedName name="_________________cp5" localSheetId="32" hidden="1">{"'előző év december'!$A$2:$CP$214"}</definedName>
    <definedName name="_________________cp5" localSheetId="11" hidden="1">{"'előző év december'!$A$2:$CP$214"}</definedName>
    <definedName name="_________________cp5" localSheetId="12" hidden="1">{"'előző év december'!$A$2:$CP$214"}</definedName>
    <definedName name="_________________cp5" localSheetId="18" hidden="1">{"'előző év december'!$A$2:$CP$214"}</definedName>
    <definedName name="_________________cp5" localSheetId="19" hidden="1">{"'előző év december'!$A$2:$CP$214"}</definedName>
    <definedName name="_________________cp5" hidden="1">{"'előző év december'!$A$2:$CP$214"}</definedName>
    <definedName name="_________________cp6" localSheetId="31" hidden="1">{"'előző év december'!$A$2:$CP$214"}</definedName>
    <definedName name="_________________cp6" localSheetId="32" hidden="1">{"'előző év december'!$A$2:$CP$214"}</definedName>
    <definedName name="_________________cp6" localSheetId="11" hidden="1">{"'előző év december'!$A$2:$CP$214"}</definedName>
    <definedName name="_________________cp6" localSheetId="12" hidden="1">{"'előző év december'!$A$2:$CP$214"}</definedName>
    <definedName name="_________________cp6" localSheetId="18" hidden="1">{"'előző év december'!$A$2:$CP$214"}</definedName>
    <definedName name="_________________cp6" localSheetId="19" hidden="1">{"'előző év december'!$A$2:$CP$214"}</definedName>
    <definedName name="_________________cp6" hidden="1">{"'előző év december'!$A$2:$CP$214"}</definedName>
    <definedName name="_________________cp7" localSheetId="31" hidden="1">{"'előző év december'!$A$2:$CP$214"}</definedName>
    <definedName name="_________________cp7" localSheetId="32" hidden="1">{"'előző év december'!$A$2:$CP$214"}</definedName>
    <definedName name="_________________cp7" localSheetId="11" hidden="1">{"'előző év december'!$A$2:$CP$214"}</definedName>
    <definedName name="_________________cp7" localSheetId="12" hidden="1">{"'előző év december'!$A$2:$CP$214"}</definedName>
    <definedName name="_________________cp7" localSheetId="18" hidden="1">{"'előző év december'!$A$2:$CP$214"}</definedName>
    <definedName name="_________________cp7" localSheetId="19" hidden="1">{"'előző év december'!$A$2:$CP$214"}</definedName>
    <definedName name="_________________cp7" hidden="1">{"'előző év december'!$A$2:$CP$214"}</definedName>
    <definedName name="_________________cp8" localSheetId="31" hidden="1">{"'előző év december'!$A$2:$CP$214"}</definedName>
    <definedName name="_________________cp8" localSheetId="32" hidden="1">{"'előző év december'!$A$2:$CP$214"}</definedName>
    <definedName name="_________________cp8" localSheetId="11" hidden="1">{"'előző év december'!$A$2:$CP$214"}</definedName>
    <definedName name="_________________cp8" localSheetId="12" hidden="1">{"'előző év december'!$A$2:$CP$214"}</definedName>
    <definedName name="_________________cp8" localSheetId="18" hidden="1">{"'előző év december'!$A$2:$CP$214"}</definedName>
    <definedName name="_________________cp8" localSheetId="19" hidden="1">{"'előző év december'!$A$2:$CP$214"}</definedName>
    <definedName name="_________________cp8" hidden="1">{"'előző év december'!$A$2:$CP$214"}</definedName>
    <definedName name="_________________cp9" localSheetId="31" hidden="1">{"'előző év december'!$A$2:$CP$214"}</definedName>
    <definedName name="_________________cp9" localSheetId="32" hidden="1">{"'előző év december'!$A$2:$CP$214"}</definedName>
    <definedName name="_________________cp9" localSheetId="11" hidden="1">{"'előző év december'!$A$2:$CP$214"}</definedName>
    <definedName name="_________________cp9" localSheetId="12" hidden="1">{"'előző év december'!$A$2:$CP$214"}</definedName>
    <definedName name="_________________cp9" localSheetId="18" hidden="1">{"'előző év december'!$A$2:$CP$214"}</definedName>
    <definedName name="_________________cp9" localSheetId="19" hidden="1">{"'előző év december'!$A$2:$CP$214"}</definedName>
    <definedName name="_________________cp9" hidden="1">{"'előző év december'!$A$2:$CP$214"}</definedName>
    <definedName name="_________________cpr2" localSheetId="31" hidden="1">{"'előző év december'!$A$2:$CP$214"}</definedName>
    <definedName name="_________________cpr2" localSheetId="32" hidden="1">{"'előző év december'!$A$2:$CP$214"}</definedName>
    <definedName name="_________________cpr2" localSheetId="11" hidden="1">{"'előző év december'!$A$2:$CP$214"}</definedName>
    <definedName name="_________________cpr2" localSheetId="12" hidden="1">{"'előző év december'!$A$2:$CP$214"}</definedName>
    <definedName name="_________________cpr2" localSheetId="18" hidden="1">{"'előző év december'!$A$2:$CP$214"}</definedName>
    <definedName name="_________________cpr2" localSheetId="19" hidden="1">{"'előző év december'!$A$2:$CP$214"}</definedName>
    <definedName name="_________________cpr2" hidden="1">{"'előző év december'!$A$2:$CP$214"}</definedName>
    <definedName name="_________________cpr3" localSheetId="31" hidden="1">{"'előző év december'!$A$2:$CP$214"}</definedName>
    <definedName name="_________________cpr3" localSheetId="32" hidden="1">{"'előző év december'!$A$2:$CP$214"}</definedName>
    <definedName name="_________________cpr3" localSheetId="11" hidden="1">{"'előző év december'!$A$2:$CP$214"}</definedName>
    <definedName name="_________________cpr3" localSheetId="12" hidden="1">{"'előző év december'!$A$2:$CP$214"}</definedName>
    <definedName name="_________________cpr3" localSheetId="18" hidden="1">{"'előző év december'!$A$2:$CP$214"}</definedName>
    <definedName name="_________________cpr3" localSheetId="19" hidden="1">{"'előző év december'!$A$2:$CP$214"}</definedName>
    <definedName name="_________________cpr3" hidden="1">{"'előző év december'!$A$2:$CP$214"}</definedName>
    <definedName name="_________________cpr4" localSheetId="31" hidden="1">{"'előző év december'!$A$2:$CP$214"}</definedName>
    <definedName name="_________________cpr4" localSheetId="32" hidden="1">{"'előző év december'!$A$2:$CP$214"}</definedName>
    <definedName name="_________________cpr4" localSheetId="11" hidden="1">{"'előző év december'!$A$2:$CP$214"}</definedName>
    <definedName name="_________________cpr4" localSheetId="12" hidden="1">{"'előző év december'!$A$2:$CP$214"}</definedName>
    <definedName name="_________________cpr4" localSheetId="18" hidden="1">{"'előző év december'!$A$2:$CP$214"}</definedName>
    <definedName name="_________________cpr4" localSheetId="19" hidden="1">{"'előző év december'!$A$2:$CP$214"}</definedName>
    <definedName name="_________________cpr4" hidden="1">{"'előző év december'!$A$2:$CP$214"}</definedName>
    <definedName name="________________cp1" localSheetId="31" hidden="1">{"'előző év december'!$A$2:$CP$214"}</definedName>
    <definedName name="________________cp1" localSheetId="32" hidden="1">{"'előző év december'!$A$2:$CP$214"}</definedName>
    <definedName name="________________cp1" localSheetId="11" hidden="1">{"'előző év december'!$A$2:$CP$214"}</definedName>
    <definedName name="________________cp1" localSheetId="12" hidden="1">{"'előző év december'!$A$2:$CP$214"}</definedName>
    <definedName name="________________cp1" localSheetId="18" hidden="1">{"'előző év december'!$A$2:$CP$214"}</definedName>
    <definedName name="________________cp1" localSheetId="19" hidden="1">{"'előző év december'!$A$2:$CP$214"}</definedName>
    <definedName name="________________cp1" hidden="1">{"'előző év december'!$A$2:$CP$214"}</definedName>
    <definedName name="________________cp10" localSheetId="31" hidden="1">{"'előző év december'!$A$2:$CP$214"}</definedName>
    <definedName name="________________cp10" localSheetId="32" hidden="1">{"'előző év december'!$A$2:$CP$214"}</definedName>
    <definedName name="________________cp10" localSheetId="11" hidden="1">{"'előző év december'!$A$2:$CP$214"}</definedName>
    <definedName name="________________cp10" localSheetId="12" hidden="1">{"'előző év december'!$A$2:$CP$214"}</definedName>
    <definedName name="________________cp10" localSheetId="18" hidden="1">{"'előző év december'!$A$2:$CP$214"}</definedName>
    <definedName name="________________cp10" localSheetId="19" hidden="1">{"'előző év december'!$A$2:$CP$214"}</definedName>
    <definedName name="________________cp10" hidden="1">{"'előző év december'!$A$2:$CP$214"}</definedName>
    <definedName name="________________cp11" localSheetId="31" hidden="1">{"'előző év december'!$A$2:$CP$214"}</definedName>
    <definedName name="________________cp11" localSheetId="32" hidden="1">{"'előző év december'!$A$2:$CP$214"}</definedName>
    <definedName name="________________cp11" localSheetId="11" hidden="1">{"'előző év december'!$A$2:$CP$214"}</definedName>
    <definedName name="________________cp11" localSheetId="12" hidden="1">{"'előző év december'!$A$2:$CP$214"}</definedName>
    <definedName name="________________cp11" localSheetId="18" hidden="1">{"'előző év december'!$A$2:$CP$214"}</definedName>
    <definedName name="________________cp11" localSheetId="19" hidden="1">{"'előző év december'!$A$2:$CP$214"}</definedName>
    <definedName name="________________cp11" hidden="1">{"'előző év december'!$A$2:$CP$214"}</definedName>
    <definedName name="________________cp2" localSheetId="31" hidden="1">{"'előző év december'!$A$2:$CP$214"}</definedName>
    <definedName name="________________cp2" localSheetId="32" hidden="1">{"'előző év december'!$A$2:$CP$214"}</definedName>
    <definedName name="________________cp2" localSheetId="11" hidden="1">{"'előző év december'!$A$2:$CP$214"}</definedName>
    <definedName name="________________cp2" localSheetId="12" hidden="1">{"'előző év december'!$A$2:$CP$214"}</definedName>
    <definedName name="________________cp2" localSheetId="18" hidden="1">{"'előző év december'!$A$2:$CP$214"}</definedName>
    <definedName name="________________cp2" localSheetId="19" hidden="1">{"'előző év december'!$A$2:$CP$214"}</definedName>
    <definedName name="________________cp2" hidden="1">{"'előző év december'!$A$2:$CP$214"}</definedName>
    <definedName name="________________cp3" localSheetId="31" hidden="1">{"'előző év december'!$A$2:$CP$214"}</definedName>
    <definedName name="________________cp3" localSheetId="32" hidden="1">{"'előző év december'!$A$2:$CP$214"}</definedName>
    <definedName name="________________cp3" localSheetId="11" hidden="1">{"'előző év december'!$A$2:$CP$214"}</definedName>
    <definedName name="________________cp3" localSheetId="12" hidden="1">{"'előző év december'!$A$2:$CP$214"}</definedName>
    <definedName name="________________cp3" localSheetId="18" hidden="1">{"'előző év december'!$A$2:$CP$214"}</definedName>
    <definedName name="________________cp3" localSheetId="19" hidden="1">{"'előző év december'!$A$2:$CP$214"}</definedName>
    <definedName name="________________cp3" hidden="1">{"'előző év december'!$A$2:$CP$214"}</definedName>
    <definedName name="________________cp4" localSheetId="31" hidden="1">{"'előző év december'!$A$2:$CP$214"}</definedName>
    <definedName name="________________cp4" localSheetId="32" hidden="1">{"'előző év december'!$A$2:$CP$214"}</definedName>
    <definedName name="________________cp4" localSheetId="11" hidden="1">{"'előző év december'!$A$2:$CP$214"}</definedName>
    <definedName name="________________cp4" localSheetId="12" hidden="1">{"'előző év december'!$A$2:$CP$214"}</definedName>
    <definedName name="________________cp4" localSheetId="18" hidden="1">{"'előző év december'!$A$2:$CP$214"}</definedName>
    <definedName name="________________cp4" localSheetId="19" hidden="1">{"'előző év december'!$A$2:$CP$214"}</definedName>
    <definedName name="________________cp4" hidden="1">{"'előző év december'!$A$2:$CP$214"}</definedName>
    <definedName name="________________cp5" localSheetId="31" hidden="1">{"'előző év december'!$A$2:$CP$214"}</definedName>
    <definedName name="________________cp5" localSheetId="32" hidden="1">{"'előző év december'!$A$2:$CP$214"}</definedName>
    <definedName name="________________cp5" localSheetId="11" hidden="1">{"'előző év december'!$A$2:$CP$214"}</definedName>
    <definedName name="________________cp5" localSheetId="12" hidden="1">{"'előző év december'!$A$2:$CP$214"}</definedName>
    <definedName name="________________cp5" localSheetId="18" hidden="1">{"'előző év december'!$A$2:$CP$214"}</definedName>
    <definedName name="________________cp5" localSheetId="19" hidden="1">{"'előző év december'!$A$2:$CP$214"}</definedName>
    <definedName name="________________cp5" hidden="1">{"'előző év december'!$A$2:$CP$214"}</definedName>
    <definedName name="________________cp6" localSheetId="31" hidden="1">{"'előző év december'!$A$2:$CP$214"}</definedName>
    <definedName name="________________cp6" localSheetId="32" hidden="1">{"'előző év december'!$A$2:$CP$214"}</definedName>
    <definedName name="________________cp6" localSheetId="11" hidden="1">{"'előző év december'!$A$2:$CP$214"}</definedName>
    <definedName name="________________cp6" localSheetId="12" hidden="1">{"'előző év december'!$A$2:$CP$214"}</definedName>
    <definedName name="________________cp6" localSheetId="18" hidden="1">{"'előző év december'!$A$2:$CP$214"}</definedName>
    <definedName name="________________cp6" localSheetId="19" hidden="1">{"'előző év december'!$A$2:$CP$214"}</definedName>
    <definedName name="________________cp6" hidden="1">{"'előző év december'!$A$2:$CP$214"}</definedName>
    <definedName name="________________cp7" localSheetId="31" hidden="1">{"'előző év december'!$A$2:$CP$214"}</definedName>
    <definedName name="________________cp7" localSheetId="32" hidden="1">{"'előző év december'!$A$2:$CP$214"}</definedName>
    <definedName name="________________cp7" localSheetId="11" hidden="1">{"'előző év december'!$A$2:$CP$214"}</definedName>
    <definedName name="________________cp7" localSheetId="12" hidden="1">{"'előző év december'!$A$2:$CP$214"}</definedName>
    <definedName name="________________cp7" localSheetId="18" hidden="1">{"'előző év december'!$A$2:$CP$214"}</definedName>
    <definedName name="________________cp7" localSheetId="19" hidden="1">{"'előző év december'!$A$2:$CP$214"}</definedName>
    <definedName name="________________cp7" hidden="1">{"'előző év december'!$A$2:$CP$214"}</definedName>
    <definedName name="________________cp8" localSheetId="31" hidden="1">{"'előző év december'!$A$2:$CP$214"}</definedName>
    <definedName name="________________cp8" localSheetId="32" hidden="1">{"'előző év december'!$A$2:$CP$214"}</definedName>
    <definedName name="________________cp8" localSheetId="11" hidden="1">{"'előző év december'!$A$2:$CP$214"}</definedName>
    <definedName name="________________cp8" localSheetId="12" hidden="1">{"'előző év december'!$A$2:$CP$214"}</definedName>
    <definedName name="________________cp8" localSheetId="18" hidden="1">{"'előző év december'!$A$2:$CP$214"}</definedName>
    <definedName name="________________cp8" localSheetId="19" hidden="1">{"'előző év december'!$A$2:$CP$214"}</definedName>
    <definedName name="________________cp8" hidden="1">{"'előző év december'!$A$2:$CP$214"}</definedName>
    <definedName name="________________cp9" localSheetId="31" hidden="1">{"'előző év december'!$A$2:$CP$214"}</definedName>
    <definedName name="________________cp9" localSheetId="32" hidden="1">{"'előző év december'!$A$2:$CP$214"}</definedName>
    <definedName name="________________cp9" localSheetId="11" hidden="1">{"'előző év december'!$A$2:$CP$214"}</definedName>
    <definedName name="________________cp9" localSheetId="12" hidden="1">{"'előző év december'!$A$2:$CP$214"}</definedName>
    <definedName name="________________cp9" localSheetId="18" hidden="1">{"'előző év december'!$A$2:$CP$214"}</definedName>
    <definedName name="________________cp9" localSheetId="19" hidden="1">{"'előző év december'!$A$2:$CP$214"}</definedName>
    <definedName name="________________cp9" hidden="1">{"'előző év december'!$A$2:$CP$214"}</definedName>
    <definedName name="________________cpr2" localSheetId="31" hidden="1">{"'előző év december'!$A$2:$CP$214"}</definedName>
    <definedName name="________________cpr2" localSheetId="32" hidden="1">{"'előző év december'!$A$2:$CP$214"}</definedName>
    <definedName name="________________cpr2" localSheetId="11" hidden="1">{"'előző év december'!$A$2:$CP$214"}</definedName>
    <definedName name="________________cpr2" localSheetId="12" hidden="1">{"'előző év december'!$A$2:$CP$214"}</definedName>
    <definedName name="________________cpr2" localSheetId="18" hidden="1">{"'előző év december'!$A$2:$CP$214"}</definedName>
    <definedName name="________________cpr2" localSheetId="19" hidden="1">{"'előző év december'!$A$2:$CP$214"}</definedName>
    <definedName name="________________cpr2" hidden="1">{"'előző év december'!$A$2:$CP$214"}</definedName>
    <definedName name="________________cpr3" localSheetId="31" hidden="1">{"'előző év december'!$A$2:$CP$214"}</definedName>
    <definedName name="________________cpr3" localSheetId="32" hidden="1">{"'előző év december'!$A$2:$CP$214"}</definedName>
    <definedName name="________________cpr3" localSheetId="11" hidden="1">{"'előző év december'!$A$2:$CP$214"}</definedName>
    <definedName name="________________cpr3" localSheetId="12" hidden="1">{"'előző év december'!$A$2:$CP$214"}</definedName>
    <definedName name="________________cpr3" localSheetId="18" hidden="1">{"'előző év december'!$A$2:$CP$214"}</definedName>
    <definedName name="________________cpr3" localSheetId="19" hidden="1">{"'előző év december'!$A$2:$CP$214"}</definedName>
    <definedName name="________________cpr3" hidden="1">{"'előző év december'!$A$2:$CP$214"}</definedName>
    <definedName name="________________cpr4" localSheetId="31" hidden="1">{"'előző év december'!$A$2:$CP$214"}</definedName>
    <definedName name="________________cpr4" localSheetId="32" hidden="1">{"'előző év december'!$A$2:$CP$214"}</definedName>
    <definedName name="________________cpr4" localSheetId="11" hidden="1">{"'előző év december'!$A$2:$CP$214"}</definedName>
    <definedName name="________________cpr4" localSheetId="12" hidden="1">{"'előző év december'!$A$2:$CP$214"}</definedName>
    <definedName name="________________cpr4" localSheetId="18" hidden="1">{"'előző év december'!$A$2:$CP$214"}</definedName>
    <definedName name="________________cpr4" localSheetId="19" hidden="1">{"'előző év december'!$A$2:$CP$214"}</definedName>
    <definedName name="________________cpr4" hidden="1">{"'előző év december'!$A$2:$CP$214"}</definedName>
    <definedName name="_______________cp1" localSheetId="31" hidden="1">{"'előző év december'!$A$2:$CP$214"}</definedName>
    <definedName name="_______________cp1" localSheetId="32" hidden="1">{"'előző év december'!$A$2:$CP$214"}</definedName>
    <definedName name="_______________cp1" localSheetId="11" hidden="1">{"'előző év december'!$A$2:$CP$214"}</definedName>
    <definedName name="_______________cp1" localSheetId="12" hidden="1">{"'előző év december'!$A$2:$CP$214"}</definedName>
    <definedName name="_______________cp1" localSheetId="18" hidden="1">{"'előző év december'!$A$2:$CP$214"}</definedName>
    <definedName name="_______________cp1" localSheetId="19" hidden="1">{"'előző év december'!$A$2:$CP$214"}</definedName>
    <definedName name="_______________cp1" hidden="1">{"'előző év december'!$A$2:$CP$214"}</definedName>
    <definedName name="_______________cp10" localSheetId="31" hidden="1">{"'előző év december'!$A$2:$CP$214"}</definedName>
    <definedName name="_______________cp10" localSheetId="32" hidden="1">{"'előző év december'!$A$2:$CP$214"}</definedName>
    <definedName name="_______________cp10" localSheetId="11" hidden="1">{"'előző év december'!$A$2:$CP$214"}</definedName>
    <definedName name="_______________cp10" localSheetId="12" hidden="1">{"'előző év december'!$A$2:$CP$214"}</definedName>
    <definedName name="_______________cp10" localSheetId="18" hidden="1">{"'előző év december'!$A$2:$CP$214"}</definedName>
    <definedName name="_______________cp10" localSheetId="19" hidden="1">{"'előző év december'!$A$2:$CP$214"}</definedName>
    <definedName name="_______________cp10" hidden="1">{"'előző év december'!$A$2:$CP$214"}</definedName>
    <definedName name="_______________cp11" localSheetId="31" hidden="1">{"'előző év december'!$A$2:$CP$214"}</definedName>
    <definedName name="_______________cp11" localSheetId="32" hidden="1">{"'előző év december'!$A$2:$CP$214"}</definedName>
    <definedName name="_______________cp11" localSheetId="11" hidden="1">{"'előző év december'!$A$2:$CP$214"}</definedName>
    <definedName name="_______________cp11" localSheetId="12" hidden="1">{"'előző év december'!$A$2:$CP$214"}</definedName>
    <definedName name="_______________cp11" localSheetId="18" hidden="1">{"'előző év december'!$A$2:$CP$214"}</definedName>
    <definedName name="_______________cp11" localSheetId="19" hidden="1">{"'előző év december'!$A$2:$CP$214"}</definedName>
    <definedName name="_______________cp11" hidden="1">{"'előző év december'!$A$2:$CP$214"}</definedName>
    <definedName name="_______________cp2" localSheetId="31" hidden="1">{"'előző év december'!$A$2:$CP$214"}</definedName>
    <definedName name="_______________cp2" localSheetId="32" hidden="1">{"'előző év december'!$A$2:$CP$214"}</definedName>
    <definedName name="_______________cp2" localSheetId="11" hidden="1">{"'előző év december'!$A$2:$CP$214"}</definedName>
    <definedName name="_______________cp2" localSheetId="12" hidden="1">{"'előző év december'!$A$2:$CP$214"}</definedName>
    <definedName name="_______________cp2" localSheetId="18" hidden="1">{"'előző év december'!$A$2:$CP$214"}</definedName>
    <definedName name="_______________cp2" localSheetId="19" hidden="1">{"'előző év december'!$A$2:$CP$214"}</definedName>
    <definedName name="_______________cp2" hidden="1">{"'előző év december'!$A$2:$CP$214"}</definedName>
    <definedName name="_______________cp3" localSheetId="31" hidden="1">{"'előző év december'!$A$2:$CP$214"}</definedName>
    <definedName name="_______________cp3" localSheetId="32" hidden="1">{"'előző év december'!$A$2:$CP$214"}</definedName>
    <definedName name="_______________cp3" localSheetId="11" hidden="1">{"'előző év december'!$A$2:$CP$214"}</definedName>
    <definedName name="_______________cp3" localSheetId="12" hidden="1">{"'előző év december'!$A$2:$CP$214"}</definedName>
    <definedName name="_______________cp3" localSheetId="18" hidden="1">{"'előző év december'!$A$2:$CP$214"}</definedName>
    <definedName name="_______________cp3" localSheetId="19" hidden="1">{"'előző év december'!$A$2:$CP$214"}</definedName>
    <definedName name="_______________cp3" hidden="1">{"'előző év december'!$A$2:$CP$214"}</definedName>
    <definedName name="_______________cp4" localSheetId="31" hidden="1">{"'előző év december'!$A$2:$CP$214"}</definedName>
    <definedName name="_______________cp4" localSheetId="32" hidden="1">{"'előző év december'!$A$2:$CP$214"}</definedName>
    <definedName name="_______________cp4" localSheetId="11" hidden="1">{"'előző év december'!$A$2:$CP$214"}</definedName>
    <definedName name="_______________cp4" localSheetId="12" hidden="1">{"'előző év december'!$A$2:$CP$214"}</definedName>
    <definedName name="_______________cp4" localSheetId="18" hidden="1">{"'előző év december'!$A$2:$CP$214"}</definedName>
    <definedName name="_______________cp4" localSheetId="19" hidden="1">{"'előző év december'!$A$2:$CP$214"}</definedName>
    <definedName name="_______________cp4" hidden="1">{"'előző év december'!$A$2:$CP$214"}</definedName>
    <definedName name="_______________cp5" localSheetId="31" hidden="1">{"'előző év december'!$A$2:$CP$214"}</definedName>
    <definedName name="_______________cp5" localSheetId="32" hidden="1">{"'előző év december'!$A$2:$CP$214"}</definedName>
    <definedName name="_______________cp5" localSheetId="11" hidden="1">{"'előző év december'!$A$2:$CP$214"}</definedName>
    <definedName name="_______________cp5" localSheetId="12" hidden="1">{"'előző év december'!$A$2:$CP$214"}</definedName>
    <definedName name="_______________cp5" localSheetId="18" hidden="1">{"'előző év december'!$A$2:$CP$214"}</definedName>
    <definedName name="_______________cp5" localSheetId="19" hidden="1">{"'előző év december'!$A$2:$CP$214"}</definedName>
    <definedName name="_______________cp5" hidden="1">{"'előző év december'!$A$2:$CP$214"}</definedName>
    <definedName name="_______________cp6" localSheetId="31" hidden="1">{"'előző év december'!$A$2:$CP$214"}</definedName>
    <definedName name="_______________cp6" localSheetId="32" hidden="1">{"'előző év december'!$A$2:$CP$214"}</definedName>
    <definedName name="_______________cp6" localSheetId="11" hidden="1">{"'előző év december'!$A$2:$CP$214"}</definedName>
    <definedName name="_______________cp6" localSheetId="12" hidden="1">{"'előző év december'!$A$2:$CP$214"}</definedName>
    <definedName name="_______________cp6" localSheetId="18" hidden="1">{"'előző év december'!$A$2:$CP$214"}</definedName>
    <definedName name="_______________cp6" localSheetId="19" hidden="1">{"'előző év december'!$A$2:$CP$214"}</definedName>
    <definedName name="_______________cp6" hidden="1">{"'előző év december'!$A$2:$CP$214"}</definedName>
    <definedName name="_______________cp7" localSheetId="31" hidden="1">{"'előző év december'!$A$2:$CP$214"}</definedName>
    <definedName name="_______________cp7" localSheetId="32" hidden="1">{"'előző év december'!$A$2:$CP$214"}</definedName>
    <definedName name="_______________cp7" localSheetId="11" hidden="1">{"'előző év december'!$A$2:$CP$214"}</definedName>
    <definedName name="_______________cp7" localSheetId="12" hidden="1">{"'előző év december'!$A$2:$CP$214"}</definedName>
    <definedName name="_______________cp7" localSheetId="18" hidden="1">{"'előző év december'!$A$2:$CP$214"}</definedName>
    <definedName name="_______________cp7" localSheetId="19" hidden="1">{"'előző év december'!$A$2:$CP$214"}</definedName>
    <definedName name="_______________cp7" hidden="1">{"'előző év december'!$A$2:$CP$214"}</definedName>
    <definedName name="_______________cp8" localSheetId="31" hidden="1">{"'előző év december'!$A$2:$CP$214"}</definedName>
    <definedName name="_______________cp8" localSheetId="32" hidden="1">{"'előző év december'!$A$2:$CP$214"}</definedName>
    <definedName name="_______________cp8" localSheetId="11" hidden="1">{"'előző év december'!$A$2:$CP$214"}</definedName>
    <definedName name="_______________cp8" localSheetId="12" hidden="1">{"'előző év december'!$A$2:$CP$214"}</definedName>
    <definedName name="_______________cp8" localSheetId="18" hidden="1">{"'előző év december'!$A$2:$CP$214"}</definedName>
    <definedName name="_______________cp8" localSheetId="19" hidden="1">{"'előző év december'!$A$2:$CP$214"}</definedName>
    <definedName name="_______________cp8" hidden="1">{"'előző év december'!$A$2:$CP$214"}</definedName>
    <definedName name="_______________cp9" localSheetId="31" hidden="1">{"'előző év december'!$A$2:$CP$214"}</definedName>
    <definedName name="_______________cp9" localSheetId="32" hidden="1">{"'előző év december'!$A$2:$CP$214"}</definedName>
    <definedName name="_______________cp9" localSheetId="11" hidden="1">{"'előző év december'!$A$2:$CP$214"}</definedName>
    <definedName name="_______________cp9" localSheetId="12" hidden="1">{"'előző év december'!$A$2:$CP$214"}</definedName>
    <definedName name="_______________cp9" localSheetId="18" hidden="1">{"'előző év december'!$A$2:$CP$214"}</definedName>
    <definedName name="_______________cp9" localSheetId="19" hidden="1">{"'előző év december'!$A$2:$CP$214"}</definedName>
    <definedName name="_______________cp9" hidden="1">{"'előző év december'!$A$2:$CP$214"}</definedName>
    <definedName name="_______________cpr2" localSheetId="31" hidden="1">{"'előző év december'!$A$2:$CP$214"}</definedName>
    <definedName name="_______________cpr2" localSheetId="32" hidden="1">{"'előző év december'!$A$2:$CP$214"}</definedName>
    <definedName name="_______________cpr2" localSheetId="11" hidden="1">{"'előző év december'!$A$2:$CP$214"}</definedName>
    <definedName name="_______________cpr2" localSheetId="12" hidden="1">{"'előző év december'!$A$2:$CP$214"}</definedName>
    <definedName name="_______________cpr2" localSheetId="18" hidden="1">{"'előző év december'!$A$2:$CP$214"}</definedName>
    <definedName name="_______________cpr2" localSheetId="19" hidden="1">{"'előző év december'!$A$2:$CP$214"}</definedName>
    <definedName name="_______________cpr2" hidden="1">{"'előző év december'!$A$2:$CP$214"}</definedName>
    <definedName name="_______________cpr3" localSheetId="31" hidden="1">{"'előző év december'!$A$2:$CP$214"}</definedName>
    <definedName name="_______________cpr3" localSheetId="32" hidden="1">{"'előző év december'!$A$2:$CP$214"}</definedName>
    <definedName name="_______________cpr3" localSheetId="11" hidden="1">{"'előző év december'!$A$2:$CP$214"}</definedName>
    <definedName name="_______________cpr3" localSheetId="12" hidden="1">{"'előző év december'!$A$2:$CP$214"}</definedName>
    <definedName name="_______________cpr3" localSheetId="18" hidden="1">{"'előző év december'!$A$2:$CP$214"}</definedName>
    <definedName name="_______________cpr3" localSheetId="19" hidden="1">{"'előző év december'!$A$2:$CP$214"}</definedName>
    <definedName name="_______________cpr3" hidden="1">{"'előző év december'!$A$2:$CP$214"}</definedName>
    <definedName name="_______________cpr4" localSheetId="31" hidden="1">{"'előző év december'!$A$2:$CP$214"}</definedName>
    <definedName name="_______________cpr4" localSheetId="32" hidden="1">{"'előző év december'!$A$2:$CP$214"}</definedName>
    <definedName name="_______________cpr4" localSheetId="11" hidden="1">{"'előző év december'!$A$2:$CP$214"}</definedName>
    <definedName name="_______________cpr4" localSheetId="12" hidden="1">{"'előző év december'!$A$2:$CP$214"}</definedName>
    <definedName name="_______________cpr4" localSheetId="18" hidden="1">{"'előző év december'!$A$2:$CP$214"}</definedName>
    <definedName name="_______________cpr4" localSheetId="19" hidden="1">{"'előző év december'!$A$2:$CP$214"}</definedName>
    <definedName name="_______________cpr4" hidden="1">{"'előző év december'!$A$2:$CP$214"}</definedName>
    <definedName name="______________cp1" localSheetId="31" hidden="1">{"'előző év december'!$A$2:$CP$214"}</definedName>
    <definedName name="______________cp1" localSheetId="32" hidden="1">{"'előző év december'!$A$2:$CP$214"}</definedName>
    <definedName name="______________cp1" localSheetId="11" hidden="1">{"'előző év december'!$A$2:$CP$214"}</definedName>
    <definedName name="______________cp1" localSheetId="12" hidden="1">{"'előző év december'!$A$2:$CP$214"}</definedName>
    <definedName name="______________cp1" localSheetId="18" hidden="1">{"'előző év december'!$A$2:$CP$214"}</definedName>
    <definedName name="______________cp1" localSheetId="19" hidden="1">{"'előző év december'!$A$2:$CP$214"}</definedName>
    <definedName name="______________cp1" hidden="1">{"'előző év december'!$A$2:$CP$214"}</definedName>
    <definedName name="______________cp10" localSheetId="31" hidden="1">{"'előző év december'!$A$2:$CP$214"}</definedName>
    <definedName name="______________cp10" localSheetId="32" hidden="1">{"'előző év december'!$A$2:$CP$214"}</definedName>
    <definedName name="______________cp10" localSheetId="11" hidden="1">{"'előző év december'!$A$2:$CP$214"}</definedName>
    <definedName name="______________cp10" localSheetId="12" hidden="1">{"'előző év december'!$A$2:$CP$214"}</definedName>
    <definedName name="______________cp10" localSheetId="18" hidden="1">{"'előző év december'!$A$2:$CP$214"}</definedName>
    <definedName name="______________cp10" localSheetId="19" hidden="1">{"'előző év december'!$A$2:$CP$214"}</definedName>
    <definedName name="______________cp10" hidden="1">{"'előző év december'!$A$2:$CP$214"}</definedName>
    <definedName name="______________cp11" localSheetId="31" hidden="1">{"'előző év december'!$A$2:$CP$214"}</definedName>
    <definedName name="______________cp11" localSheetId="32" hidden="1">{"'előző év december'!$A$2:$CP$214"}</definedName>
    <definedName name="______________cp11" localSheetId="11" hidden="1">{"'előző év december'!$A$2:$CP$214"}</definedName>
    <definedName name="______________cp11" localSheetId="12" hidden="1">{"'előző év december'!$A$2:$CP$214"}</definedName>
    <definedName name="______________cp11" localSheetId="18" hidden="1">{"'előző év december'!$A$2:$CP$214"}</definedName>
    <definedName name="______________cp11" localSheetId="19" hidden="1">{"'előző év december'!$A$2:$CP$214"}</definedName>
    <definedName name="______________cp11" hidden="1">{"'előző év december'!$A$2:$CP$214"}</definedName>
    <definedName name="______________cp2" localSheetId="31" hidden="1">{"'előző év december'!$A$2:$CP$214"}</definedName>
    <definedName name="______________cp2" localSheetId="32" hidden="1">{"'előző év december'!$A$2:$CP$214"}</definedName>
    <definedName name="______________cp2" localSheetId="11" hidden="1">{"'előző év december'!$A$2:$CP$214"}</definedName>
    <definedName name="______________cp2" localSheetId="12" hidden="1">{"'előző év december'!$A$2:$CP$214"}</definedName>
    <definedName name="______________cp2" localSheetId="18" hidden="1">{"'előző év december'!$A$2:$CP$214"}</definedName>
    <definedName name="______________cp2" localSheetId="19" hidden="1">{"'előző év december'!$A$2:$CP$214"}</definedName>
    <definedName name="______________cp2" hidden="1">{"'előző év december'!$A$2:$CP$214"}</definedName>
    <definedName name="______________cp3" localSheetId="31" hidden="1">{"'előző év december'!$A$2:$CP$214"}</definedName>
    <definedName name="______________cp3" localSheetId="32" hidden="1">{"'előző év december'!$A$2:$CP$214"}</definedName>
    <definedName name="______________cp3" localSheetId="11" hidden="1">{"'előző év december'!$A$2:$CP$214"}</definedName>
    <definedName name="______________cp3" localSheetId="12" hidden="1">{"'előző év december'!$A$2:$CP$214"}</definedName>
    <definedName name="______________cp3" localSheetId="18" hidden="1">{"'előző év december'!$A$2:$CP$214"}</definedName>
    <definedName name="______________cp3" localSheetId="19" hidden="1">{"'előző év december'!$A$2:$CP$214"}</definedName>
    <definedName name="______________cp3" hidden="1">{"'előző év december'!$A$2:$CP$214"}</definedName>
    <definedName name="______________cp4" localSheetId="31" hidden="1">{"'előző év december'!$A$2:$CP$214"}</definedName>
    <definedName name="______________cp4" localSheetId="32" hidden="1">{"'előző év december'!$A$2:$CP$214"}</definedName>
    <definedName name="______________cp4" localSheetId="11" hidden="1">{"'előző év december'!$A$2:$CP$214"}</definedName>
    <definedName name="______________cp4" localSheetId="12" hidden="1">{"'előző év december'!$A$2:$CP$214"}</definedName>
    <definedName name="______________cp4" localSheetId="18" hidden="1">{"'előző év december'!$A$2:$CP$214"}</definedName>
    <definedName name="______________cp4" localSheetId="19" hidden="1">{"'előző év december'!$A$2:$CP$214"}</definedName>
    <definedName name="______________cp4" hidden="1">{"'előző év december'!$A$2:$CP$214"}</definedName>
    <definedName name="______________cp5" localSheetId="31" hidden="1">{"'előző év december'!$A$2:$CP$214"}</definedName>
    <definedName name="______________cp5" localSheetId="32" hidden="1">{"'előző év december'!$A$2:$CP$214"}</definedName>
    <definedName name="______________cp5" localSheetId="11" hidden="1">{"'előző év december'!$A$2:$CP$214"}</definedName>
    <definedName name="______________cp5" localSheetId="12" hidden="1">{"'előző év december'!$A$2:$CP$214"}</definedName>
    <definedName name="______________cp5" localSheetId="18" hidden="1">{"'előző év december'!$A$2:$CP$214"}</definedName>
    <definedName name="______________cp5" localSheetId="19" hidden="1">{"'előző év december'!$A$2:$CP$214"}</definedName>
    <definedName name="______________cp5" hidden="1">{"'előző év december'!$A$2:$CP$214"}</definedName>
    <definedName name="______________cp6" localSheetId="31" hidden="1">{"'előző év december'!$A$2:$CP$214"}</definedName>
    <definedName name="______________cp6" localSheetId="32" hidden="1">{"'előző év december'!$A$2:$CP$214"}</definedName>
    <definedName name="______________cp6" localSheetId="11" hidden="1">{"'előző év december'!$A$2:$CP$214"}</definedName>
    <definedName name="______________cp6" localSheetId="12" hidden="1">{"'előző év december'!$A$2:$CP$214"}</definedName>
    <definedName name="______________cp6" localSheetId="18" hidden="1">{"'előző év december'!$A$2:$CP$214"}</definedName>
    <definedName name="______________cp6" localSheetId="19" hidden="1">{"'előző év december'!$A$2:$CP$214"}</definedName>
    <definedName name="______________cp6" hidden="1">{"'előző év december'!$A$2:$CP$214"}</definedName>
    <definedName name="______________cp7" localSheetId="31" hidden="1">{"'előző év december'!$A$2:$CP$214"}</definedName>
    <definedName name="______________cp7" localSheetId="32" hidden="1">{"'előző év december'!$A$2:$CP$214"}</definedName>
    <definedName name="______________cp7" localSheetId="11" hidden="1">{"'előző év december'!$A$2:$CP$214"}</definedName>
    <definedName name="______________cp7" localSheetId="12" hidden="1">{"'előző év december'!$A$2:$CP$214"}</definedName>
    <definedName name="______________cp7" localSheetId="18" hidden="1">{"'előző év december'!$A$2:$CP$214"}</definedName>
    <definedName name="______________cp7" localSheetId="19" hidden="1">{"'előző év december'!$A$2:$CP$214"}</definedName>
    <definedName name="______________cp7" hidden="1">{"'előző év december'!$A$2:$CP$214"}</definedName>
    <definedName name="______________cp8" localSheetId="31" hidden="1">{"'előző év december'!$A$2:$CP$214"}</definedName>
    <definedName name="______________cp8" localSheetId="32" hidden="1">{"'előző év december'!$A$2:$CP$214"}</definedName>
    <definedName name="______________cp8" localSheetId="11" hidden="1">{"'előző év december'!$A$2:$CP$214"}</definedName>
    <definedName name="______________cp8" localSheetId="12" hidden="1">{"'előző év december'!$A$2:$CP$214"}</definedName>
    <definedName name="______________cp8" localSheetId="18" hidden="1">{"'előző év december'!$A$2:$CP$214"}</definedName>
    <definedName name="______________cp8" localSheetId="19" hidden="1">{"'előző év december'!$A$2:$CP$214"}</definedName>
    <definedName name="______________cp8" hidden="1">{"'előző év december'!$A$2:$CP$214"}</definedName>
    <definedName name="______________cp9" localSheetId="31" hidden="1">{"'előző év december'!$A$2:$CP$214"}</definedName>
    <definedName name="______________cp9" localSheetId="32" hidden="1">{"'előző év december'!$A$2:$CP$214"}</definedName>
    <definedName name="______________cp9" localSheetId="11" hidden="1">{"'előző év december'!$A$2:$CP$214"}</definedName>
    <definedName name="______________cp9" localSheetId="12" hidden="1">{"'előző év december'!$A$2:$CP$214"}</definedName>
    <definedName name="______________cp9" localSheetId="18" hidden="1">{"'előző év december'!$A$2:$CP$214"}</definedName>
    <definedName name="______________cp9" localSheetId="19" hidden="1">{"'előző év december'!$A$2:$CP$214"}</definedName>
    <definedName name="______________cp9" hidden="1">{"'előző év december'!$A$2:$CP$214"}</definedName>
    <definedName name="______________cpr2" localSheetId="31" hidden="1">{"'előző év december'!$A$2:$CP$214"}</definedName>
    <definedName name="______________cpr2" localSheetId="32" hidden="1">{"'előző év december'!$A$2:$CP$214"}</definedName>
    <definedName name="______________cpr2" localSheetId="11" hidden="1">{"'előző év december'!$A$2:$CP$214"}</definedName>
    <definedName name="______________cpr2" localSheetId="12" hidden="1">{"'előző év december'!$A$2:$CP$214"}</definedName>
    <definedName name="______________cpr2" localSheetId="18" hidden="1">{"'előző év december'!$A$2:$CP$214"}</definedName>
    <definedName name="______________cpr2" localSheetId="19" hidden="1">{"'előző év december'!$A$2:$CP$214"}</definedName>
    <definedName name="______________cpr2" hidden="1">{"'előző év december'!$A$2:$CP$214"}</definedName>
    <definedName name="______________cpr3" localSheetId="31" hidden="1">{"'előző év december'!$A$2:$CP$214"}</definedName>
    <definedName name="______________cpr3" localSheetId="32" hidden="1">{"'előző év december'!$A$2:$CP$214"}</definedName>
    <definedName name="______________cpr3" localSheetId="11" hidden="1">{"'előző év december'!$A$2:$CP$214"}</definedName>
    <definedName name="______________cpr3" localSheetId="12" hidden="1">{"'előző év december'!$A$2:$CP$214"}</definedName>
    <definedName name="______________cpr3" localSheetId="18" hidden="1">{"'előző év december'!$A$2:$CP$214"}</definedName>
    <definedName name="______________cpr3" localSheetId="19" hidden="1">{"'előző év december'!$A$2:$CP$214"}</definedName>
    <definedName name="______________cpr3" hidden="1">{"'előző év december'!$A$2:$CP$214"}</definedName>
    <definedName name="______________cpr4" localSheetId="31" hidden="1">{"'előző év december'!$A$2:$CP$214"}</definedName>
    <definedName name="______________cpr4" localSheetId="32" hidden="1">{"'előző év december'!$A$2:$CP$214"}</definedName>
    <definedName name="______________cpr4" localSheetId="11" hidden="1">{"'előző év december'!$A$2:$CP$214"}</definedName>
    <definedName name="______________cpr4" localSheetId="12" hidden="1">{"'előző év december'!$A$2:$CP$214"}</definedName>
    <definedName name="______________cpr4" localSheetId="18" hidden="1">{"'előző év december'!$A$2:$CP$214"}</definedName>
    <definedName name="______________cpr4" localSheetId="19" hidden="1">{"'előző év december'!$A$2:$CP$214"}</definedName>
    <definedName name="______________cpr4" hidden="1">{"'előző év december'!$A$2:$CP$214"}</definedName>
    <definedName name="_____________aaa" localSheetId="31" hidden="1">{"'előző év december'!$A$2:$CP$214"}</definedName>
    <definedName name="_____________aaa" localSheetId="32" hidden="1">{"'előző év december'!$A$2:$CP$214"}</definedName>
    <definedName name="_____________aaa" localSheetId="11" hidden="1">{"'előző év december'!$A$2:$CP$214"}</definedName>
    <definedName name="_____________aaa" localSheetId="12" hidden="1">{"'előző év december'!$A$2:$CP$214"}</definedName>
    <definedName name="_____________aaa" localSheetId="18" hidden="1">{"'előző év december'!$A$2:$CP$214"}</definedName>
    <definedName name="_____________aaa" localSheetId="19" hidden="1">{"'előző év december'!$A$2:$CP$214"}</definedName>
    <definedName name="_____________aaa" hidden="1">{"'előző év december'!$A$2:$CP$214"}</definedName>
    <definedName name="_____________cp1" localSheetId="31" hidden="1">{"'előző év december'!$A$2:$CP$214"}</definedName>
    <definedName name="_____________cp1" localSheetId="32" hidden="1">{"'előző év december'!$A$2:$CP$214"}</definedName>
    <definedName name="_____________cp1" localSheetId="11" hidden="1">{"'előző év december'!$A$2:$CP$214"}</definedName>
    <definedName name="_____________cp1" localSheetId="12" hidden="1">{"'előző év december'!$A$2:$CP$214"}</definedName>
    <definedName name="_____________cp1" localSheetId="18" hidden="1">{"'előző év december'!$A$2:$CP$214"}</definedName>
    <definedName name="_____________cp1" localSheetId="19" hidden="1">{"'előző év december'!$A$2:$CP$214"}</definedName>
    <definedName name="_____________cp1" hidden="1">{"'előző év december'!$A$2:$CP$214"}</definedName>
    <definedName name="_____________cp10" localSheetId="31" hidden="1">{"'előző év december'!$A$2:$CP$214"}</definedName>
    <definedName name="_____________cp10" localSheetId="32" hidden="1">{"'előző év december'!$A$2:$CP$214"}</definedName>
    <definedName name="_____________cp10" localSheetId="11" hidden="1">{"'előző év december'!$A$2:$CP$214"}</definedName>
    <definedName name="_____________cp10" localSheetId="12" hidden="1">{"'előző év december'!$A$2:$CP$214"}</definedName>
    <definedName name="_____________cp10" localSheetId="18" hidden="1">{"'előző év december'!$A$2:$CP$214"}</definedName>
    <definedName name="_____________cp10" localSheetId="19" hidden="1">{"'előző év december'!$A$2:$CP$214"}</definedName>
    <definedName name="_____________cp10" hidden="1">{"'előző év december'!$A$2:$CP$214"}</definedName>
    <definedName name="_____________cp11" localSheetId="31" hidden="1">{"'előző év december'!$A$2:$CP$214"}</definedName>
    <definedName name="_____________cp11" localSheetId="32" hidden="1">{"'előző év december'!$A$2:$CP$214"}</definedName>
    <definedName name="_____________cp11" localSheetId="11" hidden="1">{"'előző év december'!$A$2:$CP$214"}</definedName>
    <definedName name="_____________cp11" localSheetId="12" hidden="1">{"'előző év december'!$A$2:$CP$214"}</definedName>
    <definedName name="_____________cp11" localSheetId="18" hidden="1">{"'előző év december'!$A$2:$CP$214"}</definedName>
    <definedName name="_____________cp11" localSheetId="19" hidden="1">{"'előző év december'!$A$2:$CP$214"}</definedName>
    <definedName name="_____________cp11" hidden="1">{"'előző év december'!$A$2:$CP$214"}</definedName>
    <definedName name="_____________cp2" localSheetId="31" hidden="1">{"'előző év december'!$A$2:$CP$214"}</definedName>
    <definedName name="_____________cp2" localSheetId="32" hidden="1">{"'előző év december'!$A$2:$CP$214"}</definedName>
    <definedName name="_____________cp2" localSheetId="11" hidden="1">{"'előző év december'!$A$2:$CP$214"}</definedName>
    <definedName name="_____________cp2" localSheetId="12" hidden="1">{"'előző év december'!$A$2:$CP$214"}</definedName>
    <definedName name="_____________cp2" localSheetId="18" hidden="1">{"'előző év december'!$A$2:$CP$214"}</definedName>
    <definedName name="_____________cp2" localSheetId="19" hidden="1">{"'előző év december'!$A$2:$CP$214"}</definedName>
    <definedName name="_____________cp2" hidden="1">{"'előző év december'!$A$2:$CP$214"}</definedName>
    <definedName name="_____________cp3" localSheetId="31" hidden="1">{"'előző év december'!$A$2:$CP$214"}</definedName>
    <definedName name="_____________cp3" localSheetId="32" hidden="1">{"'előző év december'!$A$2:$CP$214"}</definedName>
    <definedName name="_____________cp3" localSheetId="11" hidden="1">{"'előző év december'!$A$2:$CP$214"}</definedName>
    <definedName name="_____________cp3" localSheetId="12" hidden="1">{"'előző év december'!$A$2:$CP$214"}</definedName>
    <definedName name="_____________cp3" localSheetId="18" hidden="1">{"'előző év december'!$A$2:$CP$214"}</definedName>
    <definedName name="_____________cp3" localSheetId="19" hidden="1">{"'előző év december'!$A$2:$CP$214"}</definedName>
    <definedName name="_____________cp3" hidden="1">{"'előző év december'!$A$2:$CP$214"}</definedName>
    <definedName name="_____________cp4" localSheetId="31" hidden="1">{"'előző év december'!$A$2:$CP$214"}</definedName>
    <definedName name="_____________cp4" localSheetId="32" hidden="1">{"'előző év december'!$A$2:$CP$214"}</definedName>
    <definedName name="_____________cp4" localSheetId="11" hidden="1">{"'előző év december'!$A$2:$CP$214"}</definedName>
    <definedName name="_____________cp4" localSheetId="12" hidden="1">{"'előző év december'!$A$2:$CP$214"}</definedName>
    <definedName name="_____________cp4" localSheetId="18" hidden="1">{"'előző év december'!$A$2:$CP$214"}</definedName>
    <definedName name="_____________cp4" localSheetId="19" hidden="1">{"'előző év december'!$A$2:$CP$214"}</definedName>
    <definedName name="_____________cp4" hidden="1">{"'előző év december'!$A$2:$CP$214"}</definedName>
    <definedName name="_____________cp5" localSheetId="31" hidden="1">{"'előző év december'!$A$2:$CP$214"}</definedName>
    <definedName name="_____________cp5" localSheetId="32" hidden="1">{"'előző év december'!$A$2:$CP$214"}</definedName>
    <definedName name="_____________cp5" localSheetId="11" hidden="1">{"'előző év december'!$A$2:$CP$214"}</definedName>
    <definedName name="_____________cp5" localSheetId="12" hidden="1">{"'előző év december'!$A$2:$CP$214"}</definedName>
    <definedName name="_____________cp5" localSheetId="18" hidden="1">{"'előző év december'!$A$2:$CP$214"}</definedName>
    <definedName name="_____________cp5" localSheetId="19" hidden="1">{"'előző év december'!$A$2:$CP$214"}</definedName>
    <definedName name="_____________cp5" hidden="1">{"'előző év december'!$A$2:$CP$214"}</definedName>
    <definedName name="_____________cp6" localSheetId="31" hidden="1">{"'előző év december'!$A$2:$CP$214"}</definedName>
    <definedName name="_____________cp6" localSheetId="32" hidden="1">{"'előző év december'!$A$2:$CP$214"}</definedName>
    <definedName name="_____________cp6" localSheetId="11" hidden="1">{"'előző év december'!$A$2:$CP$214"}</definedName>
    <definedName name="_____________cp6" localSheetId="12" hidden="1">{"'előző év december'!$A$2:$CP$214"}</definedName>
    <definedName name="_____________cp6" localSheetId="18" hidden="1">{"'előző év december'!$A$2:$CP$214"}</definedName>
    <definedName name="_____________cp6" localSheetId="19" hidden="1">{"'előző év december'!$A$2:$CP$214"}</definedName>
    <definedName name="_____________cp6" hidden="1">{"'előző év december'!$A$2:$CP$214"}</definedName>
    <definedName name="_____________cp7" localSheetId="31" hidden="1">{"'előző év december'!$A$2:$CP$214"}</definedName>
    <definedName name="_____________cp7" localSheetId="32" hidden="1">{"'előző év december'!$A$2:$CP$214"}</definedName>
    <definedName name="_____________cp7" localSheetId="11" hidden="1">{"'előző év december'!$A$2:$CP$214"}</definedName>
    <definedName name="_____________cp7" localSheetId="12" hidden="1">{"'előző év december'!$A$2:$CP$214"}</definedName>
    <definedName name="_____________cp7" localSheetId="18" hidden="1">{"'előző év december'!$A$2:$CP$214"}</definedName>
    <definedName name="_____________cp7" localSheetId="19" hidden="1">{"'előző év december'!$A$2:$CP$214"}</definedName>
    <definedName name="_____________cp7" hidden="1">{"'előző év december'!$A$2:$CP$214"}</definedName>
    <definedName name="_____________cp8" localSheetId="31" hidden="1">{"'előző év december'!$A$2:$CP$214"}</definedName>
    <definedName name="_____________cp8" localSheetId="32" hidden="1">{"'előző év december'!$A$2:$CP$214"}</definedName>
    <definedName name="_____________cp8" localSheetId="11" hidden="1">{"'előző év december'!$A$2:$CP$214"}</definedName>
    <definedName name="_____________cp8" localSheetId="12" hidden="1">{"'előző év december'!$A$2:$CP$214"}</definedName>
    <definedName name="_____________cp8" localSheetId="18" hidden="1">{"'előző év december'!$A$2:$CP$214"}</definedName>
    <definedName name="_____________cp8" localSheetId="19" hidden="1">{"'előző év december'!$A$2:$CP$214"}</definedName>
    <definedName name="_____________cp8" hidden="1">{"'előző év december'!$A$2:$CP$214"}</definedName>
    <definedName name="_____________cp9" localSheetId="31" hidden="1">{"'előző év december'!$A$2:$CP$214"}</definedName>
    <definedName name="_____________cp9" localSheetId="32" hidden="1">{"'előző év december'!$A$2:$CP$214"}</definedName>
    <definedName name="_____________cp9" localSheetId="11" hidden="1">{"'előző év december'!$A$2:$CP$214"}</definedName>
    <definedName name="_____________cp9" localSheetId="12" hidden="1">{"'előző év december'!$A$2:$CP$214"}</definedName>
    <definedName name="_____________cp9" localSheetId="18" hidden="1">{"'előző év december'!$A$2:$CP$214"}</definedName>
    <definedName name="_____________cp9" localSheetId="19" hidden="1">{"'előző év december'!$A$2:$CP$214"}</definedName>
    <definedName name="_____________cp9" hidden="1">{"'előző év december'!$A$2:$CP$214"}</definedName>
    <definedName name="_____________cpr2" localSheetId="31" hidden="1">{"'előző év december'!$A$2:$CP$214"}</definedName>
    <definedName name="_____________cpr2" localSheetId="32" hidden="1">{"'előző év december'!$A$2:$CP$214"}</definedName>
    <definedName name="_____________cpr2" localSheetId="11" hidden="1">{"'előző év december'!$A$2:$CP$214"}</definedName>
    <definedName name="_____________cpr2" localSheetId="12" hidden="1">{"'előző év december'!$A$2:$CP$214"}</definedName>
    <definedName name="_____________cpr2" localSheetId="18" hidden="1">{"'előző év december'!$A$2:$CP$214"}</definedName>
    <definedName name="_____________cpr2" localSheetId="19" hidden="1">{"'előző év december'!$A$2:$CP$214"}</definedName>
    <definedName name="_____________cpr2" hidden="1">{"'előző év december'!$A$2:$CP$214"}</definedName>
    <definedName name="_____________cpr3" localSheetId="31" hidden="1">{"'előző év december'!$A$2:$CP$214"}</definedName>
    <definedName name="_____________cpr3" localSheetId="32" hidden="1">{"'előző év december'!$A$2:$CP$214"}</definedName>
    <definedName name="_____________cpr3" localSheetId="11" hidden="1">{"'előző év december'!$A$2:$CP$214"}</definedName>
    <definedName name="_____________cpr3" localSheetId="12" hidden="1">{"'előző év december'!$A$2:$CP$214"}</definedName>
    <definedName name="_____________cpr3" localSheetId="18" hidden="1">{"'előző év december'!$A$2:$CP$214"}</definedName>
    <definedName name="_____________cpr3" localSheetId="19" hidden="1">{"'előző év december'!$A$2:$CP$214"}</definedName>
    <definedName name="_____________cpr3" hidden="1">{"'előző év december'!$A$2:$CP$214"}</definedName>
    <definedName name="_____________cpr4" localSheetId="31" hidden="1">{"'előző év december'!$A$2:$CP$214"}</definedName>
    <definedName name="_____________cpr4" localSheetId="32" hidden="1">{"'előző év december'!$A$2:$CP$214"}</definedName>
    <definedName name="_____________cpr4" localSheetId="11" hidden="1">{"'előző év december'!$A$2:$CP$214"}</definedName>
    <definedName name="_____________cpr4" localSheetId="12" hidden="1">{"'előző év december'!$A$2:$CP$214"}</definedName>
    <definedName name="_____________cpr4" localSheetId="18" hidden="1">{"'előző év december'!$A$2:$CP$214"}</definedName>
    <definedName name="_____________cpr4" localSheetId="19" hidden="1">{"'előző év december'!$A$2:$CP$214"}</definedName>
    <definedName name="_____________cpr4" hidden="1">{"'előző év december'!$A$2:$CP$214"}</definedName>
    <definedName name="____________cp1" localSheetId="31" hidden="1">{"'előző év december'!$A$2:$CP$214"}</definedName>
    <definedName name="____________cp1" localSheetId="32" hidden="1">{"'előző év december'!$A$2:$CP$214"}</definedName>
    <definedName name="____________cp1" localSheetId="11" hidden="1">{"'előző év december'!$A$2:$CP$214"}</definedName>
    <definedName name="____________cp1" localSheetId="12" hidden="1">{"'előző év december'!$A$2:$CP$214"}</definedName>
    <definedName name="____________cp1" localSheetId="18" hidden="1">{"'előző év december'!$A$2:$CP$214"}</definedName>
    <definedName name="____________cp1" localSheetId="19" hidden="1">{"'előző év december'!$A$2:$CP$214"}</definedName>
    <definedName name="____________cp1" hidden="1">{"'előző év december'!$A$2:$CP$214"}</definedName>
    <definedName name="____________cp10" localSheetId="31" hidden="1">{"'előző év december'!$A$2:$CP$214"}</definedName>
    <definedName name="____________cp10" localSheetId="32" hidden="1">{"'előző év december'!$A$2:$CP$214"}</definedName>
    <definedName name="____________cp10" localSheetId="11" hidden="1">{"'előző év december'!$A$2:$CP$214"}</definedName>
    <definedName name="____________cp10" localSheetId="12" hidden="1">{"'előző év december'!$A$2:$CP$214"}</definedName>
    <definedName name="____________cp10" localSheetId="18" hidden="1">{"'előző év december'!$A$2:$CP$214"}</definedName>
    <definedName name="____________cp10" localSheetId="19" hidden="1">{"'előző év december'!$A$2:$CP$214"}</definedName>
    <definedName name="____________cp10" hidden="1">{"'előző év december'!$A$2:$CP$214"}</definedName>
    <definedName name="____________cp11" localSheetId="31" hidden="1">{"'előző év december'!$A$2:$CP$214"}</definedName>
    <definedName name="____________cp11" localSheetId="32" hidden="1">{"'előző év december'!$A$2:$CP$214"}</definedName>
    <definedName name="____________cp11" localSheetId="11" hidden="1">{"'előző év december'!$A$2:$CP$214"}</definedName>
    <definedName name="____________cp11" localSheetId="12" hidden="1">{"'előző év december'!$A$2:$CP$214"}</definedName>
    <definedName name="____________cp11" localSheetId="18" hidden="1">{"'előző év december'!$A$2:$CP$214"}</definedName>
    <definedName name="____________cp11" localSheetId="19" hidden="1">{"'előző év december'!$A$2:$CP$214"}</definedName>
    <definedName name="____________cp11" hidden="1">{"'előző év december'!$A$2:$CP$214"}</definedName>
    <definedName name="____________cp2" localSheetId="31" hidden="1">{"'előző év december'!$A$2:$CP$214"}</definedName>
    <definedName name="____________cp2" localSheetId="32" hidden="1">{"'előző év december'!$A$2:$CP$214"}</definedName>
    <definedName name="____________cp2" localSheetId="11" hidden="1">{"'előző év december'!$A$2:$CP$214"}</definedName>
    <definedName name="____________cp2" localSheetId="12" hidden="1">{"'előző év december'!$A$2:$CP$214"}</definedName>
    <definedName name="____________cp2" localSheetId="18" hidden="1">{"'előző év december'!$A$2:$CP$214"}</definedName>
    <definedName name="____________cp2" localSheetId="19" hidden="1">{"'előző év december'!$A$2:$CP$214"}</definedName>
    <definedName name="____________cp2" hidden="1">{"'előző év december'!$A$2:$CP$214"}</definedName>
    <definedName name="____________cp3" localSheetId="31" hidden="1">{"'előző év december'!$A$2:$CP$214"}</definedName>
    <definedName name="____________cp3" localSheetId="32" hidden="1">{"'előző év december'!$A$2:$CP$214"}</definedName>
    <definedName name="____________cp3" localSheetId="11" hidden="1">{"'előző év december'!$A$2:$CP$214"}</definedName>
    <definedName name="____________cp3" localSheetId="12" hidden="1">{"'előző év december'!$A$2:$CP$214"}</definedName>
    <definedName name="____________cp3" localSheetId="18" hidden="1">{"'előző év december'!$A$2:$CP$214"}</definedName>
    <definedName name="____________cp3" localSheetId="19" hidden="1">{"'előző év december'!$A$2:$CP$214"}</definedName>
    <definedName name="____________cp3" hidden="1">{"'előző év december'!$A$2:$CP$214"}</definedName>
    <definedName name="____________cp4" localSheetId="31" hidden="1">{"'előző év december'!$A$2:$CP$214"}</definedName>
    <definedName name="____________cp4" localSheetId="32" hidden="1">{"'előző év december'!$A$2:$CP$214"}</definedName>
    <definedName name="____________cp4" localSheetId="11" hidden="1">{"'előző év december'!$A$2:$CP$214"}</definedName>
    <definedName name="____________cp4" localSheetId="12" hidden="1">{"'előző év december'!$A$2:$CP$214"}</definedName>
    <definedName name="____________cp4" localSheetId="18" hidden="1">{"'előző év december'!$A$2:$CP$214"}</definedName>
    <definedName name="____________cp4" localSheetId="19" hidden="1">{"'előző év december'!$A$2:$CP$214"}</definedName>
    <definedName name="____________cp4" hidden="1">{"'előző év december'!$A$2:$CP$214"}</definedName>
    <definedName name="____________cp5" localSheetId="31" hidden="1">{"'előző év december'!$A$2:$CP$214"}</definedName>
    <definedName name="____________cp5" localSheetId="32" hidden="1">{"'előző év december'!$A$2:$CP$214"}</definedName>
    <definedName name="____________cp5" localSheetId="11" hidden="1">{"'előző év december'!$A$2:$CP$214"}</definedName>
    <definedName name="____________cp5" localSheetId="12" hidden="1">{"'előző év december'!$A$2:$CP$214"}</definedName>
    <definedName name="____________cp5" localSheetId="18" hidden="1">{"'előző év december'!$A$2:$CP$214"}</definedName>
    <definedName name="____________cp5" localSheetId="19" hidden="1">{"'előző év december'!$A$2:$CP$214"}</definedName>
    <definedName name="____________cp5" hidden="1">{"'előző év december'!$A$2:$CP$214"}</definedName>
    <definedName name="____________cp6" localSheetId="31" hidden="1">{"'előző év december'!$A$2:$CP$214"}</definedName>
    <definedName name="____________cp6" localSheetId="32" hidden="1">{"'előző év december'!$A$2:$CP$214"}</definedName>
    <definedName name="____________cp6" localSheetId="11" hidden="1">{"'előző év december'!$A$2:$CP$214"}</definedName>
    <definedName name="____________cp6" localSheetId="12" hidden="1">{"'előző év december'!$A$2:$CP$214"}</definedName>
    <definedName name="____________cp6" localSheetId="18" hidden="1">{"'előző év december'!$A$2:$CP$214"}</definedName>
    <definedName name="____________cp6" localSheetId="19" hidden="1">{"'előző év december'!$A$2:$CP$214"}</definedName>
    <definedName name="____________cp6" hidden="1">{"'előző év december'!$A$2:$CP$214"}</definedName>
    <definedName name="____________cp7" localSheetId="31" hidden="1">{"'előző év december'!$A$2:$CP$214"}</definedName>
    <definedName name="____________cp7" localSheetId="32" hidden="1">{"'előző év december'!$A$2:$CP$214"}</definedName>
    <definedName name="____________cp7" localSheetId="11" hidden="1">{"'előző év december'!$A$2:$CP$214"}</definedName>
    <definedName name="____________cp7" localSheetId="12" hidden="1">{"'előző év december'!$A$2:$CP$214"}</definedName>
    <definedName name="____________cp7" localSheetId="18" hidden="1">{"'előző év december'!$A$2:$CP$214"}</definedName>
    <definedName name="____________cp7" localSheetId="19" hidden="1">{"'előző év december'!$A$2:$CP$214"}</definedName>
    <definedName name="____________cp7" hidden="1">{"'előző év december'!$A$2:$CP$214"}</definedName>
    <definedName name="____________cp8" localSheetId="31" hidden="1">{"'előző év december'!$A$2:$CP$214"}</definedName>
    <definedName name="____________cp8" localSheetId="32" hidden="1">{"'előző év december'!$A$2:$CP$214"}</definedName>
    <definedName name="____________cp8" localSheetId="11" hidden="1">{"'előző év december'!$A$2:$CP$214"}</definedName>
    <definedName name="____________cp8" localSheetId="12" hidden="1">{"'előző év december'!$A$2:$CP$214"}</definedName>
    <definedName name="____________cp8" localSheetId="18" hidden="1">{"'előző év december'!$A$2:$CP$214"}</definedName>
    <definedName name="____________cp8" localSheetId="19" hidden="1">{"'előző év december'!$A$2:$CP$214"}</definedName>
    <definedName name="____________cp8" hidden="1">{"'előző év december'!$A$2:$CP$214"}</definedName>
    <definedName name="____________cp9" localSheetId="31" hidden="1">{"'előző év december'!$A$2:$CP$214"}</definedName>
    <definedName name="____________cp9" localSheetId="32" hidden="1">{"'előző év december'!$A$2:$CP$214"}</definedName>
    <definedName name="____________cp9" localSheetId="11" hidden="1">{"'előző év december'!$A$2:$CP$214"}</definedName>
    <definedName name="____________cp9" localSheetId="12" hidden="1">{"'előző év december'!$A$2:$CP$214"}</definedName>
    <definedName name="____________cp9" localSheetId="18" hidden="1">{"'előző év december'!$A$2:$CP$214"}</definedName>
    <definedName name="____________cp9" localSheetId="19" hidden="1">{"'előző év december'!$A$2:$CP$214"}</definedName>
    <definedName name="____________cp9" hidden="1">{"'előző év december'!$A$2:$CP$214"}</definedName>
    <definedName name="____________cpr2" localSheetId="31" hidden="1">{"'előző év december'!$A$2:$CP$214"}</definedName>
    <definedName name="____________cpr2" localSheetId="32" hidden="1">{"'előző év december'!$A$2:$CP$214"}</definedName>
    <definedName name="____________cpr2" localSheetId="11" hidden="1">{"'előző év december'!$A$2:$CP$214"}</definedName>
    <definedName name="____________cpr2" localSheetId="12" hidden="1">{"'előző év december'!$A$2:$CP$214"}</definedName>
    <definedName name="____________cpr2" localSheetId="18" hidden="1">{"'előző év december'!$A$2:$CP$214"}</definedName>
    <definedName name="____________cpr2" localSheetId="19" hidden="1">{"'előző év december'!$A$2:$CP$214"}</definedName>
    <definedName name="____________cpr2" hidden="1">{"'előző év december'!$A$2:$CP$214"}</definedName>
    <definedName name="____________cpr3" localSheetId="31" hidden="1">{"'előző év december'!$A$2:$CP$214"}</definedName>
    <definedName name="____________cpr3" localSheetId="32" hidden="1">{"'előző év december'!$A$2:$CP$214"}</definedName>
    <definedName name="____________cpr3" localSheetId="11" hidden="1">{"'előző év december'!$A$2:$CP$214"}</definedName>
    <definedName name="____________cpr3" localSheetId="12" hidden="1">{"'előző év december'!$A$2:$CP$214"}</definedName>
    <definedName name="____________cpr3" localSheetId="18" hidden="1">{"'előző év december'!$A$2:$CP$214"}</definedName>
    <definedName name="____________cpr3" localSheetId="19" hidden="1">{"'előző év december'!$A$2:$CP$214"}</definedName>
    <definedName name="____________cpr3" hidden="1">{"'előző év december'!$A$2:$CP$214"}</definedName>
    <definedName name="____________cpr4" localSheetId="31" hidden="1">{"'előző év december'!$A$2:$CP$214"}</definedName>
    <definedName name="____________cpr4" localSheetId="32" hidden="1">{"'előző év december'!$A$2:$CP$214"}</definedName>
    <definedName name="____________cpr4" localSheetId="11" hidden="1">{"'előző év december'!$A$2:$CP$214"}</definedName>
    <definedName name="____________cpr4" localSheetId="12" hidden="1">{"'előző év december'!$A$2:$CP$214"}</definedName>
    <definedName name="____________cpr4" localSheetId="18" hidden="1">{"'előző év december'!$A$2:$CP$214"}</definedName>
    <definedName name="____________cpr4" localSheetId="19" hidden="1">{"'előző év december'!$A$2:$CP$214"}</definedName>
    <definedName name="____________cpr4" hidden="1">{"'előző év december'!$A$2:$CP$214"}</definedName>
    <definedName name="___________cp1" localSheetId="31" hidden="1">{"'előző év december'!$A$2:$CP$214"}</definedName>
    <definedName name="___________cp1" localSheetId="32" hidden="1">{"'előző év december'!$A$2:$CP$214"}</definedName>
    <definedName name="___________cp1" localSheetId="11" hidden="1">{"'előző év december'!$A$2:$CP$214"}</definedName>
    <definedName name="___________cp1" localSheetId="12" hidden="1">{"'előző év december'!$A$2:$CP$214"}</definedName>
    <definedName name="___________cp1" localSheetId="18" hidden="1">{"'előző év december'!$A$2:$CP$214"}</definedName>
    <definedName name="___________cp1" localSheetId="19" hidden="1">{"'előző év december'!$A$2:$CP$214"}</definedName>
    <definedName name="___________cp1" hidden="1">{"'előző év december'!$A$2:$CP$214"}</definedName>
    <definedName name="___________cp10" localSheetId="31" hidden="1">{"'előző év december'!$A$2:$CP$214"}</definedName>
    <definedName name="___________cp10" localSheetId="32" hidden="1">{"'előző év december'!$A$2:$CP$214"}</definedName>
    <definedName name="___________cp10" localSheetId="11" hidden="1">{"'előző év december'!$A$2:$CP$214"}</definedName>
    <definedName name="___________cp10" localSheetId="12" hidden="1">{"'előző év december'!$A$2:$CP$214"}</definedName>
    <definedName name="___________cp10" localSheetId="18" hidden="1">{"'előző év december'!$A$2:$CP$214"}</definedName>
    <definedName name="___________cp10" localSheetId="19" hidden="1">{"'előző év december'!$A$2:$CP$214"}</definedName>
    <definedName name="___________cp10" hidden="1">{"'előző év december'!$A$2:$CP$214"}</definedName>
    <definedName name="___________cp11" localSheetId="31" hidden="1">{"'előző év december'!$A$2:$CP$214"}</definedName>
    <definedName name="___________cp11" localSheetId="32" hidden="1">{"'előző év december'!$A$2:$CP$214"}</definedName>
    <definedName name="___________cp11" localSheetId="11" hidden="1">{"'előző év december'!$A$2:$CP$214"}</definedName>
    <definedName name="___________cp11" localSheetId="12" hidden="1">{"'előző év december'!$A$2:$CP$214"}</definedName>
    <definedName name="___________cp11" localSheetId="18" hidden="1">{"'előző év december'!$A$2:$CP$214"}</definedName>
    <definedName name="___________cp11" localSheetId="19" hidden="1">{"'előző év december'!$A$2:$CP$214"}</definedName>
    <definedName name="___________cp11" hidden="1">{"'előző év december'!$A$2:$CP$214"}</definedName>
    <definedName name="___________cp2" localSheetId="31" hidden="1">{"'előző év december'!$A$2:$CP$214"}</definedName>
    <definedName name="___________cp2" localSheetId="32" hidden="1">{"'előző év december'!$A$2:$CP$214"}</definedName>
    <definedName name="___________cp2" localSheetId="11" hidden="1">{"'előző év december'!$A$2:$CP$214"}</definedName>
    <definedName name="___________cp2" localSheetId="12" hidden="1">{"'előző év december'!$A$2:$CP$214"}</definedName>
    <definedName name="___________cp2" localSheetId="18" hidden="1">{"'előző év december'!$A$2:$CP$214"}</definedName>
    <definedName name="___________cp2" localSheetId="19" hidden="1">{"'előző év december'!$A$2:$CP$214"}</definedName>
    <definedName name="___________cp2" hidden="1">{"'előző év december'!$A$2:$CP$214"}</definedName>
    <definedName name="___________cp3" localSheetId="31" hidden="1">{"'előző év december'!$A$2:$CP$214"}</definedName>
    <definedName name="___________cp3" localSheetId="32" hidden="1">{"'előző év december'!$A$2:$CP$214"}</definedName>
    <definedName name="___________cp3" localSheetId="11" hidden="1">{"'előző év december'!$A$2:$CP$214"}</definedName>
    <definedName name="___________cp3" localSheetId="12" hidden="1">{"'előző év december'!$A$2:$CP$214"}</definedName>
    <definedName name="___________cp3" localSheetId="18" hidden="1">{"'előző év december'!$A$2:$CP$214"}</definedName>
    <definedName name="___________cp3" localSheetId="19" hidden="1">{"'előző év december'!$A$2:$CP$214"}</definedName>
    <definedName name="___________cp3" hidden="1">{"'előző év december'!$A$2:$CP$214"}</definedName>
    <definedName name="___________cp4" localSheetId="31" hidden="1">{"'előző év december'!$A$2:$CP$214"}</definedName>
    <definedName name="___________cp4" localSheetId="32" hidden="1">{"'előző év december'!$A$2:$CP$214"}</definedName>
    <definedName name="___________cp4" localSheetId="11" hidden="1">{"'előző év december'!$A$2:$CP$214"}</definedName>
    <definedName name="___________cp4" localSheetId="12" hidden="1">{"'előző év december'!$A$2:$CP$214"}</definedName>
    <definedName name="___________cp4" localSheetId="18" hidden="1">{"'előző év december'!$A$2:$CP$214"}</definedName>
    <definedName name="___________cp4" localSheetId="19" hidden="1">{"'előző év december'!$A$2:$CP$214"}</definedName>
    <definedName name="___________cp4" hidden="1">{"'előző év december'!$A$2:$CP$214"}</definedName>
    <definedName name="___________cp5" localSheetId="31" hidden="1">{"'előző év december'!$A$2:$CP$214"}</definedName>
    <definedName name="___________cp5" localSheetId="32" hidden="1">{"'előző év december'!$A$2:$CP$214"}</definedName>
    <definedName name="___________cp5" localSheetId="11" hidden="1">{"'előző év december'!$A$2:$CP$214"}</definedName>
    <definedName name="___________cp5" localSheetId="12" hidden="1">{"'előző év december'!$A$2:$CP$214"}</definedName>
    <definedName name="___________cp5" localSheetId="18" hidden="1">{"'előző év december'!$A$2:$CP$214"}</definedName>
    <definedName name="___________cp5" localSheetId="19" hidden="1">{"'előző év december'!$A$2:$CP$214"}</definedName>
    <definedName name="___________cp5" hidden="1">{"'előző év december'!$A$2:$CP$214"}</definedName>
    <definedName name="___________cp6" localSheetId="31" hidden="1">{"'előző év december'!$A$2:$CP$214"}</definedName>
    <definedName name="___________cp6" localSheetId="32" hidden="1">{"'előző év december'!$A$2:$CP$214"}</definedName>
    <definedName name="___________cp6" localSheetId="11" hidden="1">{"'előző év december'!$A$2:$CP$214"}</definedName>
    <definedName name="___________cp6" localSheetId="12" hidden="1">{"'előző év december'!$A$2:$CP$214"}</definedName>
    <definedName name="___________cp6" localSheetId="18" hidden="1">{"'előző év december'!$A$2:$CP$214"}</definedName>
    <definedName name="___________cp6" localSheetId="19" hidden="1">{"'előző év december'!$A$2:$CP$214"}</definedName>
    <definedName name="___________cp6" hidden="1">{"'előző év december'!$A$2:$CP$214"}</definedName>
    <definedName name="___________cp7" localSheetId="31" hidden="1">{"'előző év december'!$A$2:$CP$214"}</definedName>
    <definedName name="___________cp7" localSheetId="32" hidden="1">{"'előző év december'!$A$2:$CP$214"}</definedName>
    <definedName name="___________cp7" localSheetId="11" hidden="1">{"'előző év december'!$A$2:$CP$214"}</definedName>
    <definedName name="___________cp7" localSheetId="12" hidden="1">{"'előző év december'!$A$2:$CP$214"}</definedName>
    <definedName name="___________cp7" localSheetId="18" hidden="1">{"'előző év december'!$A$2:$CP$214"}</definedName>
    <definedName name="___________cp7" localSheetId="19" hidden="1">{"'előző év december'!$A$2:$CP$214"}</definedName>
    <definedName name="___________cp7" hidden="1">{"'előző év december'!$A$2:$CP$214"}</definedName>
    <definedName name="___________cp8" localSheetId="31" hidden="1">{"'előző év december'!$A$2:$CP$214"}</definedName>
    <definedName name="___________cp8" localSheetId="32" hidden="1">{"'előző év december'!$A$2:$CP$214"}</definedName>
    <definedName name="___________cp8" localSheetId="11" hidden="1">{"'előző év december'!$A$2:$CP$214"}</definedName>
    <definedName name="___________cp8" localSheetId="12" hidden="1">{"'előző év december'!$A$2:$CP$214"}</definedName>
    <definedName name="___________cp8" localSheetId="18" hidden="1">{"'előző év december'!$A$2:$CP$214"}</definedName>
    <definedName name="___________cp8" localSheetId="19" hidden="1">{"'előző év december'!$A$2:$CP$214"}</definedName>
    <definedName name="___________cp8" hidden="1">{"'előző év december'!$A$2:$CP$214"}</definedName>
    <definedName name="___________cp9" localSheetId="31" hidden="1">{"'előző év december'!$A$2:$CP$214"}</definedName>
    <definedName name="___________cp9" localSheetId="32" hidden="1">{"'előző év december'!$A$2:$CP$214"}</definedName>
    <definedName name="___________cp9" localSheetId="11" hidden="1">{"'előző év december'!$A$2:$CP$214"}</definedName>
    <definedName name="___________cp9" localSheetId="12" hidden="1">{"'előző év december'!$A$2:$CP$214"}</definedName>
    <definedName name="___________cp9" localSheetId="18" hidden="1">{"'előző év december'!$A$2:$CP$214"}</definedName>
    <definedName name="___________cp9" localSheetId="19" hidden="1">{"'előző év december'!$A$2:$CP$214"}</definedName>
    <definedName name="___________cp9" hidden="1">{"'előző év december'!$A$2:$CP$214"}</definedName>
    <definedName name="___________cpr2" localSheetId="31" hidden="1">{"'előző év december'!$A$2:$CP$214"}</definedName>
    <definedName name="___________cpr2" localSheetId="32" hidden="1">{"'előző év december'!$A$2:$CP$214"}</definedName>
    <definedName name="___________cpr2" localSheetId="11" hidden="1">{"'előző év december'!$A$2:$CP$214"}</definedName>
    <definedName name="___________cpr2" localSheetId="12" hidden="1">{"'előző év december'!$A$2:$CP$214"}</definedName>
    <definedName name="___________cpr2" localSheetId="18" hidden="1">{"'előző év december'!$A$2:$CP$214"}</definedName>
    <definedName name="___________cpr2" localSheetId="19" hidden="1">{"'előző év december'!$A$2:$CP$214"}</definedName>
    <definedName name="___________cpr2" hidden="1">{"'előző év december'!$A$2:$CP$214"}</definedName>
    <definedName name="___________cpr3" localSheetId="31" hidden="1">{"'előző év december'!$A$2:$CP$214"}</definedName>
    <definedName name="___________cpr3" localSheetId="32" hidden="1">{"'előző év december'!$A$2:$CP$214"}</definedName>
    <definedName name="___________cpr3" localSheetId="11" hidden="1">{"'előző év december'!$A$2:$CP$214"}</definedName>
    <definedName name="___________cpr3" localSheetId="12" hidden="1">{"'előző év december'!$A$2:$CP$214"}</definedName>
    <definedName name="___________cpr3" localSheetId="18" hidden="1">{"'előző év december'!$A$2:$CP$214"}</definedName>
    <definedName name="___________cpr3" localSheetId="19" hidden="1">{"'előző év december'!$A$2:$CP$214"}</definedName>
    <definedName name="___________cpr3" hidden="1">{"'előző év december'!$A$2:$CP$214"}</definedName>
    <definedName name="___________cpr4" localSheetId="31" hidden="1">{"'előző év december'!$A$2:$CP$214"}</definedName>
    <definedName name="___________cpr4" localSheetId="32" hidden="1">{"'előző év december'!$A$2:$CP$214"}</definedName>
    <definedName name="___________cpr4" localSheetId="11" hidden="1">{"'előző év december'!$A$2:$CP$214"}</definedName>
    <definedName name="___________cpr4" localSheetId="12" hidden="1">{"'előző év december'!$A$2:$CP$214"}</definedName>
    <definedName name="___________cpr4" localSheetId="18" hidden="1">{"'előző év december'!$A$2:$CP$214"}</definedName>
    <definedName name="___________cpr4" localSheetId="19" hidden="1">{"'előző év december'!$A$2:$CP$214"}</definedName>
    <definedName name="___________cpr4" hidden="1">{"'előző év december'!$A$2:$CP$214"}</definedName>
    <definedName name="__________cp1" localSheetId="31" hidden="1">{"'előző év december'!$A$2:$CP$214"}</definedName>
    <definedName name="__________cp1" localSheetId="32" hidden="1">{"'előző év december'!$A$2:$CP$214"}</definedName>
    <definedName name="__________cp1" localSheetId="11" hidden="1">{"'előző év december'!$A$2:$CP$214"}</definedName>
    <definedName name="__________cp1" localSheetId="12" hidden="1">{"'előző év december'!$A$2:$CP$214"}</definedName>
    <definedName name="__________cp1" localSheetId="18" hidden="1">{"'előző év december'!$A$2:$CP$214"}</definedName>
    <definedName name="__________cp1" localSheetId="19" hidden="1">{"'előző év december'!$A$2:$CP$214"}</definedName>
    <definedName name="__________cp1" hidden="1">{"'előző év december'!$A$2:$CP$214"}</definedName>
    <definedName name="__________cp10" localSheetId="31" hidden="1">{"'előző év december'!$A$2:$CP$214"}</definedName>
    <definedName name="__________cp10" localSheetId="32" hidden="1">{"'előző év december'!$A$2:$CP$214"}</definedName>
    <definedName name="__________cp10" localSheetId="11" hidden="1">{"'előző év december'!$A$2:$CP$214"}</definedName>
    <definedName name="__________cp10" localSheetId="12" hidden="1">{"'előző év december'!$A$2:$CP$214"}</definedName>
    <definedName name="__________cp10" localSheetId="18" hidden="1">{"'előző év december'!$A$2:$CP$214"}</definedName>
    <definedName name="__________cp10" localSheetId="19" hidden="1">{"'előző év december'!$A$2:$CP$214"}</definedName>
    <definedName name="__________cp10" hidden="1">{"'előző év december'!$A$2:$CP$214"}</definedName>
    <definedName name="__________cp11" localSheetId="31" hidden="1">{"'előző év december'!$A$2:$CP$214"}</definedName>
    <definedName name="__________cp11" localSheetId="32" hidden="1">{"'előző év december'!$A$2:$CP$214"}</definedName>
    <definedName name="__________cp11" localSheetId="11" hidden="1">{"'előző év december'!$A$2:$CP$214"}</definedName>
    <definedName name="__________cp11" localSheetId="12" hidden="1">{"'előző év december'!$A$2:$CP$214"}</definedName>
    <definedName name="__________cp11" localSheetId="18" hidden="1">{"'előző év december'!$A$2:$CP$214"}</definedName>
    <definedName name="__________cp11" localSheetId="19" hidden="1">{"'előző év december'!$A$2:$CP$214"}</definedName>
    <definedName name="__________cp11" hidden="1">{"'előző év december'!$A$2:$CP$214"}</definedName>
    <definedName name="__________cp2" localSheetId="31" hidden="1">{"'előző év december'!$A$2:$CP$214"}</definedName>
    <definedName name="__________cp2" localSheetId="32" hidden="1">{"'előző év december'!$A$2:$CP$214"}</definedName>
    <definedName name="__________cp2" localSheetId="11" hidden="1">{"'előző év december'!$A$2:$CP$214"}</definedName>
    <definedName name="__________cp2" localSheetId="12" hidden="1">{"'előző év december'!$A$2:$CP$214"}</definedName>
    <definedName name="__________cp2" localSheetId="18" hidden="1">{"'előző év december'!$A$2:$CP$214"}</definedName>
    <definedName name="__________cp2" localSheetId="19" hidden="1">{"'előző év december'!$A$2:$CP$214"}</definedName>
    <definedName name="__________cp2" hidden="1">{"'előző év december'!$A$2:$CP$214"}</definedName>
    <definedName name="__________cp3" localSheetId="31" hidden="1">{"'előző év december'!$A$2:$CP$214"}</definedName>
    <definedName name="__________cp3" localSheetId="32" hidden="1">{"'előző év december'!$A$2:$CP$214"}</definedName>
    <definedName name="__________cp3" localSheetId="11" hidden="1">{"'előző év december'!$A$2:$CP$214"}</definedName>
    <definedName name="__________cp3" localSheetId="12" hidden="1">{"'előző év december'!$A$2:$CP$214"}</definedName>
    <definedName name="__________cp3" localSheetId="18" hidden="1">{"'előző év december'!$A$2:$CP$214"}</definedName>
    <definedName name="__________cp3" localSheetId="19" hidden="1">{"'előző év december'!$A$2:$CP$214"}</definedName>
    <definedName name="__________cp3" hidden="1">{"'előző év december'!$A$2:$CP$214"}</definedName>
    <definedName name="__________cp4" localSheetId="31" hidden="1">{"'előző év december'!$A$2:$CP$214"}</definedName>
    <definedName name="__________cp4" localSheetId="32" hidden="1">{"'előző év december'!$A$2:$CP$214"}</definedName>
    <definedName name="__________cp4" localSheetId="11" hidden="1">{"'előző év december'!$A$2:$CP$214"}</definedName>
    <definedName name="__________cp4" localSheetId="12" hidden="1">{"'előző év december'!$A$2:$CP$214"}</definedName>
    <definedName name="__________cp4" localSheetId="18" hidden="1">{"'előző év december'!$A$2:$CP$214"}</definedName>
    <definedName name="__________cp4" localSheetId="19" hidden="1">{"'előző év december'!$A$2:$CP$214"}</definedName>
    <definedName name="__________cp4" hidden="1">{"'előző év december'!$A$2:$CP$214"}</definedName>
    <definedName name="__________cp5" localSheetId="31" hidden="1">{"'előző év december'!$A$2:$CP$214"}</definedName>
    <definedName name="__________cp5" localSheetId="32" hidden="1">{"'előző év december'!$A$2:$CP$214"}</definedName>
    <definedName name="__________cp5" localSheetId="11" hidden="1">{"'előző év december'!$A$2:$CP$214"}</definedName>
    <definedName name="__________cp5" localSheetId="12" hidden="1">{"'előző év december'!$A$2:$CP$214"}</definedName>
    <definedName name="__________cp5" localSheetId="18" hidden="1">{"'előző év december'!$A$2:$CP$214"}</definedName>
    <definedName name="__________cp5" localSheetId="19" hidden="1">{"'előző év december'!$A$2:$CP$214"}</definedName>
    <definedName name="__________cp5" hidden="1">{"'előző év december'!$A$2:$CP$214"}</definedName>
    <definedName name="__________cp6" localSheetId="31" hidden="1">{"'előző év december'!$A$2:$CP$214"}</definedName>
    <definedName name="__________cp6" localSheetId="32" hidden="1">{"'előző év december'!$A$2:$CP$214"}</definedName>
    <definedName name="__________cp6" localSheetId="11" hidden="1">{"'előző év december'!$A$2:$CP$214"}</definedName>
    <definedName name="__________cp6" localSheetId="12" hidden="1">{"'előző év december'!$A$2:$CP$214"}</definedName>
    <definedName name="__________cp6" localSheetId="18" hidden="1">{"'előző év december'!$A$2:$CP$214"}</definedName>
    <definedName name="__________cp6" localSheetId="19" hidden="1">{"'előző év december'!$A$2:$CP$214"}</definedName>
    <definedName name="__________cp6" hidden="1">{"'előző év december'!$A$2:$CP$214"}</definedName>
    <definedName name="__________cp7" localSheetId="31" hidden="1">{"'előző év december'!$A$2:$CP$214"}</definedName>
    <definedName name="__________cp7" localSheetId="32" hidden="1">{"'előző év december'!$A$2:$CP$214"}</definedName>
    <definedName name="__________cp7" localSheetId="11" hidden="1">{"'előző év december'!$A$2:$CP$214"}</definedName>
    <definedName name="__________cp7" localSheetId="12" hidden="1">{"'előző év december'!$A$2:$CP$214"}</definedName>
    <definedName name="__________cp7" localSheetId="18" hidden="1">{"'előző év december'!$A$2:$CP$214"}</definedName>
    <definedName name="__________cp7" localSheetId="19" hidden="1">{"'előző év december'!$A$2:$CP$214"}</definedName>
    <definedName name="__________cp7" hidden="1">{"'előző év december'!$A$2:$CP$214"}</definedName>
    <definedName name="__________cp8" localSheetId="31" hidden="1">{"'előző év december'!$A$2:$CP$214"}</definedName>
    <definedName name="__________cp8" localSheetId="32" hidden="1">{"'előző év december'!$A$2:$CP$214"}</definedName>
    <definedName name="__________cp8" localSheetId="11" hidden="1">{"'előző év december'!$A$2:$CP$214"}</definedName>
    <definedName name="__________cp8" localSheetId="12" hidden="1">{"'előző év december'!$A$2:$CP$214"}</definedName>
    <definedName name="__________cp8" localSheetId="18" hidden="1">{"'előző év december'!$A$2:$CP$214"}</definedName>
    <definedName name="__________cp8" localSheetId="19" hidden="1">{"'előző év december'!$A$2:$CP$214"}</definedName>
    <definedName name="__________cp8" hidden="1">{"'előző év december'!$A$2:$CP$214"}</definedName>
    <definedName name="__________cp9" localSheetId="31" hidden="1">{"'előző év december'!$A$2:$CP$214"}</definedName>
    <definedName name="__________cp9" localSheetId="32" hidden="1">{"'előző év december'!$A$2:$CP$214"}</definedName>
    <definedName name="__________cp9" localSheetId="11" hidden="1">{"'előző év december'!$A$2:$CP$214"}</definedName>
    <definedName name="__________cp9" localSheetId="12" hidden="1">{"'előző év december'!$A$2:$CP$214"}</definedName>
    <definedName name="__________cp9" localSheetId="18" hidden="1">{"'előző év december'!$A$2:$CP$214"}</definedName>
    <definedName name="__________cp9" localSheetId="19" hidden="1">{"'előző év december'!$A$2:$CP$214"}</definedName>
    <definedName name="__________cp9" hidden="1">{"'előző év december'!$A$2:$CP$214"}</definedName>
    <definedName name="__________cpr2" localSheetId="31" hidden="1">{"'előző év december'!$A$2:$CP$214"}</definedName>
    <definedName name="__________cpr2" localSheetId="32" hidden="1">{"'előző év december'!$A$2:$CP$214"}</definedName>
    <definedName name="__________cpr2" localSheetId="11" hidden="1">{"'előző év december'!$A$2:$CP$214"}</definedName>
    <definedName name="__________cpr2" localSheetId="12" hidden="1">{"'előző év december'!$A$2:$CP$214"}</definedName>
    <definedName name="__________cpr2" localSheetId="18" hidden="1">{"'előző év december'!$A$2:$CP$214"}</definedName>
    <definedName name="__________cpr2" localSheetId="19" hidden="1">{"'előző év december'!$A$2:$CP$214"}</definedName>
    <definedName name="__________cpr2" hidden="1">{"'előző év december'!$A$2:$CP$214"}</definedName>
    <definedName name="__________cpr3" localSheetId="31" hidden="1">{"'előző év december'!$A$2:$CP$214"}</definedName>
    <definedName name="__________cpr3" localSheetId="32" hidden="1">{"'előző év december'!$A$2:$CP$214"}</definedName>
    <definedName name="__________cpr3" localSheetId="11" hidden="1">{"'előző év december'!$A$2:$CP$214"}</definedName>
    <definedName name="__________cpr3" localSheetId="12" hidden="1">{"'előző év december'!$A$2:$CP$214"}</definedName>
    <definedName name="__________cpr3" localSheetId="18" hidden="1">{"'előző év december'!$A$2:$CP$214"}</definedName>
    <definedName name="__________cpr3" localSheetId="19" hidden="1">{"'előző év december'!$A$2:$CP$214"}</definedName>
    <definedName name="__________cpr3" hidden="1">{"'előző év december'!$A$2:$CP$214"}</definedName>
    <definedName name="__________cpr4" localSheetId="31" hidden="1">{"'előző év december'!$A$2:$CP$214"}</definedName>
    <definedName name="__________cpr4" localSheetId="32" hidden="1">{"'előző év december'!$A$2:$CP$214"}</definedName>
    <definedName name="__________cpr4" localSheetId="11" hidden="1">{"'előző év december'!$A$2:$CP$214"}</definedName>
    <definedName name="__________cpr4" localSheetId="12" hidden="1">{"'előző év december'!$A$2:$CP$214"}</definedName>
    <definedName name="__________cpr4" localSheetId="18" hidden="1">{"'előző év december'!$A$2:$CP$214"}</definedName>
    <definedName name="__________cpr4" localSheetId="19" hidden="1">{"'előző év december'!$A$2:$CP$214"}</definedName>
    <definedName name="__________cpr4" hidden="1">{"'előző év december'!$A$2:$CP$214"}</definedName>
    <definedName name="_________cp1" localSheetId="31" hidden="1">{"'előző év december'!$A$2:$CP$214"}</definedName>
    <definedName name="_________cp1" localSheetId="32" hidden="1">{"'előző év december'!$A$2:$CP$214"}</definedName>
    <definedName name="_________cp1" localSheetId="11" hidden="1">{"'előző év december'!$A$2:$CP$214"}</definedName>
    <definedName name="_________cp1" localSheetId="12" hidden="1">{"'előző év december'!$A$2:$CP$214"}</definedName>
    <definedName name="_________cp1" localSheetId="18" hidden="1">{"'előző év december'!$A$2:$CP$214"}</definedName>
    <definedName name="_________cp1" localSheetId="19" hidden="1">{"'előző év december'!$A$2:$CP$214"}</definedName>
    <definedName name="_________cp1" hidden="1">{"'előző év december'!$A$2:$CP$214"}</definedName>
    <definedName name="_________cp10" localSheetId="31" hidden="1">{"'előző év december'!$A$2:$CP$214"}</definedName>
    <definedName name="_________cp10" localSheetId="32" hidden="1">{"'előző év december'!$A$2:$CP$214"}</definedName>
    <definedName name="_________cp10" localSheetId="11" hidden="1">{"'előző év december'!$A$2:$CP$214"}</definedName>
    <definedName name="_________cp10" localSheetId="12" hidden="1">{"'előző év december'!$A$2:$CP$214"}</definedName>
    <definedName name="_________cp10" localSheetId="18" hidden="1">{"'előző év december'!$A$2:$CP$214"}</definedName>
    <definedName name="_________cp10" localSheetId="19" hidden="1">{"'előző év december'!$A$2:$CP$214"}</definedName>
    <definedName name="_________cp10" hidden="1">{"'előző év december'!$A$2:$CP$214"}</definedName>
    <definedName name="_________cp11" localSheetId="31" hidden="1">{"'előző év december'!$A$2:$CP$214"}</definedName>
    <definedName name="_________cp11" localSheetId="32" hidden="1">{"'előző év december'!$A$2:$CP$214"}</definedName>
    <definedName name="_________cp11" localSheetId="11" hidden="1">{"'előző év december'!$A$2:$CP$214"}</definedName>
    <definedName name="_________cp11" localSheetId="12" hidden="1">{"'előző év december'!$A$2:$CP$214"}</definedName>
    <definedName name="_________cp11" localSheetId="18" hidden="1">{"'előző év december'!$A$2:$CP$214"}</definedName>
    <definedName name="_________cp11" localSheetId="19" hidden="1">{"'előző év december'!$A$2:$CP$214"}</definedName>
    <definedName name="_________cp11" hidden="1">{"'előző év december'!$A$2:$CP$214"}</definedName>
    <definedName name="_________cp2" localSheetId="31" hidden="1">{"'előző év december'!$A$2:$CP$214"}</definedName>
    <definedName name="_________cp2" localSheetId="32" hidden="1">{"'előző év december'!$A$2:$CP$214"}</definedName>
    <definedName name="_________cp2" localSheetId="11" hidden="1">{"'előző év december'!$A$2:$CP$214"}</definedName>
    <definedName name="_________cp2" localSheetId="12" hidden="1">{"'előző év december'!$A$2:$CP$214"}</definedName>
    <definedName name="_________cp2" localSheetId="18" hidden="1">{"'előző év december'!$A$2:$CP$214"}</definedName>
    <definedName name="_________cp2" localSheetId="19" hidden="1">{"'előző év december'!$A$2:$CP$214"}</definedName>
    <definedName name="_________cp2" hidden="1">{"'előző év december'!$A$2:$CP$214"}</definedName>
    <definedName name="_________cp3" localSheetId="31" hidden="1">{"'előző év december'!$A$2:$CP$214"}</definedName>
    <definedName name="_________cp3" localSheetId="32" hidden="1">{"'előző év december'!$A$2:$CP$214"}</definedName>
    <definedName name="_________cp3" localSheetId="11" hidden="1">{"'előző év december'!$A$2:$CP$214"}</definedName>
    <definedName name="_________cp3" localSheetId="12" hidden="1">{"'előző év december'!$A$2:$CP$214"}</definedName>
    <definedName name="_________cp3" localSheetId="18" hidden="1">{"'előző év december'!$A$2:$CP$214"}</definedName>
    <definedName name="_________cp3" localSheetId="19" hidden="1">{"'előző év december'!$A$2:$CP$214"}</definedName>
    <definedName name="_________cp3" hidden="1">{"'előző év december'!$A$2:$CP$214"}</definedName>
    <definedName name="_________cp4" localSheetId="31" hidden="1">{"'előző év december'!$A$2:$CP$214"}</definedName>
    <definedName name="_________cp4" localSheetId="32" hidden="1">{"'előző év december'!$A$2:$CP$214"}</definedName>
    <definedName name="_________cp4" localSheetId="11" hidden="1">{"'előző év december'!$A$2:$CP$214"}</definedName>
    <definedName name="_________cp4" localSheetId="12" hidden="1">{"'előző év december'!$A$2:$CP$214"}</definedName>
    <definedName name="_________cp4" localSheetId="18" hidden="1">{"'előző év december'!$A$2:$CP$214"}</definedName>
    <definedName name="_________cp4" localSheetId="19" hidden="1">{"'előző év december'!$A$2:$CP$214"}</definedName>
    <definedName name="_________cp4" hidden="1">{"'előző év december'!$A$2:$CP$214"}</definedName>
    <definedName name="_________cp5" localSheetId="31" hidden="1">{"'előző év december'!$A$2:$CP$214"}</definedName>
    <definedName name="_________cp5" localSheetId="32" hidden="1">{"'előző év december'!$A$2:$CP$214"}</definedName>
    <definedName name="_________cp5" localSheetId="11" hidden="1">{"'előző év december'!$A$2:$CP$214"}</definedName>
    <definedName name="_________cp5" localSheetId="12" hidden="1">{"'előző év december'!$A$2:$CP$214"}</definedName>
    <definedName name="_________cp5" localSheetId="18" hidden="1">{"'előző év december'!$A$2:$CP$214"}</definedName>
    <definedName name="_________cp5" localSheetId="19" hidden="1">{"'előző év december'!$A$2:$CP$214"}</definedName>
    <definedName name="_________cp5" hidden="1">{"'előző év december'!$A$2:$CP$214"}</definedName>
    <definedName name="_________cp6" localSheetId="31" hidden="1">{"'előző év december'!$A$2:$CP$214"}</definedName>
    <definedName name="_________cp6" localSheetId="32" hidden="1">{"'előző év december'!$A$2:$CP$214"}</definedName>
    <definedName name="_________cp6" localSheetId="11" hidden="1">{"'előző év december'!$A$2:$CP$214"}</definedName>
    <definedName name="_________cp6" localSheetId="12" hidden="1">{"'előző év december'!$A$2:$CP$214"}</definedName>
    <definedName name="_________cp6" localSheetId="18" hidden="1">{"'előző év december'!$A$2:$CP$214"}</definedName>
    <definedName name="_________cp6" localSheetId="19" hidden="1">{"'előző év december'!$A$2:$CP$214"}</definedName>
    <definedName name="_________cp6" hidden="1">{"'előző év december'!$A$2:$CP$214"}</definedName>
    <definedName name="_________cp7" localSheetId="31" hidden="1">{"'előző év december'!$A$2:$CP$214"}</definedName>
    <definedName name="_________cp7" localSheetId="32" hidden="1">{"'előző év december'!$A$2:$CP$214"}</definedName>
    <definedName name="_________cp7" localSheetId="11" hidden="1">{"'előző év december'!$A$2:$CP$214"}</definedName>
    <definedName name="_________cp7" localSheetId="12" hidden="1">{"'előző év december'!$A$2:$CP$214"}</definedName>
    <definedName name="_________cp7" localSheetId="18" hidden="1">{"'előző év december'!$A$2:$CP$214"}</definedName>
    <definedName name="_________cp7" localSheetId="19" hidden="1">{"'előző év december'!$A$2:$CP$214"}</definedName>
    <definedName name="_________cp7" hidden="1">{"'előző év december'!$A$2:$CP$214"}</definedName>
    <definedName name="_________cp8" localSheetId="31" hidden="1">{"'előző év december'!$A$2:$CP$214"}</definedName>
    <definedName name="_________cp8" localSheetId="32" hidden="1">{"'előző év december'!$A$2:$CP$214"}</definedName>
    <definedName name="_________cp8" localSheetId="11" hidden="1">{"'előző év december'!$A$2:$CP$214"}</definedName>
    <definedName name="_________cp8" localSheetId="12" hidden="1">{"'előző év december'!$A$2:$CP$214"}</definedName>
    <definedName name="_________cp8" localSheetId="18" hidden="1">{"'előző év december'!$A$2:$CP$214"}</definedName>
    <definedName name="_________cp8" localSheetId="19" hidden="1">{"'előző év december'!$A$2:$CP$214"}</definedName>
    <definedName name="_________cp8" hidden="1">{"'előző év december'!$A$2:$CP$214"}</definedName>
    <definedName name="_________cp9" localSheetId="31" hidden="1">{"'előző év december'!$A$2:$CP$214"}</definedName>
    <definedName name="_________cp9" localSheetId="32" hidden="1">{"'előző év december'!$A$2:$CP$214"}</definedName>
    <definedName name="_________cp9" localSheetId="11" hidden="1">{"'előző év december'!$A$2:$CP$214"}</definedName>
    <definedName name="_________cp9" localSheetId="12" hidden="1">{"'előző év december'!$A$2:$CP$214"}</definedName>
    <definedName name="_________cp9" localSheetId="18" hidden="1">{"'előző év december'!$A$2:$CP$214"}</definedName>
    <definedName name="_________cp9" localSheetId="19" hidden="1">{"'előző év december'!$A$2:$CP$214"}</definedName>
    <definedName name="_________cp9" hidden="1">{"'előző év december'!$A$2:$CP$214"}</definedName>
    <definedName name="_________cpr2" localSheetId="31" hidden="1">{"'előző év december'!$A$2:$CP$214"}</definedName>
    <definedName name="_________cpr2" localSheetId="32" hidden="1">{"'előző év december'!$A$2:$CP$214"}</definedName>
    <definedName name="_________cpr2" localSheetId="11" hidden="1">{"'előző év december'!$A$2:$CP$214"}</definedName>
    <definedName name="_________cpr2" localSheetId="12" hidden="1">{"'előző év december'!$A$2:$CP$214"}</definedName>
    <definedName name="_________cpr2" localSheetId="18" hidden="1">{"'előző év december'!$A$2:$CP$214"}</definedName>
    <definedName name="_________cpr2" localSheetId="19" hidden="1">{"'előző év december'!$A$2:$CP$214"}</definedName>
    <definedName name="_________cpr2" hidden="1">{"'előző év december'!$A$2:$CP$214"}</definedName>
    <definedName name="_________cpr3" localSheetId="31" hidden="1">{"'előző év december'!$A$2:$CP$214"}</definedName>
    <definedName name="_________cpr3" localSheetId="32" hidden="1">{"'előző év december'!$A$2:$CP$214"}</definedName>
    <definedName name="_________cpr3" localSheetId="11" hidden="1">{"'előző év december'!$A$2:$CP$214"}</definedName>
    <definedName name="_________cpr3" localSheetId="12" hidden="1">{"'előző év december'!$A$2:$CP$214"}</definedName>
    <definedName name="_________cpr3" localSheetId="18" hidden="1">{"'előző év december'!$A$2:$CP$214"}</definedName>
    <definedName name="_________cpr3" localSheetId="19" hidden="1">{"'előző év december'!$A$2:$CP$214"}</definedName>
    <definedName name="_________cpr3" hidden="1">{"'előző év december'!$A$2:$CP$214"}</definedName>
    <definedName name="_________cpr4" localSheetId="31" hidden="1">{"'előző év december'!$A$2:$CP$214"}</definedName>
    <definedName name="_________cpr4" localSheetId="32" hidden="1">{"'előző év december'!$A$2:$CP$214"}</definedName>
    <definedName name="_________cpr4" localSheetId="11" hidden="1">{"'előző év december'!$A$2:$CP$214"}</definedName>
    <definedName name="_________cpr4" localSheetId="12" hidden="1">{"'előző év december'!$A$2:$CP$214"}</definedName>
    <definedName name="_________cpr4" localSheetId="18" hidden="1">{"'előző év december'!$A$2:$CP$214"}</definedName>
    <definedName name="_________cpr4" localSheetId="19" hidden="1">{"'előző év december'!$A$2:$CP$214"}</definedName>
    <definedName name="_________cpr4" hidden="1">{"'előző év december'!$A$2:$CP$214"}</definedName>
    <definedName name="________cp1" localSheetId="31" hidden="1">{"'előző év december'!$A$2:$CP$214"}</definedName>
    <definedName name="________cp1" localSheetId="32" hidden="1">{"'előző év december'!$A$2:$CP$214"}</definedName>
    <definedName name="________cp1" localSheetId="11" hidden="1">{"'előző év december'!$A$2:$CP$214"}</definedName>
    <definedName name="________cp1" localSheetId="12" hidden="1">{"'előző év december'!$A$2:$CP$214"}</definedName>
    <definedName name="________cp1" localSheetId="18" hidden="1">{"'előző év december'!$A$2:$CP$214"}</definedName>
    <definedName name="________cp1" localSheetId="19" hidden="1">{"'előző év december'!$A$2:$CP$214"}</definedName>
    <definedName name="________cp1" hidden="1">{"'előző év december'!$A$2:$CP$214"}</definedName>
    <definedName name="________cp10" localSheetId="31" hidden="1">{"'előző év december'!$A$2:$CP$214"}</definedName>
    <definedName name="________cp10" localSheetId="32" hidden="1">{"'előző év december'!$A$2:$CP$214"}</definedName>
    <definedName name="________cp10" localSheetId="11" hidden="1">{"'előző év december'!$A$2:$CP$214"}</definedName>
    <definedName name="________cp10" localSheetId="12" hidden="1">{"'előző év december'!$A$2:$CP$214"}</definedName>
    <definedName name="________cp10" localSheetId="18" hidden="1">{"'előző év december'!$A$2:$CP$214"}</definedName>
    <definedName name="________cp10" localSheetId="19" hidden="1">{"'előző év december'!$A$2:$CP$214"}</definedName>
    <definedName name="________cp10" hidden="1">{"'előző év december'!$A$2:$CP$214"}</definedName>
    <definedName name="________cp11" localSheetId="31" hidden="1">{"'előző év december'!$A$2:$CP$214"}</definedName>
    <definedName name="________cp11" localSheetId="32" hidden="1">{"'előző év december'!$A$2:$CP$214"}</definedName>
    <definedName name="________cp11" localSheetId="11" hidden="1">{"'előző év december'!$A$2:$CP$214"}</definedName>
    <definedName name="________cp11" localSheetId="12" hidden="1">{"'előző év december'!$A$2:$CP$214"}</definedName>
    <definedName name="________cp11" localSheetId="18" hidden="1">{"'előző év december'!$A$2:$CP$214"}</definedName>
    <definedName name="________cp11" localSheetId="19" hidden="1">{"'előző év december'!$A$2:$CP$214"}</definedName>
    <definedName name="________cp11" hidden="1">{"'előző év december'!$A$2:$CP$214"}</definedName>
    <definedName name="________cp2" localSheetId="31" hidden="1">{"'előző év december'!$A$2:$CP$214"}</definedName>
    <definedName name="________cp2" localSheetId="32" hidden="1">{"'előző év december'!$A$2:$CP$214"}</definedName>
    <definedName name="________cp2" localSheetId="11" hidden="1">{"'előző év december'!$A$2:$CP$214"}</definedName>
    <definedName name="________cp2" localSheetId="12" hidden="1">{"'előző év december'!$A$2:$CP$214"}</definedName>
    <definedName name="________cp2" localSheetId="18" hidden="1">{"'előző év december'!$A$2:$CP$214"}</definedName>
    <definedName name="________cp2" localSheetId="19" hidden="1">{"'előző év december'!$A$2:$CP$214"}</definedName>
    <definedName name="________cp2" hidden="1">{"'előző év december'!$A$2:$CP$214"}</definedName>
    <definedName name="________cp3" localSheetId="31" hidden="1">{"'előző év december'!$A$2:$CP$214"}</definedName>
    <definedName name="________cp3" localSheetId="32" hidden="1">{"'előző év december'!$A$2:$CP$214"}</definedName>
    <definedName name="________cp3" localSheetId="11" hidden="1">{"'előző év december'!$A$2:$CP$214"}</definedName>
    <definedName name="________cp3" localSheetId="12" hidden="1">{"'előző év december'!$A$2:$CP$214"}</definedName>
    <definedName name="________cp3" localSheetId="18" hidden="1">{"'előző év december'!$A$2:$CP$214"}</definedName>
    <definedName name="________cp3" localSheetId="19" hidden="1">{"'előző év december'!$A$2:$CP$214"}</definedName>
    <definedName name="________cp3" hidden="1">{"'előző év december'!$A$2:$CP$214"}</definedName>
    <definedName name="________cp4" localSheetId="31" hidden="1">{"'előző év december'!$A$2:$CP$214"}</definedName>
    <definedName name="________cp4" localSheetId="32" hidden="1">{"'előző év december'!$A$2:$CP$214"}</definedName>
    <definedName name="________cp4" localSheetId="11" hidden="1">{"'előző év december'!$A$2:$CP$214"}</definedName>
    <definedName name="________cp4" localSheetId="12" hidden="1">{"'előző év december'!$A$2:$CP$214"}</definedName>
    <definedName name="________cp4" localSheetId="18" hidden="1">{"'előző év december'!$A$2:$CP$214"}</definedName>
    <definedName name="________cp4" localSheetId="19" hidden="1">{"'előző év december'!$A$2:$CP$214"}</definedName>
    <definedName name="________cp4" hidden="1">{"'előző év december'!$A$2:$CP$214"}</definedName>
    <definedName name="________cp5" localSheetId="31" hidden="1">{"'előző év december'!$A$2:$CP$214"}</definedName>
    <definedName name="________cp5" localSheetId="32" hidden="1">{"'előző év december'!$A$2:$CP$214"}</definedName>
    <definedName name="________cp5" localSheetId="11" hidden="1">{"'előző év december'!$A$2:$CP$214"}</definedName>
    <definedName name="________cp5" localSheetId="12" hidden="1">{"'előző év december'!$A$2:$CP$214"}</definedName>
    <definedName name="________cp5" localSheetId="18" hidden="1">{"'előző év december'!$A$2:$CP$214"}</definedName>
    <definedName name="________cp5" localSheetId="19" hidden="1">{"'előző év december'!$A$2:$CP$214"}</definedName>
    <definedName name="________cp5" hidden="1">{"'előző év december'!$A$2:$CP$214"}</definedName>
    <definedName name="________cp6" localSheetId="31" hidden="1">{"'előző év december'!$A$2:$CP$214"}</definedName>
    <definedName name="________cp6" localSheetId="32" hidden="1">{"'előző év december'!$A$2:$CP$214"}</definedName>
    <definedName name="________cp6" localSheetId="11" hidden="1">{"'előző év december'!$A$2:$CP$214"}</definedName>
    <definedName name="________cp6" localSheetId="12" hidden="1">{"'előző év december'!$A$2:$CP$214"}</definedName>
    <definedName name="________cp6" localSheetId="18" hidden="1">{"'előző év december'!$A$2:$CP$214"}</definedName>
    <definedName name="________cp6" localSheetId="19" hidden="1">{"'előző év december'!$A$2:$CP$214"}</definedName>
    <definedName name="________cp6" hidden="1">{"'előző év december'!$A$2:$CP$214"}</definedName>
    <definedName name="________cp7" localSheetId="31" hidden="1">{"'előző év december'!$A$2:$CP$214"}</definedName>
    <definedName name="________cp7" localSheetId="32" hidden="1">{"'előző év december'!$A$2:$CP$214"}</definedName>
    <definedName name="________cp7" localSheetId="11" hidden="1">{"'előző év december'!$A$2:$CP$214"}</definedName>
    <definedName name="________cp7" localSheetId="12" hidden="1">{"'előző év december'!$A$2:$CP$214"}</definedName>
    <definedName name="________cp7" localSheetId="18" hidden="1">{"'előző év december'!$A$2:$CP$214"}</definedName>
    <definedName name="________cp7" localSheetId="19" hidden="1">{"'előző év december'!$A$2:$CP$214"}</definedName>
    <definedName name="________cp7" hidden="1">{"'előző év december'!$A$2:$CP$214"}</definedName>
    <definedName name="________cp8" localSheetId="31" hidden="1">{"'előző év december'!$A$2:$CP$214"}</definedName>
    <definedName name="________cp8" localSheetId="32" hidden="1">{"'előző év december'!$A$2:$CP$214"}</definedName>
    <definedName name="________cp8" localSheetId="11" hidden="1">{"'előző év december'!$A$2:$CP$214"}</definedName>
    <definedName name="________cp8" localSheetId="12" hidden="1">{"'előző év december'!$A$2:$CP$214"}</definedName>
    <definedName name="________cp8" localSheetId="18" hidden="1">{"'előző év december'!$A$2:$CP$214"}</definedName>
    <definedName name="________cp8" localSheetId="19" hidden="1">{"'előző év december'!$A$2:$CP$214"}</definedName>
    <definedName name="________cp8" hidden="1">{"'előző év december'!$A$2:$CP$214"}</definedName>
    <definedName name="________cp9" localSheetId="31" hidden="1">{"'előző év december'!$A$2:$CP$214"}</definedName>
    <definedName name="________cp9" localSheetId="32" hidden="1">{"'előző év december'!$A$2:$CP$214"}</definedName>
    <definedName name="________cp9" localSheetId="11" hidden="1">{"'előző év december'!$A$2:$CP$214"}</definedName>
    <definedName name="________cp9" localSheetId="12" hidden="1">{"'előző év december'!$A$2:$CP$214"}</definedName>
    <definedName name="________cp9" localSheetId="18" hidden="1">{"'előző év december'!$A$2:$CP$214"}</definedName>
    <definedName name="________cp9" localSheetId="19" hidden="1">{"'előző év december'!$A$2:$CP$214"}</definedName>
    <definedName name="________cp9" hidden="1">{"'előző év december'!$A$2:$CP$214"}</definedName>
    <definedName name="________cpr2" localSheetId="31" hidden="1">{"'előző év december'!$A$2:$CP$214"}</definedName>
    <definedName name="________cpr2" localSheetId="32" hidden="1">{"'előző év december'!$A$2:$CP$214"}</definedName>
    <definedName name="________cpr2" localSheetId="11" hidden="1">{"'előző év december'!$A$2:$CP$214"}</definedName>
    <definedName name="________cpr2" localSheetId="12" hidden="1">{"'előző év december'!$A$2:$CP$214"}</definedName>
    <definedName name="________cpr2" localSheetId="18" hidden="1">{"'előző év december'!$A$2:$CP$214"}</definedName>
    <definedName name="________cpr2" localSheetId="19" hidden="1">{"'előző év december'!$A$2:$CP$214"}</definedName>
    <definedName name="________cpr2" hidden="1">{"'előző év december'!$A$2:$CP$214"}</definedName>
    <definedName name="________cpr3" localSheetId="31" hidden="1">{"'előző év december'!$A$2:$CP$214"}</definedName>
    <definedName name="________cpr3" localSheetId="32" hidden="1">{"'előző év december'!$A$2:$CP$214"}</definedName>
    <definedName name="________cpr3" localSheetId="11" hidden="1">{"'előző év december'!$A$2:$CP$214"}</definedName>
    <definedName name="________cpr3" localSheetId="12" hidden="1">{"'előző év december'!$A$2:$CP$214"}</definedName>
    <definedName name="________cpr3" localSheetId="18" hidden="1">{"'előző év december'!$A$2:$CP$214"}</definedName>
    <definedName name="________cpr3" localSheetId="19" hidden="1">{"'előző év december'!$A$2:$CP$214"}</definedName>
    <definedName name="________cpr3" hidden="1">{"'előző év december'!$A$2:$CP$214"}</definedName>
    <definedName name="________cpr4" localSheetId="31" hidden="1">{"'előző év december'!$A$2:$CP$214"}</definedName>
    <definedName name="________cpr4" localSheetId="32" hidden="1">{"'előző év december'!$A$2:$CP$214"}</definedName>
    <definedName name="________cpr4" localSheetId="11" hidden="1">{"'előző év december'!$A$2:$CP$214"}</definedName>
    <definedName name="________cpr4" localSheetId="12" hidden="1">{"'előző év december'!$A$2:$CP$214"}</definedName>
    <definedName name="________cpr4" localSheetId="18" hidden="1">{"'előző év december'!$A$2:$CP$214"}</definedName>
    <definedName name="________cpr4" localSheetId="19" hidden="1">{"'előző év december'!$A$2:$CP$214"}</definedName>
    <definedName name="________cpr4" hidden="1">{"'előző év december'!$A$2:$CP$214"}</definedName>
    <definedName name="_______cp1" localSheetId="31" hidden="1">{"'előző év december'!$A$2:$CP$214"}</definedName>
    <definedName name="_______cp1" localSheetId="32" hidden="1">{"'előző év december'!$A$2:$CP$214"}</definedName>
    <definedName name="_______cp1" localSheetId="11" hidden="1">{"'előző év december'!$A$2:$CP$214"}</definedName>
    <definedName name="_______cp1" localSheetId="12" hidden="1">{"'előző év december'!$A$2:$CP$214"}</definedName>
    <definedName name="_______cp1" localSheetId="18" hidden="1">{"'előző év december'!$A$2:$CP$214"}</definedName>
    <definedName name="_______cp1" localSheetId="19" hidden="1">{"'előző év december'!$A$2:$CP$214"}</definedName>
    <definedName name="_______cp1" hidden="1">{"'előző év december'!$A$2:$CP$214"}</definedName>
    <definedName name="_______cp10" localSheetId="31" hidden="1">{"'előző év december'!$A$2:$CP$214"}</definedName>
    <definedName name="_______cp10" localSheetId="32" hidden="1">{"'előző év december'!$A$2:$CP$214"}</definedName>
    <definedName name="_______cp10" localSheetId="11" hidden="1">{"'előző év december'!$A$2:$CP$214"}</definedName>
    <definedName name="_______cp10" localSheetId="12" hidden="1">{"'előző év december'!$A$2:$CP$214"}</definedName>
    <definedName name="_______cp10" localSheetId="18" hidden="1">{"'előző év december'!$A$2:$CP$214"}</definedName>
    <definedName name="_______cp10" localSheetId="19" hidden="1">{"'előző év december'!$A$2:$CP$214"}</definedName>
    <definedName name="_______cp10" hidden="1">{"'előző év december'!$A$2:$CP$214"}</definedName>
    <definedName name="_______cp11" localSheetId="31" hidden="1">{"'előző év december'!$A$2:$CP$214"}</definedName>
    <definedName name="_______cp11" localSheetId="32" hidden="1">{"'előző év december'!$A$2:$CP$214"}</definedName>
    <definedName name="_______cp11" localSheetId="11" hidden="1">{"'előző év december'!$A$2:$CP$214"}</definedName>
    <definedName name="_______cp11" localSheetId="12" hidden="1">{"'előző év december'!$A$2:$CP$214"}</definedName>
    <definedName name="_______cp11" localSheetId="18" hidden="1">{"'előző év december'!$A$2:$CP$214"}</definedName>
    <definedName name="_______cp11" localSheetId="19" hidden="1">{"'előző év december'!$A$2:$CP$214"}</definedName>
    <definedName name="_______cp11" hidden="1">{"'előző év december'!$A$2:$CP$214"}</definedName>
    <definedName name="_______cp2" localSheetId="31" hidden="1">{"'előző év december'!$A$2:$CP$214"}</definedName>
    <definedName name="_______cp2" localSheetId="32" hidden="1">{"'előző év december'!$A$2:$CP$214"}</definedName>
    <definedName name="_______cp2" localSheetId="11" hidden="1">{"'előző év december'!$A$2:$CP$214"}</definedName>
    <definedName name="_______cp2" localSheetId="12" hidden="1">{"'előző év december'!$A$2:$CP$214"}</definedName>
    <definedName name="_______cp2" localSheetId="18" hidden="1">{"'előző év december'!$A$2:$CP$214"}</definedName>
    <definedName name="_______cp2" localSheetId="19" hidden="1">{"'előző év december'!$A$2:$CP$214"}</definedName>
    <definedName name="_______cp2" hidden="1">{"'előző év december'!$A$2:$CP$214"}</definedName>
    <definedName name="_______cp3" localSheetId="31" hidden="1">{"'előző év december'!$A$2:$CP$214"}</definedName>
    <definedName name="_______cp3" localSheetId="32" hidden="1">{"'előző év december'!$A$2:$CP$214"}</definedName>
    <definedName name="_______cp3" localSheetId="11" hidden="1">{"'előző év december'!$A$2:$CP$214"}</definedName>
    <definedName name="_______cp3" localSheetId="12" hidden="1">{"'előző év december'!$A$2:$CP$214"}</definedName>
    <definedName name="_______cp3" localSheetId="18" hidden="1">{"'előző év december'!$A$2:$CP$214"}</definedName>
    <definedName name="_______cp3" localSheetId="19" hidden="1">{"'előző év december'!$A$2:$CP$214"}</definedName>
    <definedName name="_______cp3" hidden="1">{"'előző év december'!$A$2:$CP$214"}</definedName>
    <definedName name="_______cp4" localSheetId="31" hidden="1">{"'előző év december'!$A$2:$CP$214"}</definedName>
    <definedName name="_______cp4" localSheetId="32" hidden="1">{"'előző év december'!$A$2:$CP$214"}</definedName>
    <definedName name="_______cp4" localSheetId="11" hidden="1">{"'előző év december'!$A$2:$CP$214"}</definedName>
    <definedName name="_______cp4" localSheetId="12" hidden="1">{"'előző év december'!$A$2:$CP$214"}</definedName>
    <definedName name="_______cp4" localSheetId="18" hidden="1">{"'előző év december'!$A$2:$CP$214"}</definedName>
    <definedName name="_______cp4" localSheetId="19" hidden="1">{"'előző év december'!$A$2:$CP$214"}</definedName>
    <definedName name="_______cp4" hidden="1">{"'előző év december'!$A$2:$CP$214"}</definedName>
    <definedName name="_______cp5" localSheetId="31" hidden="1">{"'előző év december'!$A$2:$CP$214"}</definedName>
    <definedName name="_______cp5" localSheetId="32" hidden="1">{"'előző év december'!$A$2:$CP$214"}</definedName>
    <definedName name="_______cp5" localSheetId="11" hidden="1">{"'előző év december'!$A$2:$CP$214"}</definedName>
    <definedName name="_______cp5" localSheetId="12" hidden="1">{"'előző év december'!$A$2:$CP$214"}</definedName>
    <definedName name="_______cp5" localSheetId="18" hidden="1">{"'előző év december'!$A$2:$CP$214"}</definedName>
    <definedName name="_______cp5" localSheetId="19" hidden="1">{"'előző év december'!$A$2:$CP$214"}</definedName>
    <definedName name="_______cp5" hidden="1">{"'előző év december'!$A$2:$CP$214"}</definedName>
    <definedName name="_______cp6" localSheetId="31" hidden="1">{"'előző év december'!$A$2:$CP$214"}</definedName>
    <definedName name="_______cp6" localSheetId="32" hidden="1">{"'előző év december'!$A$2:$CP$214"}</definedName>
    <definedName name="_______cp6" localSheetId="11" hidden="1">{"'előző év december'!$A$2:$CP$214"}</definedName>
    <definedName name="_______cp6" localSheetId="12" hidden="1">{"'előző év december'!$A$2:$CP$214"}</definedName>
    <definedName name="_______cp6" localSheetId="18" hidden="1">{"'előző év december'!$A$2:$CP$214"}</definedName>
    <definedName name="_______cp6" localSheetId="19" hidden="1">{"'előző év december'!$A$2:$CP$214"}</definedName>
    <definedName name="_______cp6" hidden="1">{"'előző év december'!$A$2:$CP$214"}</definedName>
    <definedName name="_______cp7" localSheetId="31" hidden="1">{"'előző év december'!$A$2:$CP$214"}</definedName>
    <definedName name="_______cp7" localSheetId="32" hidden="1">{"'előző év december'!$A$2:$CP$214"}</definedName>
    <definedName name="_______cp7" localSheetId="11" hidden="1">{"'előző év december'!$A$2:$CP$214"}</definedName>
    <definedName name="_______cp7" localSheetId="12" hidden="1">{"'előző év december'!$A$2:$CP$214"}</definedName>
    <definedName name="_______cp7" localSheetId="18" hidden="1">{"'előző év december'!$A$2:$CP$214"}</definedName>
    <definedName name="_______cp7" localSheetId="19" hidden="1">{"'előző év december'!$A$2:$CP$214"}</definedName>
    <definedName name="_______cp7" hidden="1">{"'előző év december'!$A$2:$CP$214"}</definedName>
    <definedName name="_______cp8" localSheetId="31" hidden="1">{"'előző év december'!$A$2:$CP$214"}</definedName>
    <definedName name="_______cp8" localSheetId="32" hidden="1">{"'előző év december'!$A$2:$CP$214"}</definedName>
    <definedName name="_______cp8" localSheetId="11" hidden="1">{"'előző év december'!$A$2:$CP$214"}</definedName>
    <definedName name="_______cp8" localSheetId="12" hidden="1">{"'előző év december'!$A$2:$CP$214"}</definedName>
    <definedName name="_______cp8" localSheetId="18" hidden="1">{"'előző év december'!$A$2:$CP$214"}</definedName>
    <definedName name="_______cp8" localSheetId="19" hidden="1">{"'előző év december'!$A$2:$CP$214"}</definedName>
    <definedName name="_______cp8" hidden="1">{"'előző év december'!$A$2:$CP$214"}</definedName>
    <definedName name="_______cp9" localSheetId="31" hidden="1">{"'előző év december'!$A$2:$CP$214"}</definedName>
    <definedName name="_______cp9" localSheetId="32" hidden="1">{"'előző év december'!$A$2:$CP$214"}</definedName>
    <definedName name="_______cp9" localSheetId="11" hidden="1">{"'előző év december'!$A$2:$CP$214"}</definedName>
    <definedName name="_______cp9" localSheetId="12" hidden="1">{"'előző év december'!$A$2:$CP$214"}</definedName>
    <definedName name="_______cp9" localSheetId="18" hidden="1">{"'előző év december'!$A$2:$CP$214"}</definedName>
    <definedName name="_______cp9" localSheetId="19" hidden="1">{"'előző év december'!$A$2:$CP$214"}</definedName>
    <definedName name="_______cp9" hidden="1">{"'előző év december'!$A$2:$CP$214"}</definedName>
    <definedName name="_______cpr2" localSheetId="31" hidden="1">{"'előző év december'!$A$2:$CP$214"}</definedName>
    <definedName name="_______cpr2" localSheetId="32" hidden="1">{"'előző év december'!$A$2:$CP$214"}</definedName>
    <definedName name="_______cpr2" localSheetId="11" hidden="1">{"'előző év december'!$A$2:$CP$214"}</definedName>
    <definedName name="_______cpr2" localSheetId="12" hidden="1">{"'előző év december'!$A$2:$CP$214"}</definedName>
    <definedName name="_______cpr2" localSheetId="18" hidden="1">{"'előző év december'!$A$2:$CP$214"}</definedName>
    <definedName name="_______cpr2" localSheetId="19" hidden="1">{"'előző év december'!$A$2:$CP$214"}</definedName>
    <definedName name="_______cpr2" hidden="1">{"'előző év december'!$A$2:$CP$214"}</definedName>
    <definedName name="_______cpr3" localSheetId="31" hidden="1">{"'előző év december'!$A$2:$CP$214"}</definedName>
    <definedName name="_______cpr3" localSheetId="32" hidden="1">{"'előző év december'!$A$2:$CP$214"}</definedName>
    <definedName name="_______cpr3" localSheetId="11" hidden="1">{"'előző év december'!$A$2:$CP$214"}</definedName>
    <definedName name="_______cpr3" localSheetId="12" hidden="1">{"'előző év december'!$A$2:$CP$214"}</definedName>
    <definedName name="_______cpr3" localSheetId="18" hidden="1">{"'előző év december'!$A$2:$CP$214"}</definedName>
    <definedName name="_______cpr3" localSheetId="19" hidden="1">{"'előző év december'!$A$2:$CP$214"}</definedName>
    <definedName name="_______cpr3" hidden="1">{"'előző év december'!$A$2:$CP$214"}</definedName>
    <definedName name="_______cpr4" localSheetId="31" hidden="1">{"'előző év december'!$A$2:$CP$214"}</definedName>
    <definedName name="_______cpr4" localSheetId="32" hidden="1">{"'előző év december'!$A$2:$CP$214"}</definedName>
    <definedName name="_______cpr4" localSheetId="11" hidden="1">{"'előző év december'!$A$2:$CP$214"}</definedName>
    <definedName name="_______cpr4" localSheetId="12" hidden="1">{"'előző év december'!$A$2:$CP$214"}</definedName>
    <definedName name="_______cpr4" localSheetId="18" hidden="1">{"'előző év december'!$A$2:$CP$214"}</definedName>
    <definedName name="_______cpr4" localSheetId="19" hidden="1">{"'előző év december'!$A$2:$CP$214"}</definedName>
    <definedName name="_______cpr4" hidden="1">{"'előző év december'!$A$2:$CP$214"}</definedName>
    <definedName name="______cp1" localSheetId="31" hidden="1">{"'előző év december'!$A$2:$CP$214"}</definedName>
    <definedName name="______cp1" localSheetId="32" hidden="1">{"'előző év december'!$A$2:$CP$214"}</definedName>
    <definedName name="______cp1" localSheetId="11" hidden="1">{"'előző év december'!$A$2:$CP$214"}</definedName>
    <definedName name="______cp1" localSheetId="12" hidden="1">{"'előző év december'!$A$2:$CP$214"}</definedName>
    <definedName name="______cp1" localSheetId="18" hidden="1">{"'előző év december'!$A$2:$CP$214"}</definedName>
    <definedName name="______cp1" localSheetId="19" hidden="1">{"'előző év december'!$A$2:$CP$214"}</definedName>
    <definedName name="______cp1" hidden="1">{"'előző év december'!$A$2:$CP$214"}</definedName>
    <definedName name="______cp10" localSheetId="31" hidden="1">{"'előző év december'!$A$2:$CP$214"}</definedName>
    <definedName name="______cp10" localSheetId="32" hidden="1">{"'előző év december'!$A$2:$CP$214"}</definedName>
    <definedName name="______cp10" localSheetId="11" hidden="1">{"'előző év december'!$A$2:$CP$214"}</definedName>
    <definedName name="______cp10" localSheetId="12" hidden="1">{"'előző év december'!$A$2:$CP$214"}</definedName>
    <definedName name="______cp10" localSheetId="18" hidden="1">{"'előző év december'!$A$2:$CP$214"}</definedName>
    <definedName name="______cp10" localSheetId="19" hidden="1">{"'előző év december'!$A$2:$CP$214"}</definedName>
    <definedName name="______cp10" hidden="1">{"'előző év december'!$A$2:$CP$214"}</definedName>
    <definedName name="______cp11" localSheetId="31" hidden="1">{"'előző év december'!$A$2:$CP$214"}</definedName>
    <definedName name="______cp11" localSheetId="32" hidden="1">{"'előző év december'!$A$2:$CP$214"}</definedName>
    <definedName name="______cp11" localSheetId="11" hidden="1">{"'előző év december'!$A$2:$CP$214"}</definedName>
    <definedName name="______cp11" localSheetId="12" hidden="1">{"'előző év december'!$A$2:$CP$214"}</definedName>
    <definedName name="______cp11" localSheetId="18" hidden="1">{"'előző év december'!$A$2:$CP$214"}</definedName>
    <definedName name="______cp11" localSheetId="19" hidden="1">{"'előző év december'!$A$2:$CP$214"}</definedName>
    <definedName name="______cp11" hidden="1">{"'előző év december'!$A$2:$CP$214"}</definedName>
    <definedName name="______cp2" localSheetId="31" hidden="1">{"'előző év december'!$A$2:$CP$214"}</definedName>
    <definedName name="______cp2" localSheetId="32" hidden="1">{"'előző év december'!$A$2:$CP$214"}</definedName>
    <definedName name="______cp2" localSheetId="11" hidden="1">{"'előző év december'!$A$2:$CP$214"}</definedName>
    <definedName name="______cp2" localSheetId="12" hidden="1">{"'előző év december'!$A$2:$CP$214"}</definedName>
    <definedName name="______cp2" localSheetId="18" hidden="1">{"'előző év december'!$A$2:$CP$214"}</definedName>
    <definedName name="______cp2" localSheetId="19" hidden="1">{"'előző év december'!$A$2:$CP$214"}</definedName>
    <definedName name="______cp2" hidden="1">{"'előző év december'!$A$2:$CP$214"}</definedName>
    <definedName name="______cp3" localSheetId="31" hidden="1">{"'előző év december'!$A$2:$CP$214"}</definedName>
    <definedName name="______cp3" localSheetId="32" hidden="1">{"'előző év december'!$A$2:$CP$214"}</definedName>
    <definedName name="______cp3" localSheetId="11" hidden="1">{"'előző év december'!$A$2:$CP$214"}</definedName>
    <definedName name="______cp3" localSheetId="12" hidden="1">{"'előző év december'!$A$2:$CP$214"}</definedName>
    <definedName name="______cp3" localSheetId="18" hidden="1">{"'előző év december'!$A$2:$CP$214"}</definedName>
    <definedName name="______cp3" localSheetId="19" hidden="1">{"'előző év december'!$A$2:$CP$214"}</definedName>
    <definedName name="______cp3" hidden="1">{"'előző év december'!$A$2:$CP$214"}</definedName>
    <definedName name="______cp4" localSheetId="31" hidden="1">{"'előző év december'!$A$2:$CP$214"}</definedName>
    <definedName name="______cp4" localSheetId="32" hidden="1">{"'előző év december'!$A$2:$CP$214"}</definedName>
    <definedName name="______cp4" localSheetId="11" hidden="1">{"'előző év december'!$A$2:$CP$214"}</definedName>
    <definedName name="______cp4" localSheetId="12" hidden="1">{"'előző év december'!$A$2:$CP$214"}</definedName>
    <definedName name="______cp4" localSheetId="18" hidden="1">{"'előző év december'!$A$2:$CP$214"}</definedName>
    <definedName name="______cp4" localSheetId="19" hidden="1">{"'előző év december'!$A$2:$CP$214"}</definedName>
    <definedName name="______cp4" hidden="1">{"'előző év december'!$A$2:$CP$214"}</definedName>
    <definedName name="______cp5" localSheetId="31" hidden="1">{"'előző év december'!$A$2:$CP$214"}</definedName>
    <definedName name="______cp5" localSheetId="32" hidden="1">{"'előző év december'!$A$2:$CP$214"}</definedName>
    <definedName name="______cp5" localSheetId="11" hidden="1">{"'előző év december'!$A$2:$CP$214"}</definedName>
    <definedName name="______cp5" localSheetId="12" hidden="1">{"'előző év december'!$A$2:$CP$214"}</definedName>
    <definedName name="______cp5" localSheetId="18" hidden="1">{"'előző év december'!$A$2:$CP$214"}</definedName>
    <definedName name="______cp5" localSheetId="19" hidden="1">{"'előző év december'!$A$2:$CP$214"}</definedName>
    <definedName name="______cp5" hidden="1">{"'előző év december'!$A$2:$CP$214"}</definedName>
    <definedName name="______cp6" localSheetId="31" hidden="1">{"'előző év december'!$A$2:$CP$214"}</definedName>
    <definedName name="______cp6" localSheetId="32" hidden="1">{"'előző év december'!$A$2:$CP$214"}</definedName>
    <definedName name="______cp6" localSheetId="11" hidden="1">{"'előző év december'!$A$2:$CP$214"}</definedName>
    <definedName name="______cp6" localSheetId="12" hidden="1">{"'előző év december'!$A$2:$CP$214"}</definedName>
    <definedName name="______cp6" localSheetId="18" hidden="1">{"'előző év december'!$A$2:$CP$214"}</definedName>
    <definedName name="______cp6" localSheetId="19" hidden="1">{"'előző év december'!$A$2:$CP$214"}</definedName>
    <definedName name="______cp6" hidden="1">{"'előző év december'!$A$2:$CP$214"}</definedName>
    <definedName name="______cp7" localSheetId="31" hidden="1">{"'előző év december'!$A$2:$CP$214"}</definedName>
    <definedName name="______cp7" localSheetId="32" hidden="1">{"'előző év december'!$A$2:$CP$214"}</definedName>
    <definedName name="______cp7" localSheetId="11" hidden="1">{"'előző év december'!$A$2:$CP$214"}</definedName>
    <definedName name="______cp7" localSheetId="12" hidden="1">{"'előző év december'!$A$2:$CP$214"}</definedName>
    <definedName name="______cp7" localSheetId="18" hidden="1">{"'előző év december'!$A$2:$CP$214"}</definedName>
    <definedName name="______cp7" localSheetId="19" hidden="1">{"'előző év december'!$A$2:$CP$214"}</definedName>
    <definedName name="______cp7" hidden="1">{"'előző év december'!$A$2:$CP$214"}</definedName>
    <definedName name="______cp8" localSheetId="31" hidden="1">{"'előző év december'!$A$2:$CP$214"}</definedName>
    <definedName name="______cp8" localSheetId="32" hidden="1">{"'előző év december'!$A$2:$CP$214"}</definedName>
    <definedName name="______cp8" localSheetId="11" hidden="1">{"'előző év december'!$A$2:$CP$214"}</definedName>
    <definedName name="______cp8" localSheetId="12" hidden="1">{"'előző év december'!$A$2:$CP$214"}</definedName>
    <definedName name="______cp8" localSheetId="18" hidden="1">{"'előző év december'!$A$2:$CP$214"}</definedName>
    <definedName name="______cp8" localSheetId="19" hidden="1">{"'előző év december'!$A$2:$CP$214"}</definedName>
    <definedName name="______cp8" hidden="1">{"'előző év december'!$A$2:$CP$214"}</definedName>
    <definedName name="______cp9" localSheetId="31" hidden="1">{"'előző év december'!$A$2:$CP$214"}</definedName>
    <definedName name="______cp9" localSheetId="32" hidden="1">{"'előző év december'!$A$2:$CP$214"}</definedName>
    <definedName name="______cp9" localSheetId="11" hidden="1">{"'előző év december'!$A$2:$CP$214"}</definedName>
    <definedName name="______cp9" localSheetId="12" hidden="1">{"'előző év december'!$A$2:$CP$214"}</definedName>
    <definedName name="______cp9" localSheetId="18" hidden="1">{"'előző év december'!$A$2:$CP$214"}</definedName>
    <definedName name="______cp9" localSheetId="19" hidden="1">{"'előző év december'!$A$2:$CP$214"}</definedName>
    <definedName name="______cp9" hidden="1">{"'előző év december'!$A$2:$CP$214"}</definedName>
    <definedName name="______cpr2" localSheetId="31" hidden="1">{"'előző év december'!$A$2:$CP$214"}</definedName>
    <definedName name="______cpr2" localSheetId="32" hidden="1">{"'előző év december'!$A$2:$CP$214"}</definedName>
    <definedName name="______cpr2" localSheetId="11" hidden="1">{"'előző év december'!$A$2:$CP$214"}</definedName>
    <definedName name="______cpr2" localSheetId="12" hidden="1">{"'előző év december'!$A$2:$CP$214"}</definedName>
    <definedName name="______cpr2" localSheetId="18" hidden="1">{"'előző év december'!$A$2:$CP$214"}</definedName>
    <definedName name="______cpr2" localSheetId="19" hidden="1">{"'előző év december'!$A$2:$CP$214"}</definedName>
    <definedName name="______cpr2" hidden="1">{"'előző év december'!$A$2:$CP$214"}</definedName>
    <definedName name="______cpr3" localSheetId="31" hidden="1">{"'előző év december'!$A$2:$CP$214"}</definedName>
    <definedName name="______cpr3" localSheetId="32" hidden="1">{"'előző év december'!$A$2:$CP$214"}</definedName>
    <definedName name="______cpr3" localSheetId="11" hidden="1">{"'előző év december'!$A$2:$CP$214"}</definedName>
    <definedName name="______cpr3" localSheetId="12" hidden="1">{"'előző év december'!$A$2:$CP$214"}</definedName>
    <definedName name="______cpr3" localSheetId="18" hidden="1">{"'előző év december'!$A$2:$CP$214"}</definedName>
    <definedName name="______cpr3" localSheetId="19" hidden="1">{"'előző év december'!$A$2:$CP$214"}</definedName>
    <definedName name="______cpr3" hidden="1">{"'előző év december'!$A$2:$CP$214"}</definedName>
    <definedName name="______cpr4" localSheetId="31" hidden="1">{"'előző év december'!$A$2:$CP$214"}</definedName>
    <definedName name="______cpr4" localSheetId="32" hidden="1">{"'előző év december'!$A$2:$CP$214"}</definedName>
    <definedName name="______cpr4" localSheetId="11" hidden="1">{"'előző év december'!$A$2:$CP$214"}</definedName>
    <definedName name="______cpr4" localSheetId="12" hidden="1">{"'előző év december'!$A$2:$CP$214"}</definedName>
    <definedName name="______cpr4" localSheetId="18" hidden="1">{"'előző év december'!$A$2:$CP$214"}</definedName>
    <definedName name="______cpr4" localSheetId="19" hidden="1">{"'előző év december'!$A$2:$CP$214"}</definedName>
    <definedName name="______cpr4" hidden="1">{"'előző év december'!$A$2:$CP$214"}</definedName>
    <definedName name="______t04" localSheetId="31" hidden="1">{#N/A,#N/A,FALSE,"т04"}</definedName>
    <definedName name="______t04" localSheetId="32" hidden="1">{#N/A,#N/A,FALSE,"т04"}</definedName>
    <definedName name="______t04" localSheetId="11" hidden="1">{#N/A,#N/A,FALSE,"т04"}</definedName>
    <definedName name="______t04" localSheetId="12" hidden="1">{#N/A,#N/A,FALSE,"т04"}</definedName>
    <definedName name="______t04" localSheetId="18" hidden="1">{#N/A,#N/A,FALSE,"т04"}</definedName>
    <definedName name="______t04" localSheetId="19" hidden="1">{#N/A,#N/A,FALSE,"т04"}</definedName>
    <definedName name="______t04" hidden="1">{#N/A,#N/A,FALSE,"т04"}</definedName>
    <definedName name="______t06" localSheetId="31" hidden="1">{#N/A,#N/A,FALSE,"т04"}</definedName>
    <definedName name="______t06" localSheetId="32" hidden="1">{#N/A,#N/A,FALSE,"т04"}</definedName>
    <definedName name="______t06" localSheetId="11" hidden="1">{#N/A,#N/A,FALSE,"т04"}</definedName>
    <definedName name="______t06" localSheetId="12" hidden="1">{#N/A,#N/A,FALSE,"т04"}</definedName>
    <definedName name="______t06" localSheetId="18" hidden="1">{#N/A,#N/A,FALSE,"т04"}</definedName>
    <definedName name="______t06" localSheetId="19" hidden="1">{#N/A,#N/A,FALSE,"т04"}</definedName>
    <definedName name="______t06" hidden="1">{#N/A,#N/A,FALSE,"т04"}</definedName>
    <definedName name="_____cp1" localSheetId="31" hidden="1">{"'előző év december'!$A$2:$CP$214"}</definedName>
    <definedName name="_____cp1" localSheetId="32" hidden="1">{"'előző év december'!$A$2:$CP$214"}</definedName>
    <definedName name="_____cp1" localSheetId="11" hidden="1">{"'előző év december'!$A$2:$CP$214"}</definedName>
    <definedName name="_____cp1" localSheetId="12" hidden="1">{"'előző év december'!$A$2:$CP$214"}</definedName>
    <definedName name="_____cp1" localSheetId="18" hidden="1">{"'előző év december'!$A$2:$CP$214"}</definedName>
    <definedName name="_____cp1" localSheetId="19" hidden="1">{"'előző év december'!$A$2:$CP$214"}</definedName>
    <definedName name="_____cp1" hidden="1">{"'előző év december'!$A$2:$CP$214"}</definedName>
    <definedName name="_____cp10" localSheetId="31" hidden="1">{"'előző év december'!$A$2:$CP$214"}</definedName>
    <definedName name="_____cp10" localSheetId="32" hidden="1">{"'előző év december'!$A$2:$CP$214"}</definedName>
    <definedName name="_____cp10" localSheetId="11" hidden="1">{"'előző év december'!$A$2:$CP$214"}</definedName>
    <definedName name="_____cp10" localSheetId="12" hidden="1">{"'előző év december'!$A$2:$CP$214"}</definedName>
    <definedName name="_____cp10" localSheetId="18" hidden="1">{"'előző év december'!$A$2:$CP$214"}</definedName>
    <definedName name="_____cp10" localSheetId="19" hidden="1">{"'előző év december'!$A$2:$CP$214"}</definedName>
    <definedName name="_____cp10" hidden="1">{"'előző év december'!$A$2:$CP$214"}</definedName>
    <definedName name="_____cp11" localSheetId="31" hidden="1">{"'előző év december'!$A$2:$CP$214"}</definedName>
    <definedName name="_____cp11" localSheetId="32" hidden="1">{"'előző év december'!$A$2:$CP$214"}</definedName>
    <definedName name="_____cp11" localSheetId="11" hidden="1">{"'előző év december'!$A$2:$CP$214"}</definedName>
    <definedName name="_____cp11" localSheetId="12" hidden="1">{"'előző év december'!$A$2:$CP$214"}</definedName>
    <definedName name="_____cp11" localSheetId="18" hidden="1">{"'előző év december'!$A$2:$CP$214"}</definedName>
    <definedName name="_____cp11" localSheetId="19" hidden="1">{"'előző év december'!$A$2:$CP$214"}</definedName>
    <definedName name="_____cp11" hidden="1">{"'előző év december'!$A$2:$CP$214"}</definedName>
    <definedName name="_____cp2" localSheetId="31" hidden="1">{"'előző év december'!$A$2:$CP$214"}</definedName>
    <definedName name="_____cp2" localSheetId="32" hidden="1">{"'előző év december'!$A$2:$CP$214"}</definedName>
    <definedName name="_____cp2" localSheetId="11" hidden="1">{"'előző év december'!$A$2:$CP$214"}</definedName>
    <definedName name="_____cp2" localSheetId="12" hidden="1">{"'előző év december'!$A$2:$CP$214"}</definedName>
    <definedName name="_____cp2" localSheetId="18" hidden="1">{"'előző év december'!$A$2:$CP$214"}</definedName>
    <definedName name="_____cp2" localSheetId="19" hidden="1">{"'előző év december'!$A$2:$CP$214"}</definedName>
    <definedName name="_____cp2" hidden="1">{"'előző év december'!$A$2:$CP$214"}</definedName>
    <definedName name="_____cp3" localSheetId="31" hidden="1">{"'előző év december'!$A$2:$CP$214"}</definedName>
    <definedName name="_____cp3" localSheetId="32" hidden="1">{"'előző év december'!$A$2:$CP$214"}</definedName>
    <definedName name="_____cp3" localSheetId="11" hidden="1">{"'előző év december'!$A$2:$CP$214"}</definedName>
    <definedName name="_____cp3" localSheetId="12" hidden="1">{"'előző év december'!$A$2:$CP$214"}</definedName>
    <definedName name="_____cp3" localSheetId="18" hidden="1">{"'előző év december'!$A$2:$CP$214"}</definedName>
    <definedName name="_____cp3" localSheetId="19" hidden="1">{"'előző év december'!$A$2:$CP$214"}</definedName>
    <definedName name="_____cp3" hidden="1">{"'előző év december'!$A$2:$CP$214"}</definedName>
    <definedName name="_____cp4" localSheetId="31" hidden="1">{"'előző év december'!$A$2:$CP$214"}</definedName>
    <definedName name="_____cp4" localSheetId="32" hidden="1">{"'előző év december'!$A$2:$CP$214"}</definedName>
    <definedName name="_____cp4" localSheetId="11" hidden="1">{"'előző év december'!$A$2:$CP$214"}</definedName>
    <definedName name="_____cp4" localSheetId="12" hidden="1">{"'előző év december'!$A$2:$CP$214"}</definedName>
    <definedName name="_____cp4" localSheetId="18" hidden="1">{"'előző év december'!$A$2:$CP$214"}</definedName>
    <definedName name="_____cp4" localSheetId="19" hidden="1">{"'előző év december'!$A$2:$CP$214"}</definedName>
    <definedName name="_____cp4" hidden="1">{"'előző év december'!$A$2:$CP$214"}</definedName>
    <definedName name="_____cp5" localSheetId="31" hidden="1">{"'előző év december'!$A$2:$CP$214"}</definedName>
    <definedName name="_____cp5" localSheetId="32" hidden="1">{"'előző év december'!$A$2:$CP$214"}</definedName>
    <definedName name="_____cp5" localSheetId="11" hidden="1">{"'előző év december'!$A$2:$CP$214"}</definedName>
    <definedName name="_____cp5" localSheetId="12" hidden="1">{"'előző év december'!$A$2:$CP$214"}</definedName>
    <definedName name="_____cp5" localSheetId="18" hidden="1">{"'előző év december'!$A$2:$CP$214"}</definedName>
    <definedName name="_____cp5" localSheetId="19" hidden="1">{"'előző év december'!$A$2:$CP$214"}</definedName>
    <definedName name="_____cp5" hidden="1">{"'előző év december'!$A$2:$CP$214"}</definedName>
    <definedName name="_____cp6" localSheetId="31" hidden="1">{"'előző év december'!$A$2:$CP$214"}</definedName>
    <definedName name="_____cp6" localSheetId="32" hidden="1">{"'előző év december'!$A$2:$CP$214"}</definedName>
    <definedName name="_____cp6" localSheetId="11" hidden="1">{"'előző év december'!$A$2:$CP$214"}</definedName>
    <definedName name="_____cp6" localSheetId="12" hidden="1">{"'előző év december'!$A$2:$CP$214"}</definedName>
    <definedName name="_____cp6" localSheetId="18" hidden="1">{"'előző év december'!$A$2:$CP$214"}</definedName>
    <definedName name="_____cp6" localSheetId="19" hidden="1">{"'előző év december'!$A$2:$CP$214"}</definedName>
    <definedName name="_____cp6" hidden="1">{"'előző év december'!$A$2:$CP$214"}</definedName>
    <definedName name="_____cp7" localSheetId="31" hidden="1">{"'előző év december'!$A$2:$CP$214"}</definedName>
    <definedName name="_____cp7" localSheetId="32" hidden="1">{"'előző év december'!$A$2:$CP$214"}</definedName>
    <definedName name="_____cp7" localSheetId="11" hidden="1">{"'előző év december'!$A$2:$CP$214"}</definedName>
    <definedName name="_____cp7" localSheetId="12" hidden="1">{"'előző év december'!$A$2:$CP$214"}</definedName>
    <definedName name="_____cp7" localSheetId="18" hidden="1">{"'előző év december'!$A$2:$CP$214"}</definedName>
    <definedName name="_____cp7" localSheetId="19" hidden="1">{"'előző év december'!$A$2:$CP$214"}</definedName>
    <definedName name="_____cp7" hidden="1">{"'előző év december'!$A$2:$CP$214"}</definedName>
    <definedName name="_____cp8" localSheetId="31" hidden="1">{"'előző év december'!$A$2:$CP$214"}</definedName>
    <definedName name="_____cp8" localSheetId="32" hidden="1">{"'előző év december'!$A$2:$CP$214"}</definedName>
    <definedName name="_____cp8" localSheetId="11" hidden="1">{"'előző év december'!$A$2:$CP$214"}</definedName>
    <definedName name="_____cp8" localSheetId="12" hidden="1">{"'előző év december'!$A$2:$CP$214"}</definedName>
    <definedName name="_____cp8" localSheetId="18" hidden="1">{"'előző év december'!$A$2:$CP$214"}</definedName>
    <definedName name="_____cp8" localSheetId="19" hidden="1">{"'előző év december'!$A$2:$CP$214"}</definedName>
    <definedName name="_____cp8" hidden="1">{"'előző év december'!$A$2:$CP$214"}</definedName>
    <definedName name="_____cp9" localSheetId="31" hidden="1">{"'előző év december'!$A$2:$CP$214"}</definedName>
    <definedName name="_____cp9" localSheetId="32" hidden="1">{"'előző év december'!$A$2:$CP$214"}</definedName>
    <definedName name="_____cp9" localSheetId="11" hidden="1">{"'előző év december'!$A$2:$CP$214"}</definedName>
    <definedName name="_____cp9" localSheetId="12" hidden="1">{"'előző év december'!$A$2:$CP$214"}</definedName>
    <definedName name="_____cp9" localSheetId="18" hidden="1">{"'előző év december'!$A$2:$CP$214"}</definedName>
    <definedName name="_____cp9" localSheetId="19" hidden="1">{"'előző év december'!$A$2:$CP$214"}</definedName>
    <definedName name="_____cp9" hidden="1">{"'előző év december'!$A$2:$CP$214"}</definedName>
    <definedName name="_____cpr2" localSheetId="31" hidden="1">{"'előző év december'!$A$2:$CP$214"}</definedName>
    <definedName name="_____cpr2" localSheetId="32" hidden="1">{"'előző év december'!$A$2:$CP$214"}</definedName>
    <definedName name="_____cpr2" localSheetId="11" hidden="1">{"'előző év december'!$A$2:$CP$214"}</definedName>
    <definedName name="_____cpr2" localSheetId="12" hidden="1">{"'előző év december'!$A$2:$CP$214"}</definedName>
    <definedName name="_____cpr2" localSheetId="18" hidden="1">{"'előző év december'!$A$2:$CP$214"}</definedName>
    <definedName name="_____cpr2" localSheetId="19" hidden="1">{"'előző év december'!$A$2:$CP$214"}</definedName>
    <definedName name="_____cpr2" hidden="1">{"'előző év december'!$A$2:$CP$214"}</definedName>
    <definedName name="_____cpr3" localSheetId="31" hidden="1">{"'előző év december'!$A$2:$CP$214"}</definedName>
    <definedName name="_____cpr3" localSheetId="32" hidden="1">{"'előző év december'!$A$2:$CP$214"}</definedName>
    <definedName name="_____cpr3" localSheetId="11" hidden="1">{"'előző év december'!$A$2:$CP$214"}</definedName>
    <definedName name="_____cpr3" localSheetId="12" hidden="1">{"'előző év december'!$A$2:$CP$214"}</definedName>
    <definedName name="_____cpr3" localSheetId="18" hidden="1">{"'előző év december'!$A$2:$CP$214"}</definedName>
    <definedName name="_____cpr3" localSheetId="19" hidden="1">{"'előző év december'!$A$2:$CP$214"}</definedName>
    <definedName name="_____cpr3" hidden="1">{"'előző év december'!$A$2:$CP$214"}</definedName>
    <definedName name="_____cpr4" localSheetId="31" hidden="1">{"'előző év december'!$A$2:$CP$214"}</definedName>
    <definedName name="_____cpr4" localSheetId="32" hidden="1">{"'előző év december'!$A$2:$CP$214"}</definedName>
    <definedName name="_____cpr4" localSheetId="11" hidden="1">{"'előző év december'!$A$2:$CP$214"}</definedName>
    <definedName name="_____cpr4" localSheetId="12" hidden="1">{"'előző év december'!$A$2:$CP$214"}</definedName>
    <definedName name="_____cpr4" localSheetId="18" hidden="1">{"'előző év december'!$A$2:$CP$214"}</definedName>
    <definedName name="_____cpr4" localSheetId="19" hidden="1">{"'előző év december'!$A$2:$CP$214"}</definedName>
    <definedName name="_____cpr4" hidden="1">{"'előző év december'!$A$2:$CP$214"}</definedName>
    <definedName name="_____t04" localSheetId="31" hidden="1">{#N/A,#N/A,FALSE,"т04"}</definedName>
    <definedName name="_____t04" localSheetId="32" hidden="1">{#N/A,#N/A,FALSE,"т04"}</definedName>
    <definedName name="_____t04" localSheetId="11" hidden="1">{#N/A,#N/A,FALSE,"т04"}</definedName>
    <definedName name="_____t04" localSheetId="12" hidden="1">{#N/A,#N/A,FALSE,"т04"}</definedName>
    <definedName name="_____t04" localSheetId="18" hidden="1">{#N/A,#N/A,FALSE,"т04"}</definedName>
    <definedName name="_____t04" localSheetId="19" hidden="1">{#N/A,#N/A,FALSE,"т04"}</definedName>
    <definedName name="_____t04" hidden="1">{#N/A,#N/A,FALSE,"т04"}</definedName>
    <definedName name="_____t06" localSheetId="31" hidden="1">{#N/A,#N/A,FALSE,"т04"}</definedName>
    <definedName name="_____t06" localSheetId="32" hidden="1">{#N/A,#N/A,FALSE,"т04"}</definedName>
    <definedName name="_____t06" localSheetId="11" hidden="1">{#N/A,#N/A,FALSE,"т04"}</definedName>
    <definedName name="_____t06" localSheetId="12" hidden="1">{#N/A,#N/A,FALSE,"т04"}</definedName>
    <definedName name="_____t06" localSheetId="18" hidden="1">{#N/A,#N/A,FALSE,"т04"}</definedName>
    <definedName name="_____t06" localSheetId="19" hidden="1">{#N/A,#N/A,FALSE,"т04"}</definedName>
    <definedName name="_____t06" hidden="1">{#N/A,#N/A,FALSE,"т04"}</definedName>
    <definedName name="____cp1" localSheetId="31" hidden="1">{"'előző év december'!$A$2:$CP$214"}</definedName>
    <definedName name="____cp1" localSheetId="32" hidden="1">{"'előző év december'!$A$2:$CP$214"}</definedName>
    <definedName name="____cp1" localSheetId="11" hidden="1">{"'előző év december'!$A$2:$CP$214"}</definedName>
    <definedName name="____cp1" localSheetId="12" hidden="1">{"'előző év december'!$A$2:$CP$214"}</definedName>
    <definedName name="____cp1" localSheetId="18" hidden="1">{"'előző év december'!$A$2:$CP$214"}</definedName>
    <definedName name="____cp1" localSheetId="19" hidden="1">{"'előző év december'!$A$2:$CP$214"}</definedName>
    <definedName name="____cp1" hidden="1">{"'előző év december'!$A$2:$CP$214"}</definedName>
    <definedName name="____cp10" localSheetId="31" hidden="1">{"'előző év december'!$A$2:$CP$214"}</definedName>
    <definedName name="____cp10" localSheetId="32" hidden="1">{"'előző év december'!$A$2:$CP$214"}</definedName>
    <definedName name="____cp10" localSheetId="11" hidden="1">{"'előző év december'!$A$2:$CP$214"}</definedName>
    <definedName name="____cp10" localSheetId="12" hidden="1">{"'előző év december'!$A$2:$CP$214"}</definedName>
    <definedName name="____cp10" localSheetId="18" hidden="1">{"'előző év december'!$A$2:$CP$214"}</definedName>
    <definedName name="____cp10" localSheetId="19" hidden="1">{"'előző év december'!$A$2:$CP$214"}</definedName>
    <definedName name="____cp10" hidden="1">{"'előző év december'!$A$2:$CP$214"}</definedName>
    <definedName name="____cp11" localSheetId="31" hidden="1">{"'előző év december'!$A$2:$CP$214"}</definedName>
    <definedName name="____cp11" localSheetId="32" hidden="1">{"'előző év december'!$A$2:$CP$214"}</definedName>
    <definedName name="____cp11" localSheetId="11" hidden="1">{"'előző év december'!$A$2:$CP$214"}</definedName>
    <definedName name="____cp11" localSheetId="12" hidden="1">{"'előző év december'!$A$2:$CP$214"}</definedName>
    <definedName name="____cp11" localSheetId="18" hidden="1">{"'előző év december'!$A$2:$CP$214"}</definedName>
    <definedName name="____cp11" localSheetId="19" hidden="1">{"'előző év december'!$A$2:$CP$214"}</definedName>
    <definedName name="____cp11" hidden="1">{"'előző év december'!$A$2:$CP$214"}</definedName>
    <definedName name="____cp2" localSheetId="31" hidden="1">{"'előző év december'!$A$2:$CP$214"}</definedName>
    <definedName name="____cp2" localSheetId="32" hidden="1">{"'előző év december'!$A$2:$CP$214"}</definedName>
    <definedName name="____cp2" localSheetId="11" hidden="1">{"'előző év december'!$A$2:$CP$214"}</definedName>
    <definedName name="____cp2" localSheetId="12" hidden="1">{"'előző év december'!$A$2:$CP$214"}</definedName>
    <definedName name="____cp2" localSheetId="18" hidden="1">{"'előző év december'!$A$2:$CP$214"}</definedName>
    <definedName name="____cp2" localSheetId="19" hidden="1">{"'előző év december'!$A$2:$CP$214"}</definedName>
    <definedName name="____cp2" hidden="1">{"'előző év december'!$A$2:$CP$214"}</definedName>
    <definedName name="____cp3" localSheetId="31" hidden="1">{"'előző év december'!$A$2:$CP$214"}</definedName>
    <definedName name="____cp3" localSheetId="32" hidden="1">{"'előző év december'!$A$2:$CP$214"}</definedName>
    <definedName name="____cp3" localSheetId="11" hidden="1">{"'előző év december'!$A$2:$CP$214"}</definedName>
    <definedName name="____cp3" localSheetId="12" hidden="1">{"'előző év december'!$A$2:$CP$214"}</definedName>
    <definedName name="____cp3" localSheetId="18" hidden="1">{"'előző év december'!$A$2:$CP$214"}</definedName>
    <definedName name="____cp3" localSheetId="19" hidden="1">{"'előző év december'!$A$2:$CP$214"}</definedName>
    <definedName name="____cp3" hidden="1">{"'előző év december'!$A$2:$CP$214"}</definedName>
    <definedName name="____cp4" localSheetId="31" hidden="1">{"'előző év december'!$A$2:$CP$214"}</definedName>
    <definedName name="____cp4" localSheetId="32" hidden="1">{"'előző év december'!$A$2:$CP$214"}</definedName>
    <definedName name="____cp4" localSheetId="11" hidden="1">{"'előző év december'!$A$2:$CP$214"}</definedName>
    <definedName name="____cp4" localSheetId="12" hidden="1">{"'előző év december'!$A$2:$CP$214"}</definedName>
    <definedName name="____cp4" localSheetId="18" hidden="1">{"'előző év december'!$A$2:$CP$214"}</definedName>
    <definedName name="____cp4" localSheetId="19" hidden="1">{"'előző év december'!$A$2:$CP$214"}</definedName>
    <definedName name="____cp4" hidden="1">{"'előző év december'!$A$2:$CP$214"}</definedName>
    <definedName name="____cp5" localSheetId="31" hidden="1">{"'előző év december'!$A$2:$CP$214"}</definedName>
    <definedName name="____cp5" localSheetId="32" hidden="1">{"'előző év december'!$A$2:$CP$214"}</definedName>
    <definedName name="____cp5" localSheetId="11" hidden="1">{"'előző év december'!$A$2:$CP$214"}</definedName>
    <definedName name="____cp5" localSheetId="12" hidden="1">{"'előző év december'!$A$2:$CP$214"}</definedName>
    <definedName name="____cp5" localSheetId="18" hidden="1">{"'előző év december'!$A$2:$CP$214"}</definedName>
    <definedName name="____cp5" localSheetId="19" hidden="1">{"'előző év december'!$A$2:$CP$214"}</definedName>
    <definedName name="____cp5" hidden="1">{"'előző év december'!$A$2:$CP$214"}</definedName>
    <definedName name="____cp6" localSheetId="31" hidden="1">{"'előző év december'!$A$2:$CP$214"}</definedName>
    <definedName name="____cp6" localSheetId="32" hidden="1">{"'előző év december'!$A$2:$CP$214"}</definedName>
    <definedName name="____cp6" localSheetId="11" hidden="1">{"'előző év december'!$A$2:$CP$214"}</definedName>
    <definedName name="____cp6" localSheetId="12" hidden="1">{"'előző év december'!$A$2:$CP$214"}</definedName>
    <definedName name="____cp6" localSheetId="18" hidden="1">{"'előző év december'!$A$2:$CP$214"}</definedName>
    <definedName name="____cp6" localSheetId="19" hidden="1">{"'előző év december'!$A$2:$CP$214"}</definedName>
    <definedName name="____cp6" hidden="1">{"'előző év december'!$A$2:$CP$214"}</definedName>
    <definedName name="____cp7" localSheetId="31" hidden="1">{"'előző év december'!$A$2:$CP$214"}</definedName>
    <definedName name="____cp7" localSheetId="32" hidden="1">{"'előző év december'!$A$2:$CP$214"}</definedName>
    <definedName name="____cp7" localSheetId="11" hidden="1">{"'előző év december'!$A$2:$CP$214"}</definedName>
    <definedName name="____cp7" localSheetId="12" hidden="1">{"'előző év december'!$A$2:$CP$214"}</definedName>
    <definedName name="____cp7" localSheetId="18" hidden="1">{"'előző év december'!$A$2:$CP$214"}</definedName>
    <definedName name="____cp7" localSheetId="19" hidden="1">{"'előző év december'!$A$2:$CP$214"}</definedName>
    <definedName name="____cp7" hidden="1">{"'előző év december'!$A$2:$CP$214"}</definedName>
    <definedName name="____cp8" localSheetId="31" hidden="1">{"'előző év december'!$A$2:$CP$214"}</definedName>
    <definedName name="____cp8" localSheetId="32" hidden="1">{"'előző év december'!$A$2:$CP$214"}</definedName>
    <definedName name="____cp8" localSheetId="11" hidden="1">{"'előző év december'!$A$2:$CP$214"}</definedName>
    <definedName name="____cp8" localSheetId="12" hidden="1">{"'előző év december'!$A$2:$CP$214"}</definedName>
    <definedName name="____cp8" localSheetId="18" hidden="1">{"'előző év december'!$A$2:$CP$214"}</definedName>
    <definedName name="____cp8" localSheetId="19" hidden="1">{"'előző év december'!$A$2:$CP$214"}</definedName>
    <definedName name="____cp8" hidden="1">{"'előző év december'!$A$2:$CP$214"}</definedName>
    <definedName name="____cp9" localSheetId="31" hidden="1">{"'előző év december'!$A$2:$CP$214"}</definedName>
    <definedName name="____cp9" localSheetId="32" hidden="1">{"'előző év december'!$A$2:$CP$214"}</definedName>
    <definedName name="____cp9" localSheetId="11" hidden="1">{"'előző év december'!$A$2:$CP$214"}</definedName>
    <definedName name="____cp9" localSheetId="12" hidden="1">{"'előző év december'!$A$2:$CP$214"}</definedName>
    <definedName name="____cp9" localSheetId="18" hidden="1">{"'előző év december'!$A$2:$CP$214"}</definedName>
    <definedName name="____cp9" localSheetId="19" hidden="1">{"'előző év december'!$A$2:$CP$214"}</definedName>
    <definedName name="____cp9" hidden="1">{"'előző év december'!$A$2:$CP$214"}</definedName>
    <definedName name="____cpr2" localSheetId="31" hidden="1">{"'előző év december'!$A$2:$CP$214"}</definedName>
    <definedName name="____cpr2" localSheetId="32" hidden="1">{"'előző év december'!$A$2:$CP$214"}</definedName>
    <definedName name="____cpr2" localSheetId="11" hidden="1">{"'előző év december'!$A$2:$CP$214"}</definedName>
    <definedName name="____cpr2" localSheetId="12" hidden="1">{"'előző év december'!$A$2:$CP$214"}</definedName>
    <definedName name="____cpr2" localSheetId="18" hidden="1">{"'előző év december'!$A$2:$CP$214"}</definedName>
    <definedName name="____cpr2" localSheetId="19" hidden="1">{"'előző év december'!$A$2:$CP$214"}</definedName>
    <definedName name="____cpr2" hidden="1">{"'előző év december'!$A$2:$CP$214"}</definedName>
    <definedName name="____cpr3" localSheetId="31" hidden="1">{"'előző év december'!$A$2:$CP$214"}</definedName>
    <definedName name="____cpr3" localSheetId="32" hidden="1">{"'előző év december'!$A$2:$CP$214"}</definedName>
    <definedName name="____cpr3" localSheetId="11" hidden="1">{"'előző év december'!$A$2:$CP$214"}</definedName>
    <definedName name="____cpr3" localSheetId="12" hidden="1">{"'előző év december'!$A$2:$CP$214"}</definedName>
    <definedName name="____cpr3" localSheetId="18" hidden="1">{"'előző év december'!$A$2:$CP$214"}</definedName>
    <definedName name="____cpr3" localSheetId="19" hidden="1">{"'előző év december'!$A$2:$CP$214"}</definedName>
    <definedName name="____cpr3" hidden="1">{"'előző év december'!$A$2:$CP$214"}</definedName>
    <definedName name="____cpr4" localSheetId="31" hidden="1">{"'előző év december'!$A$2:$CP$214"}</definedName>
    <definedName name="____cpr4" localSheetId="32" hidden="1">{"'előző év december'!$A$2:$CP$214"}</definedName>
    <definedName name="____cpr4" localSheetId="11" hidden="1">{"'előző év december'!$A$2:$CP$214"}</definedName>
    <definedName name="____cpr4" localSheetId="12" hidden="1">{"'előző év december'!$A$2:$CP$214"}</definedName>
    <definedName name="____cpr4" localSheetId="18" hidden="1">{"'előző év december'!$A$2:$CP$214"}</definedName>
    <definedName name="____cpr4" localSheetId="19" hidden="1">{"'előző év december'!$A$2:$CP$214"}</definedName>
    <definedName name="____cpr4" hidden="1">{"'előző év december'!$A$2:$CP$214"}</definedName>
    <definedName name="____t04" localSheetId="31" hidden="1">{#N/A,#N/A,FALSE,"т04"}</definedName>
    <definedName name="____t04" localSheetId="32" hidden="1">{#N/A,#N/A,FALSE,"т04"}</definedName>
    <definedName name="____t04" localSheetId="11" hidden="1">{#N/A,#N/A,FALSE,"т04"}</definedName>
    <definedName name="____t04" localSheetId="12" hidden="1">{#N/A,#N/A,FALSE,"т04"}</definedName>
    <definedName name="____t04" localSheetId="18" hidden="1">{#N/A,#N/A,FALSE,"т04"}</definedName>
    <definedName name="____t04" localSheetId="19" hidden="1">{#N/A,#N/A,FALSE,"т04"}</definedName>
    <definedName name="____t04" hidden="1">{#N/A,#N/A,FALSE,"т04"}</definedName>
    <definedName name="____t06" localSheetId="31" hidden="1">{#N/A,#N/A,FALSE,"т04"}</definedName>
    <definedName name="____t06" localSheetId="32" hidden="1">{#N/A,#N/A,FALSE,"т04"}</definedName>
    <definedName name="____t06" localSheetId="11" hidden="1">{#N/A,#N/A,FALSE,"т04"}</definedName>
    <definedName name="____t06" localSheetId="12" hidden="1">{#N/A,#N/A,FALSE,"т04"}</definedName>
    <definedName name="____t06" localSheetId="18" hidden="1">{#N/A,#N/A,FALSE,"т04"}</definedName>
    <definedName name="____t06" localSheetId="19" hidden="1">{#N/A,#N/A,FALSE,"т04"}</definedName>
    <definedName name="____t06" hidden="1">{#N/A,#N/A,FALSE,"т04"}</definedName>
    <definedName name="___cp1" localSheetId="31" hidden="1">{"'előző év december'!$A$2:$CP$214"}</definedName>
    <definedName name="___cp1" localSheetId="32" hidden="1">{"'előző év december'!$A$2:$CP$214"}</definedName>
    <definedName name="___cp1" localSheetId="11" hidden="1">{"'előző év december'!$A$2:$CP$214"}</definedName>
    <definedName name="___cp1" localSheetId="12" hidden="1">{"'előző év december'!$A$2:$CP$214"}</definedName>
    <definedName name="___cp1" localSheetId="18" hidden="1">{"'előző év december'!$A$2:$CP$214"}</definedName>
    <definedName name="___cp1" localSheetId="19" hidden="1">{"'előző év december'!$A$2:$CP$214"}</definedName>
    <definedName name="___cp1" hidden="1">{"'előző év december'!$A$2:$CP$214"}</definedName>
    <definedName name="___cp10" localSheetId="31" hidden="1">{"'előző év december'!$A$2:$CP$214"}</definedName>
    <definedName name="___cp10" localSheetId="32" hidden="1">{"'előző év december'!$A$2:$CP$214"}</definedName>
    <definedName name="___cp10" localSheetId="11" hidden="1">{"'előző év december'!$A$2:$CP$214"}</definedName>
    <definedName name="___cp10" localSheetId="12" hidden="1">{"'előző év december'!$A$2:$CP$214"}</definedName>
    <definedName name="___cp10" localSheetId="18" hidden="1">{"'előző év december'!$A$2:$CP$214"}</definedName>
    <definedName name="___cp10" localSheetId="19" hidden="1">{"'előző év december'!$A$2:$CP$214"}</definedName>
    <definedName name="___cp10" hidden="1">{"'előző év december'!$A$2:$CP$214"}</definedName>
    <definedName name="___cp11" localSheetId="31" hidden="1">{"'előző év december'!$A$2:$CP$214"}</definedName>
    <definedName name="___cp11" localSheetId="32" hidden="1">{"'előző év december'!$A$2:$CP$214"}</definedName>
    <definedName name="___cp11" localSheetId="11" hidden="1">{"'előző év december'!$A$2:$CP$214"}</definedName>
    <definedName name="___cp11" localSheetId="12" hidden="1">{"'előző év december'!$A$2:$CP$214"}</definedName>
    <definedName name="___cp11" localSheetId="18" hidden="1">{"'előző év december'!$A$2:$CP$214"}</definedName>
    <definedName name="___cp11" localSheetId="19" hidden="1">{"'előző év december'!$A$2:$CP$214"}</definedName>
    <definedName name="___cp11" hidden="1">{"'előző év december'!$A$2:$CP$214"}</definedName>
    <definedName name="___cp2" localSheetId="31" hidden="1">{"'előző év december'!$A$2:$CP$214"}</definedName>
    <definedName name="___cp2" localSheetId="32" hidden="1">{"'előző év december'!$A$2:$CP$214"}</definedName>
    <definedName name="___cp2" localSheetId="11" hidden="1">{"'előző év december'!$A$2:$CP$214"}</definedName>
    <definedName name="___cp2" localSheetId="12" hidden="1">{"'előző év december'!$A$2:$CP$214"}</definedName>
    <definedName name="___cp2" localSheetId="18" hidden="1">{"'előző év december'!$A$2:$CP$214"}</definedName>
    <definedName name="___cp2" localSheetId="19" hidden="1">{"'előző év december'!$A$2:$CP$214"}</definedName>
    <definedName name="___cp2" hidden="1">{"'előző év december'!$A$2:$CP$214"}</definedName>
    <definedName name="___cp3" localSheetId="31" hidden="1">{"'előző év december'!$A$2:$CP$214"}</definedName>
    <definedName name="___cp3" localSheetId="32" hidden="1">{"'előző év december'!$A$2:$CP$214"}</definedName>
    <definedName name="___cp3" localSheetId="11" hidden="1">{"'előző év december'!$A$2:$CP$214"}</definedName>
    <definedName name="___cp3" localSheetId="12" hidden="1">{"'előző év december'!$A$2:$CP$214"}</definedName>
    <definedName name="___cp3" localSheetId="18" hidden="1">{"'előző év december'!$A$2:$CP$214"}</definedName>
    <definedName name="___cp3" localSheetId="19" hidden="1">{"'előző év december'!$A$2:$CP$214"}</definedName>
    <definedName name="___cp3" hidden="1">{"'előző év december'!$A$2:$CP$214"}</definedName>
    <definedName name="___cp4" localSheetId="31" hidden="1">{"'előző év december'!$A$2:$CP$214"}</definedName>
    <definedName name="___cp4" localSheetId="32" hidden="1">{"'előző év december'!$A$2:$CP$214"}</definedName>
    <definedName name="___cp4" localSheetId="11" hidden="1">{"'előző év december'!$A$2:$CP$214"}</definedName>
    <definedName name="___cp4" localSheetId="12" hidden="1">{"'előző év december'!$A$2:$CP$214"}</definedName>
    <definedName name="___cp4" localSheetId="18" hidden="1">{"'előző év december'!$A$2:$CP$214"}</definedName>
    <definedName name="___cp4" localSheetId="19" hidden="1">{"'előző év december'!$A$2:$CP$214"}</definedName>
    <definedName name="___cp4" hidden="1">{"'előző év december'!$A$2:$CP$214"}</definedName>
    <definedName name="___cp5" localSheetId="31" hidden="1">{"'előző év december'!$A$2:$CP$214"}</definedName>
    <definedName name="___cp5" localSheetId="32" hidden="1">{"'előző év december'!$A$2:$CP$214"}</definedName>
    <definedName name="___cp5" localSheetId="11" hidden="1">{"'előző év december'!$A$2:$CP$214"}</definedName>
    <definedName name="___cp5" localSheetId="12" hidden="1">{"'előző év december'!$A$2:$CP$214"}</definedName>
    <definedName name="___cp5" localSheetId="18" hidden="1">{"'előző év december'!$A$2:$CP$214"}</definedName>
    <definedName name="___cp5" localSheetId="19" hidden="1">{"'előző év december'!$A$2:$CP$214"}</definedName>
    <definedName name="___cp5" hidden="1">{"'előző év december'!$A$2:$CP$214"}</definedName>
    <definedName name="___cp6" localSheetId="31" hidden="1">{"'előző év december'!$A$2:$CP$214"}</definedName>
    <definedName name="___cp6" localSheetId="32" hidden="1">{"'előző év december'!$A$2:$CP$214"}</definedName>
    <definedName name="___cp6" localSheetId="11" hidden="1">{"'előző év december'!$A$2:$CP$214"}</definedName>
    <definedName name="___cp6" localSheetId="12" hidden="1">{"'előző év december'!$A$2:$CP$214"}</definedName>
    <definedName name="___cp6" localSheetId="18" hidden="1">{"'előző év december'!$A$2:$CP$214"}</definedName>
    <definedName name="___cp6" localSheetId="19" hidden="1">{"'előző év december'!$A$2:$CP$214"}</definedName>
    <definedName name="___cp6" hidden="1">{"'előző év december'!$A$2:$CP$214"}</definedName>
    <definedName name="___cp7" localSheetId="31" hidden="1">{"'előző év december'!$A$2:$CP$214"}</definedName>
    <definedName name="___cp7" localSheetId="32" hidden="1">{"'előző év december'!$A$2:$CP$214"}</definedName>
    <definedName name="___cp7" localSheetId="11" hidden="1">{"'előző év december'!$A$2:$CP$214"}</definedName>
    <definedName name="___cp7" localSheetId="12" hidden="1">{"'előző év december'!$A$2:$CP$214"}</definedName>
    <definedName name="___cp7" localSheetId="18" hidden="1">{"'előző év december'!$A$2:$CP$214"}</definedName>
    <definedName name="___cp7" localSheetId="19" hidden="1">{"'előző év december'!$A$2:$CP$214"}</definedName>
    <definedName name="___cp7" hidden="1">{"'előző év december'!$A$2:$CP$214"}</definedName>
    <definedName name="___cp8" localSheetId="31" hidden="1">{"'előző év december'!$A$2:$CP$214"}</definedName>
    <definedName name="___cp8" localSheetId="32" hidden="1">{"'előző év december'!$A$2:$CP$214"}</definedName>
    <definedName name="___cp8" localSheetId="11" hidden="1">{"'előző év december'!$A$2:$CP$214"}</definedName>
    <definedName name="___cp8" localSheetId="12" hidden="1">{"'előző év december'!$A$2:$CP$214"}</definedName>
    <definedName name="___cp8" localSheetId="18" hidden="1">{"'előző év december'!$A$2:$CP$214"}</definedName>
    <definedName name="___cp8" localSheetId="19" hidden="1">{"'előző év december'!$A$2:$CP$214"}</definedName>
    <definedName name="___cp8" hidden="1">{"'előző év december'!$A$2:$CP$214"}</definedName>
    <definedName name="___cp9" localSheetId="31" hidden="1">{"'előző év december'!$A$2:$CP$214"}</definedName>
    <definedName name="___cp9" localSheetId="32" hidden="1">{"'előző év december'!$A$2:$CP$214"}</definedName>
    <definedName name="___cp9" localSheetId="11" hidden="1">{"'előző év december'!$A$2:$CP$214"}</definedName>
    <definedName name="___cp9" localSheetId="12" hidden="1">{"'előző év december'!$A$2:$CP$214"}</definedName>
    <definedName name="___cp9" localSheetId="18" hidden="1">{"'előző év december'!$A$2:$CP$214"}</definedName>
    <definedName name="___cp9" localSheetId="19" hidden="1">{"'előző év december'!$A$2:$CP$214"}</definedName>
    <definedName name="___cp9" hidden="1">{"'előző év december'!$A$2:$CP$214"}</definedName>
    <definedName name="___cpr2" localSheetId="31" hidden="1">{"'előző év december'!$A$2:$CP$214"}</definedName>
    <definedName name="___cpr2" localSheetId="32" hidden="1">{"'előző év december'!$A$2:$CP$214"}</definedName>
    <definedName name="___cpr2" localSheetId="11" hidden="1">{"'előző év december'!$A$2:$CP$214"}</definedName>
    <definedName name="___cpr2" localSheetId="12" hidden="1">{"'előző év december'!$A$2:$CP$214"}</definedName>
    <definedName name="___cpr2" localSheetId="18" hidden="1">{"'előző év december'!$A$2:$CP$214"}</definedName>
    <definedName name="___cpr2" localSheetId="19" hidden="1">{"'előző év december'!$A$2:$CP$214"}</definedName>
    <definedName name="___cpr2" hidden="1">{"'előző év december'!$A$2:$CP$214"}</definedName>
    <definedName name="___cpr3" localSheetId="31" hidden="1">{"'előző év december'!$A$2:$CP$214"}</definedName>
    <definedName name="___cpr3" localSheetId="32" hidden="1">{"'előző év december'!$A$2:$CP$214"}</definedName>
    <definedName name="___cpr3" localSheetId="11" hidden="1">{"'előző év december'!$A$2:$CP$214"}</definedName>
    <definedName name="___cpr3" localSheetId="12" hidden="1">{"'előző év december'!$A$2:$CP$214"}</definedName>
    <definedName name="___cpr3" localSheetId="18" hidden="1">{"'előző év december'!$A$2:$CP$214"}</definedName>
    <definedName name="___cpr3" localSheetId="19" hidden="1">{"'előző év december'!$A$2:$CP$214"}</definedName>
    <definedName name="___cpr3" hidden="1">{"'előző év december'!$A$2:$CP$214"}</definedName>
    <definedName name="___cpr4" localSheetId="31" hidden="1">{"'előző év december'!$A$2:$CP$214"}</definedName>
    <definedName name="___cpr4" localSheetId="32" hidden="1">{"'előző év december'!$A$2:$CP$214"}</definedName>
    <definedName name="___cpr4" localSheetId="11" hidden="1">{"'előző év december'!$A$2:$CP$214"}</definedName>
    <definedName name="___cpr4" localSheetId="12" hidden="1">{"'előző év december'!$A$2:$CP$214"}</definedName>
    <definedName name="___cpr4" localSheetId="18" hidden="1">{"'előző év december'!$A$2:$CP$214"}</definedName>
    <definedName name="___cpr4" localSheetId="19" hidden="1">{"'előző év december'!$A$2:$CP$214"}</definedName>
    <definedName name="___cpr4" hidden="1">{"'előző év december'!$A$2:$CP$214"}</definedName>
    <definedName name="___t04" localSheetId="31" hidden="1">{#N/A,#N/A,FALSE,"т04"}</definedName>
    <definedName name="___t04" localSheetId="32" hidden="1">{#N/A,#N/A,FALSE,"т04"}</definedName>
    <definedName name="___t04" localSheetId="11" hidden="1">{#N/A,#N/A,FALSE,"т04"}</definedName>
    <definedName name="___t04" localSheetId="12" hidden="1">{#N/A,#N/A,FALSE,"т04"}</definedName>
    <definedName name="___t04" localSheetId="18" hidden="1">{#N/A,#N/A,FALSE,"т04"}</definedName>
    <definedName name="___t04" localSheetId="19" hidden="1">{#N/A,#N/A,FALSE,"т04"}</definedName>
    <definedName name="___t04" hidden="1">{#N/A,#N/A,FALSE,"т04"}</definedName>
    <definedName name="___t06" localSheetId="31" hidden="1">{#N/A,#N/A,FALSE,"т04"}</definedName>
    <definedName name="___t06" localSheetId="32" hidden="1">{#N/A,#N/A,FALSE,"т04"}</definedName>
    <definedName name="___t06" localSheetId="11" hidden="1">{#N/A,#N/A,FALSE,"т04"}</definedName>
    <definedName name="___t06" localSheetId="12" hidden="1">{#N/A,#N/A,FALSE,"т04"}</definedName>
    <definedName name="___t06" localSheetId="18" hidden="1">{#N/A,#N/A,FALSE,"т04"}</definedName>
    <definedName name="___t06" localSheetId="19" hidden="1">{#N/A,#N/A,FALSE,"т04"}</definedName>
    <definedName name="___t06" hidden="1">{#N/A,#N/A,FALSE,"т04"}</definedName>
    <definedName name="___tab06" localSheetId="24">#REF!</definedName>
    <definedName name="___tab06" localSheetId="31">#REF!</definedName>
    <definedName name="___tab06" localSheetId="32">#REF!</definedName>
    <definedName name="___tab06" localSheetId="26">#REF!</definedName>
    <definedName name="___tab06" localSheetId="11">#REF!</definedName>
    <definedName name="___tab06" localSheetId="20">#REF!</definedName>
    <definedName name="___tab06" localSheetId="23">#REF!</definedName>
    <definedName name="___tab06" localSheetId="21">#REF!</definedName>
    <definedName name="___tab06" localSheetId="17">#REF!</definedName>
    <definedName name="___tab06">#REF!</definedName>
    <definedName name="___tab07" localSheetId="24">#REF!</definedName>
    <definedName name="___tab07" localSheetId="31">#REF!</definedName>
    <definedName name="___tab07" localSheetId="32">#REF!</definedName>
    <definedName name="___tab07" localSheetId="26">#REF!</definedName>
    <definedName name="___tab07" localSheetId="11">#REF!</definedName>
    <definedName name="___tab07" localSheetId="20">#REF!</definedName>
    <definedName name="___tab07" localSheetId="23">#REF!</definedName>
    <definedName name="___tab07" localSheetId="21">#REF!</definedName>
    <definedName name="___tab07" localSheetId="17">#REF!</definedName>
    <definedName name="___tab07">#REF!</definedName>
    <definedName name="___Tab1" localSheetId="24">#REF!</definedName>
    <definedName name="___Tab1" localSheetId="31">#REF!</definedName>
    <definedName name="___Tab1" localSheetId="32">#REF!</definedName>
    <definedName name="___Tab1" localSheetId="26">#REF!</definedName>
    <definedName name="___Tab1" localSheetId="11">#REF!</definedName>
    <definedName name="___Tab1" localSheetId="20">#REF!</definedName>
    <definedName name="___Tab1" localSheetId="23">#REF!</definedName>
    <definedName name="___Tab1" localSheetId="21">#REF!</definedName>
    <definedName name="___Tab1" localSheetId="17">#REF!</definedName>
    <definedName name="___Tab1">#REF!</definedName>
    <definedName name="___UKR1" localSheetId="24">#REF!</definedName>
    <definedName name="___UKR1" localSheetId="26">#REF!</definedName>
    <definedName name="___UKR1" localSheetId="20">#REF!</definedName>
    <definedName name="___UKR1" localSheetId="23">#REF!</definedName>
    <definedName name="___UKR1" localSheetId="21">#REF!</definedName>
    <definedName name="___UKR1" localSheetId="17">#REF!</definedName>
    <definedName name="___UKR1">#REF!</definedName>
    <definedName name="___UKR2" localSheetId="24">#REF!</definedName>
    <definedName name="___UKR2" localSheetId="26">#REF!</definedName>
    <definedName name="___UKR2" localSheetId="20">#REF!</definedName>
    <definedName name="___UKR2" localSheetId="23">#REF!</definedName>
    <definedName name="___UKR2" localSheetId="21">#REF!</definedName>
    <definedName name="___UKR2" localSheetId="17">#REF!</definedName>
    <definedName name="___UKR2">#REF!</definedName>
    <definedName name="___UKR3" localSheetId="24">#REF!</definedName>
    <definedName name="___UKR3" localSheetId="26">#REF!</definedName>
    <definedName name="___UKR3" localSheetId="20">#REF!</definedName>
    <definedName name="___UKR3" localSheetId="23">#REF!</definedName>
    <definedName name="___UKR3" localSheetId="21">#REF!</definedName>
    <definedName name="___UKR3" localSheetId="17">#REF!</definedName>
    <definedName name="___UKR3">#REF!</definedName>
    <definedName name="___xlc_DefaultDisplayOption___" hidden="1">"caption"</definedName>
    <definedName name="___xlc_DisplayNullValuesAs___" hidden="1">"___xlc_DisplayNullValuesAs_empty___"</definedName>
    <definedName name="___xlc_PromptForInsertOnDrill___" hidden="1">FALSE</definedName>
    <definedName name="___xlc_SuppressNULLSOnDrill___" hidden="1">TRUE</definedName>
    <definedName name="___xlc_SuppressZerosOnDrill___" hidden="1">FALSE</definedName>
    <definedName name="__123Graph_CIMPORTS" localSheetId="24" hidden="1">#REF!</definedName>
    <definedName name="__123Graph_CIMPORTS" localSheetId="31" hidden="1">#REF!</definedName>
    <definedName name="__123Graph_CIMPORTS" localSheetId="32" hidden="1">#REF!</definedName>
    <definedName name="__123Graph_CIMPORTS" localSheetId="26" hidden="1">#REF!</definedName>
    <definedName name="__123Graph_CIMPORTS" localSheetId="11" hidden="1">#REF!</definedName>
    <definedName name="__123Graph_CIMPORTS" localSheetId="20" hidden="1">#REF!</definedName>
    <definedName name="__123Graph_CIMPORTS" localSheetId="23" hidden="1">#REF!</definedName>
    <definedName name="__123Graph_CIMPORTS" localSheetId="21" hidden="1">#REF!</definedName>
    <definedName name="__123Graph_CIMPORTS" localSheetId="17" hidden="1">#REF!</definedName>
    <definedName name="__123Graph_CIMPORTS" hidden="1">#REF!</definedName>
    <definedName name="__cp1" localSheetId="31" hidden="1">{"'előző év december'!$A$2:$CP$214"}</definedName>
    <definedName name="__cp1" localSheetId="32" hidden="1">{"'előző év december'!$A$2:$CP$214"}</definedName>
    <definedName name="__cp1" localSheetId="11" hidden="1">{"'előző év december'!$A$2:$CP$214"}</definedName>
    <definedName name="__cp1" localSheetId="12" hidden="1">{"'előző év december'!$A$2:$CP$214"}</definedName>
    <definedName name="__cp1" localSheetId="18" hidden="1">{"'előző év december'!$A$2:$CP$214"}</definedName>
    <definedName name="__cp1" localSheetId="19" hidden="1">{"'előző év december'!$A$2:$CP$214"}</definedName>
    <definedName name="__cp1" hidden="1">{"'előző év december'!$A$2:$CP$214"}</definedName>
    <definedName name="__cp10" localSheetId="31" hidden="1">{"'előző év december'!$A$2:$CP$214"}</definedName>
    <definedName name="__cp10" localSheetId="32" hidden="1">{"'előző év december'!$A$2:$CP$214"}</definedName>
    <definedName name="__cp10" localSheetId="11" hidden="1">{"'előző év december'!$A$2:$CP$214"}</definedName>
    <definedName name="__cp10" localSheetId="12" hidden="1">{"'előző év december'!$A$2:$CP$214"}</definedName>
    <definedName name="__cp10" localSheetId="18" hidden="1">{"'előző év december'!$A$2:$CP$214"}</definedName>
    <definedName name="__cp10" localSheetId="19" hidden="1">{"'előző év december'!$A$2:$CP$214"}</definedName>
    <definedName name="__cp10" hidden="1">{"'előző év december'!$A$2:$CP$214"}</definedName>
    <definedName name="__cp11" localSheetId="31" hidden="1">{"'előző év december'!$A$2:$CP$214"}</definedName>
    <definedName name="__cp11" localSheetId="32" hidden="1">{"'előző év december'!$A$2:$CP$214"}</definedName>
    <definedName name="__cp11" localSheetId="11" hidden="1">{"'előző év december'!$A$2:$CP$214"}</definedName>
    <definedName name="__cp11" localSheetId="12" hidden="1">{"'előző év december'!$A$2:$CP$214"}</definedName>
    <definedName name="__cp11" localSheetId="18" hidden="1">{"'előző év december'!$A$2:$CP$214"}</definedName>
    <definedName name="__cp11" localSheetId="19" hidden="1">{"'előző év december'!$A$2:$CP$214"}</definedName>
    <definedName name="__cp11" hidden="1">{"'előző év december'!$A$2:$CP$214"}</definedName>
    <definedName name="__cp2" localSheetId="31" hidden="1">{"'előző év december'!$A$2:$CP$214"}</definedName>
    <definedName name="__cp2" localSheetId="32" hidden="1">{"'előző év december'!$A$2:$CP$214"}</definedName>
    <definedName name="__cp2" localSheetId="11" hidden="1">{"'előző év december'!$A$2:$CP$214"}</definedName>
    <definedName name="__cp2" localSheetId="12" hidden="1">{"'előző év december'!$A$2:$CP$214"}</definedName>
    <definedName name="__cp2" localSheetId="18" hidden="1">{"'előző év december'!$A$2:$CP$214"}</definedName>
    <definedName name="__cp2" localSheetId="19" hidden="1">{"'előző év december'!$A$2:$CP$214"}</definedName>
    <definedName name="__cp2" hidden="1">{"'előző év december'!$A$2:$CP$214"}</definedName>
    <definedName name="__cp3" localSheetId="31" hidden="1">{"'előző év december'!$A$2:$CP$214"}</definedName>
    <definedName name="__cp3" localSheetId="32" hidden="1">{"'előző év december'!$A$2:$CP$214"}</definedName>
    <definedName name="__cp3" localSheetId="11" hidden="1">{"'előző év december'!$A$2:$CP$214"}</definedName>
    <definedName name="__cp3" localSheetId="12" hidden="1">{"'előző év december'!$A$2:$CP$214"}</definedName>
    <definedName name="__cp3" localSheetId="18" hidden="1">{"'előző év december'!$A$2:$CP$214"}</definedName>
    <definedName name="__cp3" localSheetId="19" hidden="1">{"'előző év december'!$A$2:$CP$214"}</definedName>
    <definedName name="__cp3" hidden="1">{"'előző év december'!$A$2:$CP$214"}</definedName>
    <definedName name="__cp4" localSheetId="31" hidden="1">{"'előző év december'!$A$2:$CP$214"}</definedName>
    <definedName name="__cp4" localSheetId="32" hidden="1">{"'előző év december'!$A$2:$CP$214"}</definedName>
    <definedName name="__cp4" localSheetId="11" hidden="1">{"'előző év december'!$A$2:$CP$214"}</definedName>
    <definedName name="__cp4" localSheetId="12" hidden="1">{"'előző év december'!$A$2:$CP$214"}</definedName>
    <definedName name="__cp4" localSheetId="18" hidden="1">{"'előző év december'!$A$2:$CP$214"}</definedName>
    <definedName name="__cp4" localSheetId="19" hidden="1">{"'előző év december'!$A$2:$CP$214"}</definedName>
    <definedName name="__cp4" hidden="1">{"'előző év december'!$A$2:$CP$214"}</definedName>
    <definedName name="__cp5" localSheetId="31" hidden="1">{"'előző év december'!$A$2:$CP$214"}</definedName>
    <definedName name="__cp5" localSheetId="32" hidden="1">{"'előző év december'!$A$2:$CP$214"}</definedName>
    <definedName name="__cp5" localSheetId="11" hidden="1">{"'előző év december'!$A$2:$CP$214"}</definedName>
    <definedName name="__cp5" localSheetId="12" hidden="1">{"'előző év december'!$A$2:$CP$214"}</definedName>
    <definedName name="__cp5" localSheetId="18" hidden="1">{"'előző év december'!$A$2:$CP$214"}</definedName>
    <definedName name="__cp5" localSheetId="19" hidden="1">{"'előző év december'!$A$2:$CP$214"}</definedName>
    <definedName name="__cp5" hidden="1">{"'előző év december'!$A$2:$CP$214"}</definedName>
    <definedName name="__cp6" localSheetId="31" hidden="1">{"'előző év december'!$A$2:$CP$214"}</definedName>
    <definedName name="__cp6" localSheetId="32" hidden="1">{"'előző év december'!$A$2:$CP$214"}</definedName>
    <definedName name="__cp6" localSheetId="11" hidden="1">{"'előző év december'!$A$2:$CP$214"}</definedName>
    <definedName name="__cp6" localSheetId="12" hidden="1">{"'előző év december'!$A$2:$CP$214"}</definedName>
    <definedName name="__cp6" localSheetId="18" hidden="1">{"'előző év december'!$A$2:$CP$214"}</definedName>
    <definedName name="__cp6" localSheetId="19" hidden="1">{"'előző év december'!$A$2:$CP$214"}</definedName>
    <definedName name="__cp6" hidden="1">{"'előző év december'!$A$2:$CP$214"}</definedName>
    <definedName name="__cp7" localSheetId="31" hidden="1">{"'előző év december'!$A$2:$CP$214"}</definedName>
    <definedName name="__cp7" localSheetId="32" hidden="1">{"'előző év december'!$A$2:$CP$214"}</definedName>
    <definedName name="__cp7" localSheetId="11" hidden="1">{"'előző év december'!$A$2:$CP$214"}</definedName>
    <definedName name="__cp7" localSheetId="12" hidden="1">{"'előző év december'!$A$2:$CP$214"}</definedName>
    <definedName name="__cp7" localSheetId="18" hidden="1">{"'előző év december'!$A$2:$CP$214"}</definedName>
    <definedName name="__cp7" localSheetId="19" hidden="1">{"'előző év december'!$A$2:$CP$214"}</definedName>
    <definedName name="__cp7" hidden="1">{"'előző év december'!$A$2:$CP$214"}</definedName>
    <definedName name="__cp8" localSheetId="31" hidden="1">{"'előző év december'!$A$2:$CP$214"}</definedName>
    <definedName name="__cp8" localSheetId="32" hidden="1">{"'előző év december'!$A$2:$CP$214"}</definedName>
    <definedName name="__cp8" localSheetId="11" hidden="1">{"'előző év december'!$A$2:$CP$214"}</definedName>
    <definedName name="__cp8" localSheetId="12" hidden="1">{"'előző év december'!$A$2:$CP$214"}</definedName>
    <definedName name="__cp8" localSheetId="18" hidden="1">{"'előző év december'!$A$2:$CP$214"}</definedName>
    <definedName name="__cp8" localSheetId="19" hidden="1">{"'előző év december'!$A$2:$CP$214"}</definedName>
    <definedName name="__cp8" hidden="1">{"'előző év december'!$A$2:$CP$214"}</definedName>
    <definedName name="__cp9" localSheetId="31" hidden="1">{"'előző év december'!$A$2:$CP$214"}</definedName>
    <definedName name="__cp9" localSheetId="32" hidden="1">{"'előző év december'!$A$2:$CP$214"}</definedName>
    <definedName name="__cp9" localSheetId="11" hidden="1">{"'előző év december'!$A$2:$CP$214"}</definedName>
    <definedName name="__cp9" localSheetId="12" hidden="1">{"'előző év december'!$A$2:$CP$214"}</definedName>
    <definedName name="__cp9" localSheetId="18" hidden="1">{"'előző év december'!$A$2:$CP$214"}</definedName>
    <definedName name="__cp9" localSheetId="19" hidden="1">{"'előző év december'!$A$2:$CP$214"}</definedName>
    <definedName name="__cp9" hidden="1">{"'előző év december'!$A$2:$CP$214"}</definedName>
    <definedName name="__cpr2" localSheetId="31" hidden="1">{"'előző év december'!$A$2:$CP$214"}</definedName>
    <definedName name="__cpr2" localSheetId="32" hidden="1">{"'előző év december'!$A$2:$CP$214"}</definedName>
    <definedName name="__cpr2" localSheetId="11" hidden="1">{"'előző év december'!$A$2:$CP$214"}</definedName>
    <definedName name="__cpr2" localSheetId="12" hidden="1">{"'előző év december'!$A$2:$CP$214"}</definedName>
    <definedName name="__cpr2" localSheetId="18" hidden="1">{"'előző év december'!$A$2:$CP$214"}</definedName>
    <definedName name="__cpr2" localSheetId="19" hidden="1">{"'előző év december'!$A$2:$CP$214"}</definedName>
    <definedName name="__cpr2" hidden="1">{"'előző év december'!$A$2:$CP$214"}</definedName>
    <definedName name="__cpr3" localSheetId="31" hidden="1">{"'előző év december'!$A$2:$CP$214"}</definedName>
    <definedName name="__cpr3" localSheetId="32" hidden="1">{"'előző év december'!$A$2:$CP$214"}</definedName>
    <definedName name="__cpr3" localSheetId="11" hidden="1">{"'előző év december'!$A$2:$CP$214"}</definedName>
    <definedName name="__cpr3" localSheetId="12" hidden="1">{"'előző év december'!$A$2:$CP$214"}</definedName>
    <definedName name="__cpr3" localSheetId="18" hidden="1">{"'előző év december'!$A$2:$CP$214"}</definedName>
    <definedName name="__cpr3" localSheetId="19" hidden="1">{"'előző év december'!$A$2:$CP$214"}</definedName>
    <definedName name="__cpr3" hidden="1">{"'előző év december'!$A$2:$CP$214"}</definedName>
    <definedName name="__cpr4" localSheetId="31" hidden="1">{"'előző év december'!$A$2:$CP$214"}</definedName>
    <definedName name="__cpr4" localSheetId="32" hidden="1">{"'előző év december'!$A$2:$CP$214"}</definedName>
    <definedName name="__cpr4" localSheetId="11" hidden="1">{"'előző év december'!$A$2:$CP$214"}</definedName>
    <definedName name="__cpr4" localSheetId="12" hidden="1">{"'előző év december'!$A$2:$CP$214"}</definedName>
    <definedName name="__cpr4" localSheetId="18" hidden="1">{"'előző év december'!$A$2:$CP$214"}</definedName>
    <definedName name="__cpr4" localSheetId="19" hidden="1">{"'előző év december'!$A$2:$CP$214"}</definedName>
    <definedName name="__cpr4" hidden="1">{"'előző év december'!$A$2:$CP$214"}</definedName>
    <definedName name="__t04" localSheetId="31" hidden="1">{#N/A,#N/A,FALSE,"т04"}</definedName>
    <definedName name="__t04" localSheetId="32" hidden="1">{#N/A,#N/A,FALSE,"т04"}</definedName>
    <definedName name="__t04" localSheetId="11" hidden="1">{#N/A,#N/A,FALSE,"т04"}</definedName>
    <definedName name="__t04" localSheetId="12" hidden="1">{#N/A,#N/A,FALSE,"т04"}</definedName>
    <definedName name="__t04" localSheetId="18" hidden="1">{#N/A,#N/A,FALSE,"т04"}</definedName>
    <definedName name="__t04" localSheetId="19" hidden="1">{#N/A,#N/A,FALSE,"т04"}</definedName>
    <definedName name="__t04" hidden="1">{#N/A,#N/A,FALSE,"т04"}</definedName>
    <definedName name="__t06" localSheetId="31" hidden="1">{#N/A,#N/A,FALSE,"т04"}</definedName>
    <definedName name="__t06" localSheetId="32" hidden="1">{#N/A,#N/A,FALSE,"т04"}</definedName>
    <definedName name="__t06" localSheetId="11" hidden="1">{#N/A,#N/A,FALSE,"т04"}</definedName>
    <definedName name="__t06" localSheetId="12" hidden="1">{#N/A,#N/A,FALSE,"т04"}</definedName>
    <definedName name="__t06" localSheetId="18" hidden="1">{#N/A,#N/A,FALSE,"т04"}</definedName>
    <definedName name="__t06" localSheetId="19" hidden="1">{#N/A,#N/A,FALSE,"т04"}</definedName>
    <definedName name="__t06" hidden="1">{#N/A,#N/A,FALSE,"т04"}</definedName>
    <definedName name="__tab06" localSheetId="24">#REF!</definedName>
    <definedName name="__tab06" localSheetId="31">#REF!</definedName>
    <definedName name="__tab06" localSheetId="32">#REF!</definedName>
    <definedName name="__tab06" localSheetId="26">#REF!</definedName>
    <definedName name="__tab06" localSheetId="11">#REF!</definedName>
    <definedName name="__tab06" localSheetId="20">#REF!</definedName>
    <definedName name="__tab06" localSheetId="23">#REF!</definedName>
    <definedName name="__tab06" localSheetId="21">#REF!</definedName>
    <definedName name="__tab06" localSheetId="17">#REF!</definedName>
    <definedName name="__tab06">#REF!</definedName>
    <definedName name="__tab07" localSheetId="24">#REF!</definedName>
    <definedName name="__tab07" localSheetId="31">#REF!</definedName>
    <definedName name="__tab07" localSheetId="32">#REF!</definedName>
    <definedName name="__tab07" localSheetId="26">#REF!</definedName>
    <definedName name="__tab07" localSheetId="11">#REF!</definedName>
    <definedName name="__tab07" localSheetId="20">#REF!</definedName>
    <definedName name="__tab07" localSheetId="23">#REF!</definedName>
    <definedName name="__tab07" localSheetId="21">#REF!</definedName>
    <definedName name="__tab07" localSheetId="17">#REF!</definedName>
    <definedName name="__tab07">#REF!</definedName>
    <definedName name="__Tab1" localSheetId="24">#REF!</definedName>
    <definedName name="__Tab1" localSheetId="31">#REF!</definedName>
    <definedName name="__Tab1" localSheetId="32">#REF!</definedName>
    <definedName name="__Tab1" localSheetId="26">#REF!</definedName>
    <definedName name="__Tab1" localSheetId="11">#REF!</definedName>
    <definedName name="__Tab1" localSheetId="20">#REF!</definedName>
    <definedName name="__Tab1" localSheetId="23">#REF!</definedName>
    <definedName name="__Tab1" localSheetId="21">#REF!</definedName>
    <definedName name="__Tab1" localSheetId="17">#REF!</definedName>
    <definedName name="__Tab1">#REF!</definedName>
    <definedName name="__UKR1" localSheetId="24">#REF!</definedName>
    <definedName name="__UKR1" localSheetId="26">#REF!</definedName>
    <definedName name="__UKR1" localSheetId="20">#REF!</definedName>
    <definedName name="__UKR1" localSheetId="23">#REF!</definedName>
    <definedName name="__UKR1" localSheetId="21">#REF!</definedName>
    <definedName name="__UKR1" localSheetId="17">#REF!</definedName>
    <definedName name="__UKR1">#REF!</definedName>
    <definedName name="__UKR2" localSheetId="24">#REF!</definedName>
    <definedName name="__UKR2" localSheetId="26">#REF!</definedName>
    <definedName name="__UKR2" localSheetId="20">#REF!</definedName>
    <definedName name="__UKR2" localSheetId="23">#REF!</definedName>
    <definedName name="__UKR2" localSheetId="21">#REF!</definedName>
    <definedName name="__UKR2" localSheetId="17">#REF!</definedName>
    <definedName name="__UKR2">#REF!</definedName>
    <definedName name="__UKR3" localSheetId="24">#REF!</definedName>
    <definedName name="__UKR3" localSheetId="26">#REF!</definedName>
    <definedName name="__UKR3" localSheetId="20">#REF!</definedName>
    <definedName name="__UKR3" localSheetId="23">#REF!</definedName>
    <definedName name="__UKR3" localSheetId="21">#REF!</definedName>
    <definedName name="__UKR3" localSheetId="17">#REF!</definedName>
    <definedName name="__UKR3">#REF!</definedName>
    <definedName name="_1_0ju" localSheetId="24" hidden="1">#REF!</definedName>
    <definedName name="_1_0ju" localSheetId="26" hidden="1">#REF!</definedName>
    <definedName name="_1_0ju" localSheetId="20" hidden="1">#REF!</definedName>
    <definedName name="_1_0ju" localSheetId="23" hidden="1">#REF!</definedName>
    <definedName name="_1_0ju" localSheetId="21" hidden="1">#REF!</definedName>
    <definedName name="_1_0ju" localSheetId="17" hidden="1">#REF!</definedName>
    <definedName name="_1_0ju" hidden="1">#REF!</definedName>
    <definedName name="_13__123Graph_AINVENT_SALES" localSheetId="24" hidden="1">#REF!</definedName>
    <definedName name="_13__123Graph_AINVENT_SALES" localSheetId="26" hidden="1">#REF!</definedName>
    <definedName name="_13__123Graph_AINVENT_SALES" localSheetId="20" hidden="1">#REF!</definedName>
    <definedName name="_13__123Graph_AINVENT_SALES" localSheetId="23" hidden="1">#REF!</definedName>
    <definedName name="_13__123Graph_AINVENT_SALES" localSheetId="21" hidden="1">#REF!</definedName>
    <definedName name="_13__123Graph_AINVENT_SALES" localSheetId="17" hidden="1">#REF!</definedName>
    <definedName name="_13__123Graph_AINVENT_SALES" hidden="1">#REF!</definedName>
    <definedName name="_14__123Graph_AMIMPMA_1" localSheetId="24" hidden="1">#REF!</definedName>
    <definedName name="_14__123Graph_AMIMPMA_1" localSheetId="26" hidden="1">#REF!</definedName>
    <definedName name="_14__123Graph_AMIMPMA_1" localSheetId="20" hidden="1">#REF!</definedName>
    <definedName name="_14__123Graph_AMIMPMA_1" localSheetId="23" hidden="1">#REF!</definedName>
    <definedName name="_14__123Graph_AMIMPMA_1" localSheetId="21" hidden="1">#REF!</definedName>
    <definedName name="_14__123Graph_AMIMPMA_1" localSheetId="17" hidden="1">#REF!</definedName>
    <definedName name="_14__123Graph_AMIMPMA_1" hidden="1">#REF!</definedName>
    <definedName name="_15__123Graph_ANDA_OIN" localSheetId="24" hidden="1">#REF!</definedName>
    <definedName name="_15__123Graph_ANDA_OIN" localSheetId="26" hidden="1">#REF!</definedName>
    <definedName name="_15__123Graph_ANDA_OIN" localSheetId="20" hidden="1">#REF!</definedName>
    <definedName name="_15__123Graph_ANDA_OIN" localSheetId="23" hidden="1">#REF!</definedName>
    <definedName name="_15__123Graph_ANDA_OIN" localSheetId="21" hidden="1">#REF!</definedName>
    <definedName name="_15__123Graph_ANDA_OIN" localSheetId="17" hidden="1">#REF!</definedName>
    <definedName name="_15__123Graph_ANDA_OIN" hidden="1">#REF!</definedName>
    <definedName name="_16__123Graph_AR_BMONEY" localSheetId="24" hidden="1">#REF!</definedName>
    <definedName name="_16__123Graph_AR_BMONEY" localSheetId="26" hidden="1">#REF!</definedName>
    <definedName name="_16__123Graph_AR_BMONEY" localSheetId="20" hidden="1">#REF!</definedName>
    <definedName name="_16__123Graph_AR_BMONEY" localSheetId="23" hidden="1">#REF!</definedName>
    <definedName name="_16__123Graph_AR_BMONEY" localSheetId="21" hidden="1">#REF!</definedName>
    <definedName name="_16__123Graph_AR_BMONEY" localSheetId="17" hidden="1">#REF!</definedName>
    <definedName name="_16__123Graph_AR_BMONEY" hidden="1">#REF!</definedName>
    <definedName name="_29__123Graph_BNDA_OIN" localSheetId="24" hidden="1">#REF!</definedName>
    <definedName name="_29__123Graph_BNDA_OIN" localSheetId="26" hidden="1">#REF!</definedName>
    <definedName name="_29__123Graph_BNDA_OIN" localSheetId="20" hidden="1">#REF!</definedName>
    <definedName name="_29__123Graph_BNDA_OIN" localSheetId="23" hidden="1">#REF!</definedName>
    <definedName name="_29__123Graph_BNDA_OIN" localSheetId="21" hidden="1">#REF!</definedName>
    <definedName name="_29__123Graph_BNDA_OIN" localSheetId="17" hidden="1">#REF!</definedName>
    <definedName name="_29__123Graph_BNDA_OIN" hidden="1">#REF!</definedName>
    <definedName name="_30__123Graph_BR_BMONEY" localSheetId="24" hidden="1">#REF!</definedName>
    <definedName name="_30__123Graph_BR_BMONEY" localSheetId="26" hidden="1">#REF!</definedName>
    <definedName name="_30__123Graph_BR_BMONEY" localSheetId="20" hidden="1">#REF!</definedName>
    <definedName name="_30__123Graph_BR_BMONEY" localSheetId="23" hidden="1">#REF!</definedName>
    <definedName name="_30__123Graph_BR_BMONEY" localSheetId="21" hidden="1">#REF!</definedName>
    <definedName name="_30__123Graph_BR_BMONEY" localSheetId="17" hidden="1">#REF!</definedName>
    <definedName name="_30__123Graph_BR_BMONEY" hidden="1">#REF!</definedName>
    <definedName name="_33__123Graph_CMIMPMA_0" localSheetId="24" hidden="1">#REF!</definedName>
    <definedName name="_33__123Graph_CMIMPMA_0" localSheetId="26" hidden="1">#REF!</definedName>
    <definedName name="_33__123Graph_CMIMPMA_0" localSheetId="20" hidden="1">#REF!</definedName>
    <definedName name="_33__123Graph_CMIMPMA_0" localSheetId="23" hidden="1">#REF!</definedName>
    <definedName name="_33__123Graph_CMIMPMA_0" localSheetId="21" hidden="1">#REF!</definedName>
    <definedName name="_33__123Graph_CMIMPMA_0" localSheetId="17" hidden="1">#REF!</definedName>
    <definedName name="_33__123Graph_CMIMPMA_0" hidden="1">#REF!</definedName>
    <definedName name="_35__123Graph_DMIMPMA_1" localSheetId="24" hidden="1">#REF!</definedName>
    <definedName name="_35__123Graph_DMIMPMA_1" localSheetId="26" hidden="1">#REF!</definedName>
    <definedName name="_35__123Graph_DMIMPMA_1" localSheetId="20" hidden="1">#REF!</definedName>
    <definedName name="_35__123Graph_DMIMPMA_1" localSheetId="23" hidden="1">#REF!</definedName>
    <definedName name="_35__123Graph_DMIMPMA_1" localSheetId="21" hidden="1">#REF!</definedName>
    <definedName name="_35__123Graph_DMIMPMA_1" localSheetId="17" hidden="1">#REF!</definedName>
    <definedName name="_35__123Graph_DMIMPMA_1" hidden="1">#REF!</definedName>
    <definedName name="_36__123Graph_EMIMPMA_0" localSheetId="24" hidden="1">#REF!</definedName>
    <definedName name="_36__123Graph_EMIMPMA_0" localSheetId="26" hidden="1">#REF!</definedName>
    <definedName name="_36__123Graph_EMIMPMA_0" localSheetId="20" hidden="1">#REF!</definedName>
    <definedName name="_36__123Graph_EMIMPMA_0" localSheetId="23" hidden="1">#REF!</definedName>
    <definedName name="_36__123Graph_EMIMPMA_0" localSheetId="21" hidden="1">#REF!</definedName>
    <definedName name="_36__123Graph_EMIMPMA_0" localSheetId="17" hidden="1">#REF!</definedName>
    <definedName name="_36__123Graph_EMIMPMA_0" hidden="1">#REF!</definedName>
    <definedName name="_37__123Graph_EMIMPMA_1" localSheetId="24" hidden="1">#REF!</definedName>
    <definedName name="_37__123Graph_EMIMPMA_1" localSheetId="26" hidden="1">#REF!</definedName>
    <definedName name="_37__123Graph_EMIMPMA_1" localSheetId="20" hidden="1">#REF!</definedName>
    <definedName name="_37__123Graph_EMIMPMA_1" localSheetId="23" hidden="1">#REF!</definedName>
    <definedName name="_37__123Graph_EMIMPMA_1" localSheetId="21" hidden="1">#REF!</definedName>
    <definedName name="_37__123Graph_EMIMPMA_1" localSheetId="17" hidden="1">#REF!</definedName>
    <definedName name="_37__123Graph_EMIMPMA_1" hidden="1">#REF!</definedName>
    <definedName name="_38__123Graph_FMIMPMA_0" localSheetId="24" hidden="1">#REF!</definedName>
    <definedName name="_38__123Graph_FMIMPMA_0" localSheetId="26" hidden="1">#REF!</definedName>
    <definedName name="_38__123Graph_FMIMPMA_0" localSheetId="20" hidden="1">#REF!</definedName>
    <definedName name="_38__123Graph_FMIMPMA_0" localSheetId="23" hidden="1">#REF!</definedName>
    <definedName name="_38__123Graph_FMIMPMA_0" localSheetId="21" hidden="1">#REF!</definedName>
    <definedName name="_38__123Graph_FMIMPMA_0" localSheetId="17" hidden="1">#REF!</definedName>
    <definedName name="_38__123Graph_FMIMPMA_0" hidden="1">#REF!</definedName>
    <definedName name="_40__123Graph_XMIMPMA_0" localSheetId="24" hidden="1">#REF!</definedName>
    <definedName name="_40__123Graph_XMIMPMA_0" localSheetId="26" hidden="1">#REF!</definedName>
    <definedName name="_40__123Graph_XMIMPMA_0" localSheetId="20" hidden="1">#REF!</definedName>
    <definedName name="_40__123Graph_XMIMPMA_0" localSheetId="23" hidden="1">#REF!</definedName>
    <definedName name="_40__123Graph_XMIMPMA_0" localSheetId="21" hidden="1">#REF!</definedName>
    <definedName name="_40__123Graph_XMIMPMA_0" localSheetId="17" hidden="1">#REF!</definedName>
    <definedName name="_40__123Graph_XMIMPMA_0" hidden="1">#REF!</definedName>
    <definedName name="_41__123Graph_XR_BMONEY" localSheetId="24" hidden="1">#REF!</definedName>
    <definedName name="_41__123Graph_XR_BMONEY" localSheetId="26" hidden="1">#REF!</definedName>
    <definedName name="_41__123Graph_XR_BMONEY" localSheetId="20" hidden="1">#REF!</definedName>
    <definedName name="_41__123Graph_XR_BMONEY" localSheetId="23" hidden="1">#REF!</definedName>
    <definedName name="_41__123Graph_XR_BMONEY" localSheetId="21" hidden="1">#REF!</definedName>
    <definedName name="_41__123Graph_XR_BMONEY" localSheetId="17" hidden="1">#REF!</definedName>
    <definedName name="_41__123Graph_XR_BMONEY" hidden="1">#REF!</definedName>
    <definedName name="_43_0ju" localSheetId="24" hidden="1">#REF!</definedName>
    <definedName name="_43_0ju" localSheetId="26" hidden="1">#REF!</definedName>
    <definedName name="_43_0ju" localSheetId="20" hidden="1">#REF!</definedName>
    <definedName name="_43_0ju" localSheetId="23" hidden="1">#REF!</definedName>
    <definedName name="_43_0ju" localSheetId="21" hidden="1">#REF!</definedName>
    <definedName name="_43_0ju" localSheetId="17" hidden="1">#REF!</definedName>
    <definedName name="_43_0ju" hidden="1">#REF!</definedName>
    <definedName name="_A1111" localSheetId="31" hidden="1">{"'Всего'!$A$1:$F$19"}</definedName>
    <definedName name="_A1111" localSheetId="32" hidden="1">{"'Всего'!$A$1:$F$19"}</definedName>
    <definedName name="_A1111" localSheetId="11" hidden="1">{"'Всего'!$A$1:$F$19"}</definedName>
    <definedName name="_A1111" localSheetId="12" hidden="1">{"'Всего'!$A$1:$F$19"}</definedName>
    <definedName name="_A1111" localSheetId="18" hidden="1">{"'Всего'!$A$1:$F$19"}</definedName>
    <definedName name="_A1111" localSheetId="19" hidden="1">{"'Всего'!$A$1:$F$19"}</definedName>
    <definedName name="_A1111" hidden="1">{"'Всего'!$A$1:$F$19"}</definedName>
    <definedName name="_cp1" localSheetId="31" hidden="1">{"'előző év december'!$A$2:$CP$214"}</definedName>
    <definedName name="_cp1" localSheetId="32" hidden="1">{"'előző év december'!$A$2:$CP$214"}</definedName>
    <definedName name="_cp1" localSheetId="11" hidden="1">{"'előző év december'!$A$2:$CP$214"}</definedName>
    <definedName name="_cp1" localSheetId="12" hidden="1">{"'előző év december'!$A$2:$CP$214"}</definedName>
    <definedName name="_cp1" localSheetId="18" hidden="1">{"'előző év december'!$A$2:$CP$214"}</definedName>
    <definedName name="_cp1" localSheetId="19" hidden="1">{"'előző év december'!$A$2:$CP$214"}</definedName>
    <definedName name="_cp1" hidden="1">{"'előző év december'!$A$2:$CP$214"}</definedName>
    <definedName name="_cp10" localSheetId="31" hidden="1">{"'előző év december'!$A$2:$CP$214"}</definedName>
    <definedName name="_cp10" localSheetId="32" hidden="1">{"'előző év december'!$A$2:$CP$214"}</definedName>
    <definedName name="_cp10" localSheetId="11" hidden="1">{"'előző év december'!$A$2:$CP$214"}</definedName>
    <definedName name="_cp10" localSheetId="12" hidden="1">{"'előző év december'!$A$2:$CP$214"}</definedName>
    <definedName name="_cp10" localSheetId="18" hidden="1">{"'előző év december'!$A$2:$CP$214"}</definedName>
    <definedName name="_cp10" localSheetId="19" hidden="1">{"'előző év december'!$A$2:$CP$214"}</definedName>
    <definedName name="_cp10" hidden="1">{"'előző év december'!$A$2:$CP$214"}</definedName>
    <definedName name="_cp11" localSheetId="31" hidden="1">{"'előző év december'!$A$2:$CP$214"}</definedName>
    <definedName name="_cp11" localSheetId="32" hidden="1">{"'előző év december'!$A$2:$CP$214"}</definedName>
    <definedName name="_cp11" localSheetId="11" hidden="1">{"'előző év december'!$A$2:$CP$214"}</definedName>
    <definedName name="_cp11" localSheetId="12" hidden="1">{"'előző év december'!$A$2:$CP$214"}</definedName>
    <definedName name="_cp11" localSheetId="18" hidden="1">{"'előző év december'!$A$2:$CP$214"}</definedName>
    <definedName name="_cp11" localSheetId="19" hidden="1">{"'előző év december'!$A$2:$CP$214"}</definedName>
    <definedName name="_cp11" hidden="1">{"'előző év december'!$A$2:$CP$214"}</definedName>
    <definedName name="_cp2" localSheetId="31" hidden="1">{"'előző év december'!$A$2:$CP$214"}</definedName>
    <definedName name="_cp2" localSheetId="32" hidden="1">{"'előző év december'!$A$2:$CP$214"}</definedName>
    <definedName name="_cp2" localSheetId="11" hidden="1">{"'előző év december'!$A$2:$CP$214"}</definedName>
    <definedName name="_cp2" localSheetId="12" hidden="1">{"'előző év december'!$A$2:$CP$214"}</definedName>
    <definedName name="_cp2" localSheetId="18" hidden="1">{"'előző év december'!$A$2:$CP$214"}</definedName>
    <definedName name="_cp2" localSheetId="19" hidden="1">{"'előző év december'!$A$2:$CP$214"}</definedName>
    <definedName name="_cp2" hidden="1">{"'előző év december'!$A$2:$CP$214"}</definedName>
    <definedName name="_cp3" localSheetId="31" hidden="1">{"'előző év december'!$A$2:$CP$214"}</definedName>
    <definedName name="_cp3" localSheetId="32" hidden="1">{"'előző év december'!$A$2:$CP$214"}</definedName>
    <definedName name="_cp3" localSheetId="11" hidden="1">{"'előző év december'!$A$2:$CP$214"}</definedName>
    <definedName name="_cp3" localSheetId="12" hidden="1">{"'előző év december'!$A$2:$CP$214"}</definedName>
    <definedName name="_cp3" localSheetId="18" hidden="1">{"'előző év december'!$A$2:$CP$214"}</definedName>
    <definedName name="_cp3" localSheetId="19" hidden="1">{"'előző év december'!$A$2:$CP$214"}</definedName>
    <definedName name="_cp3" hidden="1">{"'előző év december'!$A$2:$CP$214"}</definedName>
    <definedName name="_cp4" localSheetId="31" hidden="1">{"'előző év december'!$A$2:$CP$214"}</definedName>
    <definedName name="_cp4" localSheetId="32" hidden="1">{"'előző év december'!$A$2:$CP$214"}</definedName>
    <definedName name="_cp4" localSheetId="11" hidden="1">{"'előző év december'!$A$2:$CP$214"}</definedName>
    <definedName name="_cp4" localSheetId="12" hidden="1">{"'előző év december'!$A$2:$CP$214"}</definedName>
    <definedName name="_cp4" localSheetId="18" hidden="1">{"'előző év december'!$A$2:$CP$214"}</definedName>
    <definedName name="_cp4" localSheetId="19" hidden="1">{"'előző év december'!$A$2:$CP$214"}</definedName>
    <definedName name="_cp4" hidden="1">{"'előző év december'!$A$2:$CP$214"}</definedName>
    <definedName name="_cp5" localSheetId="31" hidden="1">{"'előző év december'!$A$2:$CP$214"}</definedName>
    <definedName name="_cp5" localSheetId="32" hidden="1">{"'előző év december'!$A$2:$CP$214"}</definedName>
    <definedName name="_cp5" localSheetId="11" hidden="1">{"'előző év december'!$A$2:$CP$214"}</definedName>
    <definedName name="_cp5" localSheetId="12" hidden="1">{"'előző év december'!$A$2:$CP$214"}</definedName>
    <definedName name="_cp5" localSheetId="18" hidden="1">{"'előző év december'!$A$2:$CP$214"}</definedName>
    <definedName name="_cp5" localSheetId="19" hidden="1">{"'előző év december'!$A$2:$CP$214"}</definedName>
    <definedName name="_cp5" hidden="1">{"'előző év december'!$A$2:$CP$214"}</definedName>
    <definedName name="_cp6" localSheetId="31" hidden="1">{"'előző év december'!$A$2:$CP$214"}</definedName>
    <definedName name="_cp6" localSheetId="32" hidden="1">{"'előző év december'!$A$2:$CP$214"}</definedName>
    <definedName name="_cp6" localSheetId="11" hidden="1">{"'előző év december'!$A$2:$CP$214"}</definedName>
    <definedName name="_cp6" localSheetId="12" hidden="1">{"'előző év december'!$A$2:$CP$214"}</definedName>
    <definedName name="_cp6" localSheetId="18" hidden="1">{"'előző év december'!$A$2:$CP$214"}</definedName>
    <definedName name="_cp6" localSheetId="19" hidden="1">{"'előző év december'!$A$2:$CP$214"}</definedName>
    <definedName name="_cp6" hidden="1">{"'előző év december'!$A$2:$CP$214"}</definedName>
    <definedName name="_cp7" localSheetId="31" hidden="1">{"'előző év december'!$A$2:$CP$214"}</definedName>
    <definedName name="_cp7" localSheetId="32" hidden="1">{"'előző év december'!$A$2:$CP$214"}</definedName>
    <definedName name="_cp7" localSheetId="11" hidden="1">{"'előző év december'!$A$2:$CP$214"}</definedName>
    <definedName name="_cp7" localSheetId="12" hidden="1">{"'előző év december'!$A$2:$CP$214"}</definedName>
    <definedName name="_cp7" localSheetId="18" hidden="1">{"'előző év december'!$A$2:$CP$214"}</definedName>
    <definedName name="_cp7" localSheetId="19" hidden="1">{"'előző év december'!$A$2:$CP$214"}</definedName>
    <definedName name="_cp7" hidden="1">{"'előző év december'!$A$2:$CP$214"}</definedName>
    <definedName name="_cp8" localSheetId="31" hidden="1">{"'előző év december'!$A$2:$CP$214"}</definedName>
    <definedName name="_cp8" localSheetId="32" hidden="1">{"'előző év december'!$A$2:$CP$214"}</definedName>
    <definedName name="_cp8" localSheetId="11" hidden="1">{"'előző év december'!$A$2:$CP$214"}</definedName>
    <definedName name="_cp8" localSheetId="12" hidden="1">{"'előző év december'!$A$2:$CP$214"}</definedName>
    <definedName name="_cp8" localSheetId="18" hidden="1">{"'előző év december'!$A$2:$CP$214"}</definedName>
    <definedName name="_cp8" localSheetId="19" hidden="1">{"'előző év december'!$A$2:$CP$214"}</definedName>
    <definedName name="_cp8" hidden="1">{"'előző év december'!$A$2:$CP$214"}</definedName>
    <definedName name="_cp9" localSheetId="31" hidden="1">{"'előző év december'!$A$2:$CP$214"}</definedName>
    <definedName name="_cp9" localSheetId="32" hidden="1">{"'előző év december'!$A$2:$CP$214"}</definedName>
    <definedName name="_cp9" localSheetId="11" hidden="1">{"'előző év december'!$A$2:$CP$214"}</definedName>
    <definedName name="_cp9" localSheetId="12" hidden="1">{"'előző év december'!$A$2:$CP$214"}</definedName>
    <definedName name="_cp9" localSheetId="18" hidden="1">{"'előző év december'!$A$2:$CP$214"}</definedName>
    <definedName name="_cp9" localSheetId="19" hidden="1">{"'előző év december'!$A$2:$CP$214"}</definedName>
    <definedName name="_cp9" hidden="1">{"'előző év december'!$A$2:$CP$214"}</definedName>
    <definedName name="_cpr2" localSheetId="31" hidden="1">{"'előző év december'!$A$2:$CP$214"}</definedName>
    <definedName name="_cpr2" localSheetId="32" hidden="1">{"'előző év december'!$A$2:$CP$214"}</definedName>
    <definedName name="_cpr2" localSheetId="11" hidden="1">{"'előző év december'!$A$2:$CP$214"}</definedName>
    <definedName name="_cpr2" localSheetId="12" hidden="1">{"'előző év december'!$A$2:$CP$214"}</definedName>
    <definedName name="_cpr2" localSheetId="18" hidden="1">{"'előző év december'!$A$2:$CP$214"}</definedName>
    <definedName name="_cpr2" localSheetId="19" hidden="1">{"'előző év december'!$A$2:$CP$214"}</definedName>
    <definedName name="_cpr2" hidden="1">{"'előző év december'!$A$2:$CP$214"}</definedName>
    <definedName name="_cpr3" localSheetId="31" hidden="1">{"'előző év december'!$A$2:$CP$214"}</definedName>
    <definedName name="_cpr3" localSheetId="32" hidden="1">{"'előző év december'!$A$2:$CP$214"}</definedName>
    <definedName name="_cpr3" localSheetId="11" hidden="1">{"'előző év december'!$A$2:$CP$214"}</definedName>
    <definedName name="_cpr3" localSheetId="12" hidden="1">{"'előző év december'!$A$2:$CP$214"}</definedName>
    <definedName name="_cpr3" localSheetId="18" hidden="1">{"'előző év december'!$A$2:$CP$214"}</definedName>
    <definedName name="_cpr3" localSheetId="19" hidden="1">{"'előző év december'!$A$2:$CP$214"}</definedName>
    <definedName name="_cpr3" hidden="1">{"'előző év december'!$A$2:$CP$214"}</definedName>
    <definedName name="_cpr4" localSheetId="31" hidden="1">{"'előző év december'!$A$2:$CP$214"}</definedName>
    <definedName name="_cpr4" localSheetId="32" hidden="1">{"'előző év december'!$A$2:$CP$214"}</definedName>
    <definedName name="_cpr4" localSheetId="11" hidden="1">{"'előző év december'!$A$2:$CP$214"}</definedName>
    <definedName name="_cpr4" localSheetId="12" hidden="1">{"'előző év december'!$A$2:$CP$214"}</definedName>
    <definedName name="_cpr4" localSheetId="18" hidden="1">{"'előző év december'!$A$2:$CP$214"}</definedName>
    <definedName name="_cpr4" localSheetId="19" hidden="1">{"'előző év december'!$A$2:$CP$214"}</definedName>
    <definedName name="_cpr4" hidden="1">{"'előző év december'!$A$2:$CP$214"}</definedName>
    <definedName name="_Dist_Bin" localSheetId="24" hidden="1">#REF!</definedName>
    <definedName name="_Dist_Bin" localSheetId="26" hidden="1">#REF!</definedName>
    <definedName name="_Dist_Bin" localSheetId="20" hidden="1">#REF!</definedName>
    <definedName name="_Dist_Bin" localSheetId="23" hidden="1">#REF!</definedName>
    <definedName name="_Dist_Bin" localSheetId="21" hidden="1">#REF!</definedName>
    <definedName name="_Dist_Bin" localSheetId="17" hidden="1">#REF!</definedName>
    <definedName name="_Dist_Bin" hidden="1">#REF!</definedName>
    <definedName name="_Dist_Values" localSheetId="24" hidden="1">#REF!</definedName>
    <definedName name="_Dist_Values" localSheetId="26" hidden="1">#REF!</definedName>
    <definedName name="_Dist_Values" localSheetId="20" hidden="1">#REF!</definedName>
    <definedName name="_Dist_Values" localSheetId="23" hidden="1">#REF!</definedName>
    <definedName name="_Dist_Values" localSheetId="21" hidden="1">#REF!</definedName>
    <definedName name="_Dist_Values" localSheetId="17" hidden="1">#REF!</definedName>
    <definedName name="_Dist_Values" hidden="1">#REF!</definedName>
    <definedName name="_Fill" localSheetId="24" hidden="1">#REF!</definedName>
    <definedName name="_Fill" localSheetId="26" hidden="1">#REF!</definedName>
    <definedName name="_Fill" localSheetId="20" hidden="1">#REF!</definedName>
    <definedName name="_Fill" localSheetId="23" hidden="1">#REF!</definedName>
    <definedName name="_Fill" localSheetId="21" hidden="1">#REF!</definedName>
    <definedName name="_Fill" localSheetId="17" hidden="1">#REF!</definedName>
    <definedName name="_Fill" hidden="1">#REF!</definedName>
    <definedName name="_Fill1" localSheetId="24" hidden="1">#REF!</definedName>
    <definedName name="_Fill1" localSheetId="26" hidden="1">#REF!</definedName>
    <definedName name="_Fill1" localSheetId="20" hidden="1">#REF!</definedName>
    <definedName name="_Fill1" localSheetId="23" hidden="1">#REF!</definedName>
    <definedName name="_Fill1" localSheetId="21" hidden="1">#REF!</definedName>
    <definedName name="_Fill1" localSheetId="17" hidden="1">#REF!</definedName>
    <definedName name="_Fill1" hidden="1">#REF!</definedName>
    <definedName name="_g7.2" localSheetId="31" hidden="1">{#N/A,#N/A,FALSE,"т04"}</definedName>
    <definedName name="_g7.2" localSheetId="32" hidden="1">{#N/A,#N/A,FALSE,"т04"}</definedName>
    <definedName name="_g7.2" localSheetId="11" hidden="1">{#N/A,#N/A,FALSE,"т04"}</definedName>
    <definedName name="_g7.2" localSheetId="12" hidden="1">{#N/A,#N/A,FALSE,"т04"}</definedName>
    <definedName name="_g7.2" localSheetId="18" hidden="1">{#N/A,#N/A,FALSE,"т04"}</definedName>
    <definedName name="_g7.2" localSheetId="19" hidden="1">{#N/A,#N/A,FALSE,"т04"}</definedName>
    <definedName name="_g7.2" hidden="1">{#N/A,#N/A,FALSE,"т04"}</definedName>
    <definedName name="_jsnfjsndj" localSheetId="24" hidden="1">#REF!</definedName>
    <definedName name="_jsnfjsndj" localSheetId="31" hidden="1">#REF!</definedName>
    <definedName name="_jsnfjsndj" localSheetId="32" hidden="1">#REF!</definedName>
    <definedName name="_jsnfjsndj" localSheetId="26" hidden="1">#REF!</definedName>
    <definedName name="_jsnfjsndj" localSheetId="11" hidden="1">#REF!</definedName>
    <definedName name="_jsnfjsndj" localSheetId="20" hidden="1">#REF!</definedName>
    <definedName name="_jsnfjsndj" localSheetId="23" hidden="1">#REF!</definedName>
    <definedName name="_jsnfjsndj" localSheetId="21" hidden="1">#REF!</definedName>
    <definedName name="_jsnfjsndj" localSheetId="17" hidden="1">#REF!</definedName>
    <definedName name="_jsnfjsndj" hidden="1">#REF!</definedName>
    <definedName name="_Key1" localSheetId="24" hidden="1">#REF!</definedName>
    <definedName name="_Key1" localSheetId="31" hidden="1">#REF!</definedName>
    <definedName name="_Key1" localSheetId="32" hidden="1">#REF!</definedName>
    <definedName name="_Key1" localSheetId="26" hidden="1">#REF!</definedName>
    <definedName name="_Key1" localSheetId="11" hidden="1">#REF!</definedName>
    <definedName name="_Key1" localSheetId="20" hidden="1">#REF!</definedName>
    <definedName name="_Key1" localSheetId="23" hidden="1">#REF!</definedName>
    <definedName name="_Key1" localSheetId="21" hidden="1">#REF!</definedName>
    <definedName name="_Key1" localSheetId="17" hidden="1">#REF!</definedName>
    <definedName name="_Key1" hidden="1">#REF!</definedName>
    <definedName name="_Key2" localSheetId="24" hidden="1">#REF!</definedName>
    <definedName name="_Key2" localSheetId="31" hidden="1">#REF!</definedName>
    <definedName name="_Key2" localSheetId="32" hidden="1">#REF!</definedName>
    <definedName name="_Key2" localSheetId="26" hidden="1">#REF!</definedName>
    <definedName name="_Key2" localSheetId="11" hidden="1">#REF!</definedName>
    <definedName name="_Key2" localSheetId="20" hidden="1">#REF!</definedName>
    <definedName name="_Key2" localSheetId="23" hidden="1">#REF!</definedName>
    <definedName name="_Key2" localSheetId="21" hidden="1">#REF!</definedName>
    <definedName name="_Key2" localSheetId="17" hidden="1">#REF!</definedName>
    <definedName name="_Key2" hidden="1">#REF!</definedName>
    <definedName name="_l" localSheetId="31" hidden="1">{"'előző év december'!$A$2:$CP$214"}</definedName>
    <definedName name="_l" localSheetId="32" hidden="1">{"'előző év december'!$A$2:$CP$214"}</definedName>
    <definedName name="_l" localSheetId="11" hidden="1">{"'előző év december'!$A$2:$CP$214"}</definedName>
    <definedName name="_l" localSheetId="12" hidden="1">{"'előző év december'!$A$2:$CP$214"}</definedName>
    <definedName name="_l" localSheetId="18" hidden="1">{"'előző év december'!$A$2:$CP$214"}</definedName>
    <definedName name="_l" localSheetId="19" hidden="1">{"'előző év december'!$A$2:$CP$214"}</definedName>
    <definedName name="_l" hidden="1">{"'előző év december'!$A$2:$CP$214"}</definedName>
    <definedName name="_Mn2" localSheetId="31" hidden="1">{#N/A,#N/A,FALSE,"т02бд"}</definedName>
    <definedName name="_Mn2" localSheetId="32" hidden="1">{#N/A,#N/A,FALSE,"т02бд"}</definedName>
    <definedName name="_Mn2" localSheetId="11" hidden="1">{#N/A,#N/A,FALSE,"т02бд"}</definedName>
    <definedName name="_Mn2" localSheetId="12" hidden="1">{#N/A,#N/A,FALSE,"т02бд"}</definedName>
    <definedName name="_Mn2" localSheetId="18" hidden="1">{#N/A,#N/A,FALSE,"т02бд"}</definedName>
    <definedName name="_Mn2" localSheetId="19" hidden="1">{#N/A,#N/A,FALSE,"т02бд"}</definedName>
    <definedName name="_Mn2" hidden="1">{#N/A,#N/A,FALSE,"т02бд"}</definedName>
    <definedName name="_Order1" hidden="1">255</definedName>
    <definedName name="_Order2" hidden="1">255</definedName>
    <definedName name="_p" localSheetId="31" hidden="1">{"'előző év december'!$A$2:$CP$214"}</definedName>
    <definedName name="_p" localSheetId="32" hidden="1">{"'előző év december'!$A$2:$CP$214"}</definedName>
    <definedName name="_p" localSheetId="11" hidden="1">{"'előző év december'!$A$2:$CP$214"}</definedName>
    <definedName name="_p" localSheetId="12" hidden="1">{"'előző év december'!$A$2:$CP$214"}</definedName>
    <definedName name="_p" localSheetId="18" hidden="1">{"'előző év december'!$A$2:$CP$214"}</definedName>
    <definedName name="_p" localSheetId="19" hidden="1">{"'előző év december'!$A$2:$CP$214"}</definedName>
    <definedName name="_p" hidden="1">{"'előző év december'!$A$2:$CP$214"}</definedName>
    <definedName name="_Parse_Out" localSheetId="24" hidden="1">#REF!</definedName>
    <definedName name="_Parse_Out" localSheetId="26" hidden="1">#REF!</definedName>
    <definedName name="_Parse_Out" localSheetId="20" hidden="1">#REF!</definedName>
    <definedName name="_Parse_Out" localSheetId="23" hidden="1">#REF!</definedName>
    <definedName name="_Parse_Out" localSheetId="21" hidden="1">#REF!</definedName>
    <definedName name="_Parse_Out" localSheetId="17" hidden="1">#REF!</definedName>
    <definedName name="_Parse_Out" hidden="1">#REF!</definedName>
    <definedName name="_Regression_Int" hidden="1">1</definedName>
    <definedName name="_Regression_Out" localSheetId="24" hidden="1">#REF!</definedName>
    <definedName name="_Regression_Out" localSheetId="31" hidden="1">#REF!</definedName>
    <definedName name="_Regression_Out" localSheetId="32" hidden="1">#REF!</definedName>
    <definedName name="_Regression_Out" localSheetId="26" hidden="1">#REF!</definedName>
    <definedName name="_Regression_Out" localSheetId="11" hidden="1">#REF!</definedName>
    <definedName name="_Regression_Out" localSheetId="20" hidden="1">#REF!</definedName>
    <definedName name="_Regression_Out" localSheetId="23" hidden="1">#REF!</definedName>
    <definedName name="_Regression_Out" localSheetId="21" hidden="1">#REF!</definedName>
    <definedName name="_Regression_Out" localSheetId="17" hidden="1">#REF!</definedName>
    <definedName name="_Regression_Out" hidden="1">#REF!</definedName>
    <definedName name="_Regression_X" localSheetId="24" hidden="1">#REF!</definedName>
    <definedName name="_Regression_X" localSheetId="31" hidden="1">#REF!</definedName>
    <definedName name="_Regression_X" localSheetId="32" hidden="1">#REF!</definedName>
    <definedName name="_Regression_X" localSheetId="26" hidden="1">#REF!</definedName>
    <definedName name="_Regression_X" localSheetId="11" hidden="1">#REF!</definedName>
    <definedName name="_Regression_X" localSheetId="20" hidden="1">#REF!</definedName>
    <definedName name="_Regression_X" localSheetId="23" hidden="1">#REF!</definedName>
    <definedName name="_Regression_X" localSheetId="21" hidden="1">#REF!</definedName>
    <definedName name="_Regression_X" localSheetId="17" hidden="1">#REF!</definedName>
    <definedName name="_Regression_X" hidden="1">#REF!</definedName>
    <definedName name="_Regression_Y" localSheetId="24" hidden="1">#REF!</definedName>
    <definedName name="_Regression_Y" localSheetId="31" hidden="1">#REF!</definedName>
    <definedName name="_Regression_Y" localSheetId="32" hidden="1">#REF!</definedName>
    <definedName name="_Regression_Y" localSheetId="26" hidden="1">#REF!</definedName>
    <definedName name="_Regression_Y" localSheetId="11" hidden="1">#REF!</definedName>
    <definedName name="_Regression_Y" localSheetId="20" hidden="1">#REF!</definedName>
    <definedName name="_Regression_Y" localSheetId="23" hidden="1">#REF!</definedName>
    <definedName name="_Regression_Y" localSheetId="21" hidden="1">#REF!</definedName>
    <definedName name="_Regression_Y" localSheetId="17" hidden="1">#REF!</definedName>
    <definedName name="_Regression_Y" hidden="1">#REF!</definedName>
    <definedName name="_Sort" localSheetId="24" hidden="1">#REF!</definedName>
    <definedName name="_Sort" localSheetId="26" hidden="1">#REF!</definedName>
    <definedName name="_Sort" localSheetId="20" hidden="1">#REF!</definedName>
    <definedName name="_Sort" localSheetId="23" hidden="1">#REF!</definedName>
    <definedName name="_Sort" localSheetId="21" hidden="1">#REF!</definedName>
    <definedName name="_Sort" localSheetId="17" hidden="1">#REF!</definedName>
    <definedName name="_Sort" hidden="1">#REF!</definedName>
    <definedName name="_t04" localSheetId="31" hidden="1">{#N/A,#N/A,FALSE,"т04"}</definedName>
    <definedName name="_t04" localSheetId="32" hidden="1">{#N/A,#N/A,FALSE,"т04"}</definedName>
    <definedName name="_t04" localSheetId="11" hidden="1">{#N/A,#N/A,FALSE,"т04"}</definedName>
    <definedName name="_t04" localSheetId="12" hidden="1">{#N/A,#N/A,FALSE,"т04"}</definedName>
    <definedName name="_t04" localSheetId="18" hidden="1">{#N/A,#N/A,FALSE,"т04"}</definedName>
    <definedName name="_t04" localSheetId="19" hidden="1">{#N/A,#N/A,FALSE,"т04"}</definedName>
    <definedName name="_t04" hidden="1">{#N/A,#N/A,FALSE,"т04"}</definedName>
    <definedName name="_t06" localSheetId="31" hidden="1">{#N/A,#N/A,FALSE,"т04"}</definedName>
    <definedName name="_t06" localSheetId="32" hidden="1">{#N/A,#N/A,FALSE,"т04"}</definedName>
    <definedName name="_t06" localSheetId="11" hidden="1">{#N/A,#N/A,FALSE,"т04"}</definedName>
    <definedName name="_t06" localSheetId="12" hidden="1">{#N/A,#N/A,FALSE,"т04"}</definedName>
    <definedName name="_t06" localSheetId="18" hidden="1">{#N/A,#N/A,FALSE,"т04"}</definedName>
    <definedName name="_t06" localSheetId="19" hidden="1">{#N/A,#N/A,FALSE,"т04"}</definedName>
    <definedName name="_t06" hidden="1">{#N/A,#N/A,FALSE,"т04"}</definedName>
    <definedName name="_tab06" localSheetId="24">#REF!</definedName>
    <definedName name="_tab06" localSheetId="31">#REF!</definedName>
    <definedName name="_tab06" localSheetId="32">#REF!</definedName>
    <definedName name="_tab06" localSheetId="26">#REF!</definedName>
    <definedName name="_tab06" localSheetId="11">#REF!</definedName>
    <definedName name="_tab06" localSheetId="20">#REF!</definedName>
    <definedName name="_tab06" localSheetId="23">#REF!</definedName>
    <definedName name="_tab06" localSheetId="21">#REF!</definedName>
    <definedName name="_tab06" localSheetId="17">#REF!</definedName>
    <definedName name="_tab06" localSheetId="12">#REF!</definedName>
    <definedName name="_tab06" localSheetId="18">#REF!</definedName>
    <definedName name="_tab06" localSheetId="19">#REF!</definedName>
    <definedName name="_tab06">#REF!</definedName>
    <definedName name="_tab07" localSheetId="24">#REF!</definedName>
    <definedName name="_tab07" localSheetId="31">#REF!</definedName>
    <definedName name="_tab07" localSheetId="32">#REF!</definedName>
    <definedName name="_tab07" localSheetId="26">#REF!</definedName>
    <definedName name="_tab07" localSheetId="11">#REF!</definedName>
    <definedName name="_tab07" localSheetId="20">#REF!</definedName>
    <definedName name="_tab07" localSheetId="23">#REF!</definedName>
    <definedName name="_tab07" localSheetId="21">#REF!</definedName>
    <definedName name="_tab07" localSheetId="17">#REF!</definedName>
    <definedName name="_tab07" localSheetId="12">#REF!</definedName>
    <definedName name="_tab07" localSheetId="18">#REF!</definedName>
    <definedName name="_tab07" localSheetId="19">#REF!</definedName>
    <definedName name="_tab07">#REF!</definedName>
    <definedName name="_Tab1" localSheetId="24">#REF!</definedName>
    <definedName name="_Tab1" localSheetId="31">#REF!</definedName>
    <definedName name="_Tab1" localSheetId="32">#REF!</definedName>
    <definedName name="_Tab1" localSheetId="26">#REF!</definedName>
    <definedName name="_Tab1" localSheetId="11">#REF!</definedName>
    <definedName name="_Tab1" localSheetId="20">#REF!</definedName>
    <definedName name="_Tab1" localSheetId="23">#REF!</definedName>
    <definedName name="_Tab1" localSheetId="21">#REF!</definedName>
    <definedName name="_Tab1" localSheetId="17">#REF!</definedName>
    <definedName name="_Tab1" localSheetId="12">#REF!</definedName>
    <definedName name="_Tab1" localSheetId="18">#REF!</definedName>
    <definedName name="_Tab1" localSheetId="19">#REF!</definedName>
    <definedName name="_Tab1">#REF!</definedName>
    <definedName name="_UKR1" localSheetId="24">#REF!</definedName>
    <definedName name="_UKR1" localSheetId="26">#REF!</definedName>
    <definedName name="_UKR1" localSheetId="20">#REF!</definedName>
    <definedName name="_UKR1" localSheetId="23">#REF!</definedName>
    <definedName name="_UKR1" localSheetId="21">#REF!</definedName>
    <definedName name="_UKR1" localSheetId="17">#REF!</definedName>
    <definedName name="_UKR1">#REF!</definedName>
    <definedName name="_UKR2" localSheetId="24">#REF!</definedName>
    <definedName name="_UKR2" localSheetId="26">#REF!</definedName>
    <definedName name="_UKR2" localSheetId="20">#REF!</definedName>
    <definedName name="_UKR2" localSheetId="23">#REF!</definedName>
    <definedName name="_UKR2" localSheetId="21">#REF!</definedName>
    <definedName name="_UKR2" localSheetId="17">#REF!</definedName>
    <definedName name="_UKR2">#REF!</definedName>
    <definedName name="_UKR3" localSheetId="24">#REF!</definedName>
    <definedName name="_UKR3" localSheetId="26">#REF!</definedName>
    <definedName name="_UKR3" localSheetId="20">#REF!</definedName>
    <definedName name="_UKR3" localSheetId="23">#REF!</definedName>
    <definedName name="_UKR3" localSheetId="21">#REF!</definedName>
    <definedName name="_UKR3" localSheetId="17">#REF!</definedName>
    <definedName name="_UKR3">#REF!</definedName>
    <definedName name="_xlnm._FilterDatabase" localSheetId="2" hidden="1">'  Експорт IT + Мігранти'!$A$1:$FM$6</definedName>
    <definedName name="_xlnm._FilterDatabase" localSheetId="0" hidden="1">charts_data_all!$A$2:$BF$355</definedName>
    <definedName name="_xlnm._FilterDatabase" localSheetId="26" hidden="1">'макет прогноза на месяц'!$Z$176:$Z$398</definedName>
    <definedName name="a" localSheetId="24">#REF!</definedName>
    <definedName name="a" localSheetId="26">#REF!</definedName>
    <definedName name="a" localSheetId="20">#REF!</definedName>
    <definedName name="a" localSheetId="23">#REF!</definedName>
    <definedName name="a" localSheetId="21">#REF!</definedName>
    <definedName name="a" localSheetId="17">#REF!</definedName>
    <definedName name="a">#REF!</definedName>
    <definedName name="aaa" localSheetId="31" hidden="1">{"'előző év december'!$A$2:$CP$214"}</definedName>
    <definedName name="aaa" localSheetId="32" hidden="1">{"'előző év december'!$A$2:$CP$214"}</definedName>
    <definedName name="aaa" localSheetId="11" hidden="1">{"'előző év december'!$A$2:$CP$214"}</definedName>
    <definedName name="aaa" localSheetId="12" hidden="1">{"'előző év december'!$A$2:$CP$214"}</definedName>
    <definedName name="aaa" localSheetId="18" hidden="1">{"'előző év december'!$A$2:$CP$214"}</definedName>
    <definedName name="aaa" localSheetId="19" hidden="1">{"'előző év december'!$A$2:$CP$214"}</definedName>
    <definedName name="aaa" hidden="1">{"'előző év december'!$A$2:$CP$214"}</definedName>
    <definedName name="aaaaa" localSheetId="31" hidden="1">{"'előző év december'!$A$2:$CP$214"}</definedName>
    <definedName name="aaaaa" localSheetId="32" hidden="1">{"'előző év december'!$A$2:$CP$214"}</definedName>
    <definedName name="aaaaa" localSheetId="11" hidden="1">{"'előző év december'!$A$2:$CP$214"}</definedName>
    <definedName name="aaaaa" localSheetId="12" hidden="1">{"'előző év december'!$A$2:$CP$214"}</definedName>
    <definedName name="aaaaa" localSheetId="18" hidden="1">{"'előző év december'!$A$2:$CP$214"}</definedName>
    <definedName name="aaaaa" localSheetId="19" hidden="1">{"'előző év december'!$A$2:$CP$214"}</definedName>
    <definedName name="aaaaa" hidden="1">{"'előző év december'!$A$2:$CP$214"}</definedName>
    <definedName name="AccessDatabase" hidden="1">"D:\WIK\Отчеты\Планерка\2002\10\$101002_.mdb"</definedName>
    <definedName name="activité1" localSheetId="31" hidden="1">{"résultats",#N/A,FALSE,"résultats SFS";"indicateurs",#N/A,FALSE,"résultats SFS";"commentaires",#N/A,FALSE,"commentaires SFS";"graphiques",#N/A,FALSE,"graphiques SFS"}</definedName>
    <definedName name="activité1" localSheetId="32" hidden="1">{"résultats",#N/A,FALSE,"résultats SFS";"indicateurs",#N/A,FALSE,"résultats SFS";"commentaires",#N/A,FALSE,"commentaires SFS";"graphiques",#N/A,FALSE,"graphiques SFS"}</definedName>
    <definedName name="activité1" localSheetId="11" hidden="1">{"résultats",#N/A,FALSE,"résultats SFS";"indicateurs",#N/A,FALSE,"résultats SFS";"commentaires",#N/A,FALSE,"commentaires SFS";"graphiques",#N/A,FALSE,"graphiques SFS"}</definedName>
    <definedName name="activité1" localSheetId="12" hidden="1">{"résultats",#N/A,FALSE,"résultats SFS";"indicateurs",#N/A,FALSE,"résultats SFS";"commentaires",#N/A,FALSE,"commentaires SFS";"graphiques",#N/A,FALSE,"graphiques SFS"}</definedName>
    <definedName name="activité1" localSheetId="18" hidden="1">{"résultats",#N/A,FALSE,"résultats SFS";"indicateurs",#N/A,FALSE,"résultats SFS";"commentaires",#N/A,FALSE,"commentaires SFS";"graphiques",#N/A,FALSE,"graphiques SFS"}</definedName>
    <definedName name="activité1" localSheetId="19" hidden="1">{"résultats",#N/A,FALSE,"résultats SFS";"indicateurs",#N/A,FALSE,"résultats SFS";"commentaires",#N/A,FALSE,"commentaires SFS";"graphiques",#N/A,FALSE,"graphiques SFS"}</definedName>
    <definedName name="activité1" hidden="1">{"résultats",#N/A,FALSE,"résultats SFS";"indicateurs",#N/A,FALSE,"résultats SFS";"commentaires",#N/A,FALSE,"commentaires SFS";"graphiques",#N/A,FALSE,"graphiques SFS"}</definedName>
    <definedName name="activité11" localSheetId="31" hidden="1">{"résultats",#N/A,FALSE,"résultats SFS";"indicateurs",#N/A,FALSE,"résultats SFS";"commentaires",#N/A,FALSE,"commentaires SFS";"graphiques",#N/A,FALSE,"graphiques SFS"}</definedName>
    <definedName name="activité11" localSheetId="32" hidden="1">{"résultats",#N/A,FALSE,"résultats SFS";"indicateurs",#N/A,FALSE,"résultats SFS";"commentaires",#N/A,FALSE,"commentaires SFS";"graphiques",#N/A,FALSE,"graphiques SFS"}</definedName>
    <definedName name="activité11" localSheetId="11" hidden="1">{"résultats",#N/A,FALSE,"résultats SFS";"indicateurs",#N/A,FALSE,"résultats SFS";"commentaires",#N/A,FALSE,"commentaires SFS";"graphiques",#N/A,FALSE,"graphiques SFS"}</definedName>
    <definedName name="activité11" localSheetId="12" hidden="1">{"résultats",#N/A,FALSE,"résultats SFS";"indicateurs",#N/A,FALSE,"résultats SFS";"commentaires",#N/A,FALSE,"commentaires SFS";"graphiques",#N/A,FALSE,"graphiques SFS"}</definedName>
    <definedName name="activité11" localSheetId="18" hidden="1">{"résultats",#N/A,FALSE,"résultats SFS";"indicateurs",#N/A,FALSE,"résultats SFS";"commentaires",#N/A,FALSE,"commentaires SFS";"graphiques",#N/A,FALSE,"graphiques SFS"}</definedName>
    <definedName name="activité11" localSheetId="19" hidden="1">{"résultats",#N/A,FALSE,"résultats SFS";"indicateurs",#N/A,FALSE,"résultats SFS";"commentaires",#N/A,FALSE,"commentaires SFS";"graphiques",#N/A,FALSE,"graphiques SFS"}</definedName>
    <definedName name="activité11" hidden="1">{"résultats",#N/A,FALSE,"résultats SFS";"indicateurs",#N/A,FALSE,"résultats SFS";"commentaires",#N/A,FALSE,"commentaires SFS";"graphiques",#N/A,FALSE,"graphiques SFS"}</definedName>
    <definedName name="af" localSheetId="31" hidden="1">{#N/A,#N/A,FALSE,"т02бд"}</definedName>
    <definedName name="af" localSheetId="32" hidden="1">{#N/A,#N/A,FALSE,"т02бд"}</definedName>
    <definedName name="af" localSheetId="11" hidden="1">{#N/A,#N/A,FALSE,"т02бд"}</definedName>
    <definedName name="af" localSheetId="12" hidden="1">{#N/A,#N/A,FALSE,"т02бд"}</definedName>
    <definedName name="af" localSheetId="18" hidden="1">{#N/A,#N/A,FALSE,"т02бд"}</definedName>
    <definedName name="af" localSheetId="19" hidden="1">{#N/A,#N/A,FALSE,"т02бд"}</definedName>
    <definedName name="af" hidden="1">{#N/A,#N/A,FALSE,"т02бд"}</definedName>
    <definedName name="Agency_List">[1]Control!$H$17:$H$19</definedName>
    <definedName name="All_Data" localSheetId="24">#REF!</definedName>
    <definedName name="All_Data" localSheetId="31">#REF!</definedName>
    <definedName name="All_Data" localSheetId="32">#REF!</definedName>
    <definedName name="All_Data" localSheetId="26">#REF!</definedName>
    <definedName name="All_Data" localSheetId="11">#REF!</definedName>
    <definedName name="All_Data" localSheetId="20">#REF!</definedName>
    <definedName name="All_Data" localSheetId="23">#REF!</definedName>
    <definedName name="All_Data" localSheetId="21">#REF!</definedName>
    <definedName name="All_Data" localSheetId="17">#REF!</definedName>
    <definedName name="All_Data" localSheetId="12">#REF!</definedName>
    <definedName name="All_Data" localSheetId="18">#REF!</definedName>
    <definedName name="All_Data" localSheetId="19">#REF!</definedName>
    <definedName name="All_Data">#REF!</definedName>
    <definedName name="anscount" hidden="1">1</definedName>
    <definedName name="asasa" localSheetId="31" hidden="1">{#N/A,#N/A,FALSE,"т02бд"}</definedName>
    <definedName name="asasa" localSheetId="32" hidden="1">{#N/A,#N/A,FALSE,"т02бд"}</definedName>
    <definedName name="asasa" localSheetId="11" hidden="1">{#N/A,#N/A,FALSE,"т02бд"}</definedName>
    <definedName name="asasa" localSheetId="12" hidden="1">{#N/A,#N/A,FALSE,"т02бд"}</definedName>
    <definedName name="asasa" localSheetId="18" hidden="1">{#N/A,#N/A,FALSE,"т02бд"}</definedName>
    <definedName name="asasa" localSheetId="19" hidden="1">{#N/A,#N/A,FALSE,"т02бд"}</definedName>
    <definedName name="asasa" hidden="1">{#N/A,#N/A,FALSE,"т02бд"}</definedName>
    <definedName name="asdasd" localSheetId="31" hidden="1">{"'előző év december'!$A$2:$CP$214"}</definedName>
    <definedName name="asdasd" localSheetId="32" hidden="1">{"'előző év december'!$A$2:$CP$214"}</definedName>
    <definedName name="asdasd" localSheetId="11" hidden="1">{"'előző év december'!$A$2:$CP$214"}</definedName>
    <definedName name="asdasd" localSheetId="12" hidden="1">{"'előző év december'!$A$2:$CP$214"}</definedName>
    <definedName name="asdasd" localSheetId="18" hidden="1">{"'előző év december'!$A$2:$CP$214"}</definedName>
    <definedName name="asdasd" localSheetId="19" hidden="1">{"'előző év december'!$A$2:$CP$214"}</definedName>
    <definedName name="asdasd" hidden="1">{"'előző év december'!$A$2:$CP$214"}</definedName>
    <definedName name="asdf" localSheetId="31" hidden="1">{"'előző év december'!$A$2:$CP$214"}</definedName>
    <definedName name="asdf" localSheetId="32" hidden="1">{"'előző év december'!$A$2:$CP$214"}</definedName>
    <definedName name="asdf" localSheetId="11" hidden="1">{"'előző év december'!$A$2:$CP$214"}</definedName>
    <definedName name="asdf" localSheetId="12" hidden="1">{"'előző év december'!$A$2:$CP$214"}</definedName>
    <definedName name="asdf" localSheetId="18" hidden="1">{"'előző év december'!$A$2:$CP$214"}</definedName>
    <definedName name="asdf" localSheetId="19" hidden="1">{"'előző év december'!$A$2:$CP$214"}</definedName>
    <definedName name="asdf" hidden="1">{"'előző év december'!$A$2:$CP$214"}</definedName>
    <definedName name="asdfasd" localSheetId="31" hidden="1">{"'előző év december'!$A$2:$CP$214"}</definedName>
    <definedName name="asdfasd" localSheetId="32" hidden="1">{"'előző év december'!$A$2:$CP$214"}</definedName>
    <definedName name="asdfasd" localSheetId="11" hidden="1">{"'előző év december'!$A$2:$CP$214"}</definedName>
    <definedName name="asdfasd" localSheetId="12" hidden="1">{"'előző év december'!$A$2:$CP$214"}</definedName>
    <definedName name="asdfasd" localSheetId="18" hidden="1">{"'előző év december'!$A$2:$CP$214"}</definedName>
    <definedName name="asdfasd" localSheetId="19" hidden="1">{"'előző év december'!$A$2:$CP$214"}</definedName>
    <definedName name="asdfasd" hidden="1">{"'előző év december'!$A$2:$CP$214"}</definedName>
    <definedName name="asf" localSheetId="31" hidden="1">{#N/A,#N/A,FALSE,"т02бд"}</definedName>
    <definedName name="asf" localSheetId="32" hidden="1">{#N/A,#N/A,FALSE,"т02бд"}</definedName>
    <definedName name="asf" localSheetId="11" hidden="1">{#N/A,#N/A,FALSE,"т02бд"}</definedName>
    <definedName name="asf" localSheetId="12" hidden="1">{#N/A,#N/A,FALSE,"т02бд"}</definedName>
    <definedName name="asf" localSheetId="18" hidden="1">{#N/A,#N/A,FALSE,"т02бд"}</definedName>
    <definedName name="asf" localSheetId="19" hidden="1">{#N/A,#N/A,FALSE,"т02бд"}</definedName>
    <definedName name="asf" hidden="1">{#N/A,#N/A,FALSE,"т02бд"}</definedName>
    <definedName name="asfasg" localSheetId="31" hidden="1">{#N/A,#N/A,FALSE,"т02бд"}</definedName>
    <definedName name="asfasg" localSheetId="32" hidden="1">{#N/A,#N/A,FALSE,"т02бд"}</definedName>
    <definedName name="asfasg" localSheetId="11" hidden="1">{#N/A,#N/A,FALSE,"т02бд"}</definedName>
    <definedName name="asfasg" localSheetId="12" hidden="1">{#N/A,#N/A,FALSE,"т02бд"}</definedName>
    <definedName name="asfasg" localSheetId="18" hidden="1">{#N/A,#N/A,FALSE,"т02бд"}</definedName>
    <definedName name="asfasg" localSheetId="19" hidden="1">{#N/A,#N/A,FALSE,"т02бд"}</definedName>
    <definedName name="asfasg" hidden="1">{#N/A,#N/A,FALSE,"т02бд"}</definedName>
    <definedName name="asfdasdf" localSheetId="31" hidden="1">{#N/A,#N/A,FALSE,"т04"}</definedName>
    <definedName name="asfdasdf" localSheetId="32" hidden="1">{#N/A,#N/A,FALSE,"т04"}</definedName>
    <definedName name="asfdasdf" localSheetId="11" hidden="1">{#N/A,#N/A,FALSE,"т04"}</definedName>
    <definedName name="asfdasdf" localSheetId="12" hidden="1">{#N/A,#N/A,FALSE,"т04"}</definedName>
    <definedName name="asfdasdf" localSheetId="18" hidden="1">{#N/A,#N/A,FALSE,"т04"}</definedName>
    <definedName name="asfdasdf" localSheetId="19" hidden="1">{#N/A,#N/A,FALSE,"т04"}</definedName>
    <definedName name="asfdasdf" hidden="1">{#N/A,#N/A,FALSE,"т04"}</definedName>
    <definedName name="asgf" localSheetId="31" hidden="1">{#N/A,#N/A,FALSE,"т02бд"}</definedName>
    <definedName name="asgf" localSheetId="32" hidden="1">{#N/A,#N/A,FALSE,"т02бд"}</definedName>
    <definedName name="asgf" localSheetId="11" hidden="1">{#N/A,#N/A,FALSE,"т02бд"}</definedName>
    <definedName name="asgf" localSheetId="12" hidden="1">{#N/A,#N/A,FALSE,"т02бд"}</definedName>
    <definedName name="asgf" localSheetId="18" hidden="1">{#N/A,#N/A,FALSE,"т02бд"}</definedName>
    <definedName name="asgf" localSheetId="19" hidden="1">{#N/A,#N/A,FALSE,"т02бд"}</definedName>
    <definedName name="asgf" hidden="1">{#N/A,#N/A,FALSE,"т02бд"}</definedName>
    <definedName name="Balance_of_payments" localSheetId="24">#REF!</definedName>
    <definedName name="Balance_of_payments" localSheetId="31">#REF!</definedName>
    <definedName name="Balance_of_payments" localSheetId="32">#REF!</definedName>
    <definedName name="Balance_of_payments" localSheetId="26">#REF!</definedName>
    <definedName name="Balance_of_payments" localSheetId="11">#REF!</definedName>
    <definedName name="Balance_of_payments" localSheetId="20">#REF!</definedName>
    <definedName name="Balance_of_payments" localSheetId="23">#REF!</definedName>
    <definedName name="Balance_of_payments" localSheetId="21">#REF!</definedName>
    <definedName name="Balance_of_payments" localSheetId="17">#REF!</definedName>
    <definedName name="Balance_of_payments" localSheetId="12">#REF!</definedName>
    <definedName name="Balance_of_payments" localSheetId="18">#REF!</definedName>
    <definedName name="Balance_of_payments" localSheetId="19">#REF!</definedName>
    <definedName name="Balance_of_payments">#REF!</definedName>
    <definedName name="bbb" localSheetId="31" hidden="1">{#N/A,#N/A,FALSE,"т02бд"}</definedName>
    <definedName name="bbb" localSheetId="32" hidden="1">{#N/A,#N/A,FALSE,"т02бд"}</definedName>
    <definedName name="bbb" localSheetId="11" hidden="1">{#N/A,#N/A,FALSE,"т02бд"}</definedName>
    <definedName name="bbb" localSheetId="12" hidden="1">{#N/A,#N/A,FALSE,"т02бд"}</definedName>
    <definedName name="bbb" localSheetId="18" hidden="1">{#N/A,#N/A,FALSE,"т02бд"}</definedName>
    <definedName name="bbb" localSheetId="19" hidden="1">{#N/A,#N/A,FALSE,"т02бд"}</definedName>
    <definedName name="bbb" hidden="1">{#N/A,#N/A,FALSE,"т02бд"}</definedName>
    <definedName name="BLPH1" localSheetId="24" hidden="1">#REF!</definedName>
    <definedName name="BLPH1" localSheetId="31" hidden="1">#REF!</definedName>
    <definedName name="BLPH1" localSheetId="32" hidden="1">#REF!</definedName>
    <definedName name="BLPH1" localSheetId="26" hidden="1">#REF!</definedName>
    <definedName name="BLPH1" localSheetId="11" hidden="1">#REF!</definedName>
    <definedName name="BLPH1" localSheetId="20" hidden="1">#REF!</definedName>
    <definedName name="BLPH1" localSheetId="23" hidden="1">#REF!</definedName>
    <definedName name="BLPH1" localSheetId="21" hidden="1">#REF!</definedName>
    <definedName name="BLPH1" localSheetId="17" hidden="1">#REF!</definedName>
    <definedName name="BLPH1" hidden="1">#REF!</definedName>
    <definedName name="BLPH2" localSheetId="24" hidden="1">#REF!</definedName>
    <definedName name="BLPH2" localSheetId="31" hidden="1">#REF!</definedName>
    <definedName name="BLPH2" localSheetId="32" hidden="1">#REF!</definedName>
    <definedName name="BLPH2" localSheetId="26" hidden="1">#REF!</definedName>
    <definedName name="BLPH2" localSheetId="11" hidden="1">#REF!</definedName>
    <definedName name="BLPH2" localSheetId="20" hidden="1">#REF!</definedName>
    <definedName name="BLPH2" localSheetId="23" hidden="1">#REF!</definedName>
    <definedName name="BLPH2" localSheetId="21" hidden="1">#REF!</definedName>
    <definedName name="BLPH2" localSheetId="17" hidden="1">#REF!</definedName>
    <definedName name="BLPH2" hidden="1">#REF!</definedName>
    <definedName name="BLPH3" localSheetId="24" hidden="1">#REF!</definedName>
    <definedName name="BLPH3" localSheetId="31" hidden="1">#REF!</definedName>
    <definedName name="BLPH3" localSheetId="32" hidden="1">#REF!</definedName>
    <definedName name="BLPH3" localSheetId="26" hidden="1">#REF!</definedName>
    <definedName name="BLPH3" localSheetId="11" hidden="1">#REF!</definedName>
    <definedName name="BLPH3" localSheetId="20" hidden="1">#REF!</definedName>
    <definedName name="BLPH3" localSheetId="23" hidden="1">#REF!</definedName>
    <definedName name="BLPH3" localSheetId="21" hidden="1">#REF!</definedName>
    <definedName name="BLPH3" localSheetId="17" hidden="1">#REF!</definedName>
    <definedName name="BLPH3" hidden="1">#REF!</definedName>
    <definedName name="bn" localSheetId="31" hidden="1">{"'előző év december'!$A$2:$CP$214"}</definedName>
    <definedName name="bn" localSheetId="32" hidden="1">{"'előző év december'!$A$2:$CP$214"}</definedName>
    <definedName name="bn" localSheetId="11" hidden="1">{"'előző év december'!$A$2:$CP$214"}</definedName>
    <definedName name="bn" localSheetId="12" hidden="1">{"'előző év december'!$A$2:$CP$214"}</definedName>
    <definedName name="bn" localSheetId="18" hidden="1">{"'előző év december'!$A$2:$CP$214"}</definedName>
    <definedName name="bn" localSheetId="19" hidden="1">{"'előző év december'!$A$2:$CP$214"}</definedName>
    <definedName name="bn" hidden="1">{"'előző év december'!$A$2:$CP$214"}</definedName>
    <definedName name="bnn" localSheetId="31" hidden="1">{"'előző év december'!$A$2:$CP$214"}</definedName>
    <definedName name="bnn" localSheetId="32" hidden="1">{"'előző év december'!$A$2:$CP$214"}</definedName>
    <definedName name="bnn" localSheetId="11" hidden="1">{"'előző év december'!$A$2:$CP$214"}</definedName>
    <definedName name="bnn" localSheetId="12" hidden="1">{"'előző év december'!$A$2:$CP$214"}</definedName>
    <definedName name="bnn" localSheetId="18" hidden="1">{"'előző év december'!$A$2:$CP$214"}</definedName>
    <definedName name="bnn" localSheetId="19" hidden="1">{"'előző év december'!$A$2:$CP$214"}</definedName>
    <definedName name="bnn" hidden="1">{"'előző év december'!$A$2:$CP$214"}</definedName>
    <definedName name="bp" localSheetId="31" hidden="1">{"BOP_TAB",#N/A,FALSE,"N";"MIDTERM_TAB",#N/A,FALSE,"O";"FUND_CRED",#N/A,FALSE,"P";"DEBT_TAB1",#N/A,FALSE,"Q";"DEBT_TAB2",#N/A,FALSE,"Q";"FORFIN_TAB1",#N/A,FALSE,"R";"FORFIN_TAB2",#N/A,FALSE,"R";"BOP_ANALY",#N/A,FALSE,"U"}</definedName>
    <definedName name="bp" localSheetId="32" hidden="1">{"BOP_TAB",#N/A,FALSE,"N";"MIDTERM_TAB",#N/A,FALSE,"O";"FUND_CRED",#N/A,FALSE,"P";"DEBT_TAB1",#N/A,FALSE,"Q";"DEBT_TAB2",#N/A,FALSE,"Q";"FORFIN_TAB1",#N/A,FALSE,"R";"FORFIN_TAB2",#N/A,FALSE,"R";"BOP_ANALY",#N/A,FALSE,"U"}</definedName>
    <definedName name="bp" localSheetId="11" hidden="1">{"BOP_TAB",#N/A,FALSE,"N";"MIDTERM_TAB",#N/A,FALSE,"O";"FUND_CRED",#N/A,FALSE,"P";"DEBT_TAB1",#N/A,FALSE,"Q";"DEBT_TAB2",#N/A,FALSE,"Q";"FORFIN_TAB1",#N/A,FALSE,"R";"FORFIN_TAB2",#N/A,FALSE,"R";"BOP_ANALY",#N/A,FALSE,"U"}</definedName>
    <definedName name="bp" localSheetId="12" hidden="1">{"BOP_TAB",#N/A,FALSE,"N";"MIDTERM_TAB",#N/A,FALSE,"O";"FUND_CRED",#N/A,FALSE,"P";"DEBT_TAB1",#N/A,FALSE,"Q";"DEBT_TAB2",#N/A,FALSE,"Q";"FORFIN_TAB1",#N/A,FALSE,"R";"FORFIN_TAB2",#N/A,FALSE,"R";"BOP_ANALY",#N/A,FALSE,"U"}</definedName>
    <definedName name="bp" localSheetId="18" hidden="1">{"BOP_TAB",#N/A,FALSE,"N";"MIDTERM_TAB",#N/A,FALSE,"O";"FUND_CRED",#N/A,FALSE,"P";"DEBT_TAB1",#N/A,FALSE,"Q";"DEBT_TAB2",#N/A,FALSE,"Q";"FORFIN_TAB1",#N/A,FALSE,"R";"FORFIN_TAB2",#N/A,FALSE,"R";"BOP_ANALY",#N/A,FALSE,"U"}</definedName>
    <definedName name="bp" localSheetId="19" hidden="1">{"BOP_TAB",#N/A,FALSE,"N";"MIDTERM_TAB",#N/A,FALSE,"O";"FUND_CRED",#N/A,FALSE,"P";"DEBT_TAB1",#N/A,FALSE,"Q";"DEBT_TAB2",#N/A,FALSE,"Q";"FORFIN_TAB1",#N/A,FALSE,"R";"FORFIN_TAB2",#N/A,FALSE,"R";"BOP_ANALY",#N/A,FALSE,"U"}</definedName>
    <definedName name="bp" hidden="1">{"BOP_TAB",#N/A,FALSE,"N";"MIDTERM_TAB",#N/A,FALSE,"O";"FUND_CRED",#N/A,FALSE,"P";"DEBT_TAB1",#N/A,FALSE,"Q";"DEBT_TAB2",#N/A,FALSE,"Q";"FORFIN_TAB1",#N/A,FALSE,"R";"FORFIN_TAB2",#N/A,FALSE,"R";"BOP_ANALY",#N/A,FALSE,"U"}</definedName>
    <definedName name="BRO" localSheetId="24">#REF!</definedName>
    <definedName name="BRO" localSheetId="31">#REF!</definedName>
    <definedName name="BRO" localSheetId="32">#REF!</definedName>
    <definedName name="BRO" localSheetId="26">#REF!</definedName>
    <definedName name="BRO" localSheetId="11">#REF!</definedName>
    <definedName name="BRO" localSheetId="20">#REF!</definedName>
    <definedName name="BRO" localSheetId="23">#REF!</definedName>
    <definedName name="BRO" localSheetId="21">#REF!</definedName>
    <definedName name="BRO" localSheetId="17">#REF!</definedName>
    <definedName name="BRO" localSheetId="12">#REF!</definedName>
    <definedName name="BRO" localSheetId="18">#REF!</definedName>
    <definedName name="BRO" localSheetId="19">#REF!</definedName>
    <definedName name="BRO">#REF!</definedName>
    <definedName name="brr" localSheetId="31" hidden="1">{"'előző év december'!$A$2:$CP$214"}</definedName>
    <definedName name="brr" localSheetId="32" hidden="1">{"'előző év december'!$A$2:$CP$214"}</definedName>
    <definedName name="brr" localSheetId="11" hidden="1">{"'előző év december'!$A$2:$CP$214"}</definedName>
    <definedName name="brr" localSheetId="12" hidden="1">{"'előző év december'!$A$2:$CP$214"}</definedName>
    <definedName name="brr" localSheetId="18" hidden="1">{"'előző év december'!$A$2:$CP$214"}</definedName>
    <definedName name="brr" localSheetId="19" hidden="1">{"'előző év december'!$A$2:$CP$214"}</definedName>
    <definedName name="brr" hidden="1">{"'előző év december'!$A$2:$CP$214"}</definedName>
    <definedName name="BUControlSheet_CurrencySelections">[2]Control!$A$19:$A$20</definedName>
    <definedName name="BUControlSheet_FormulaSelections">[2]Control!$A$16:$A$17</definedName>
    <definedName name="BUControlSheet_RevisionSelections">[2]Control!$A$21:$A$22</definedName>
    <definedName name="BUControlSheet_ScaleSelections">[2]Control!$J$35:$J$36</definedName>
    <definedName name="BudArrears" localSheetId="24">#REF!</definedName>
    <definedName name="BudArrears" localSheetId="31">#REF!</definedName>
    <definedName name="BudArrears" localSheetId="32">#REF!</definedName>
    <definedName name="BudArrears" localSheetId="26">#REF!</definedName>
    <definedName name="BudArrears" localSheetId="11">#REF!</definedName>
    <definedName name="BudArrears" localSheetId="20">#REF!</definedName>
    <definedName name="BudArrears" localSheetId="23">#REF!</definedName>
    <definedName name="BudArrears" localSheetId="21">#REF!</definedName>
    <definedName name="BudArrears" localSheetId="17">#REF!</definedName>
    <definedName name="BudArrears" localSheetId="12">#REF!</definedName>
    <definedName name="BudArrears" localSheetId="18">#REF!</definedName>
    <definedName name="BudArrears" localSheetId="19">#REF!</definedName>
    <definedName name="BudArrears">#REF!</definedName>
    <definedName name="budfin" localSheetId="24">#REF!</definedName>
    <definedName name="budfin" localSheetId="31">#REF!</definedName>
    <definedName name="budfin" localSheetId="32">#REF!</definedName>
    <definedName name="budfin" localSheetId="26">#REF!</definedName>
    <definedName name="budfin" localSheetId="11">#REF!</definedName>
    <definedName name="budfin" localSheetId="20">#REF!</definedName>
    <definedName name="budfin" localSheetId="23">#REF!</definedName>
    <definedName name="budfin" localSheetId="21">#REF!</definedName>
    <definedName name="budfin" localSheetId="17">#REF!</definedName>
    <definedName name="budfin" localSheetId="12">#REF!</definedName>
    <definedName name="budfin" localSheetId="18">#REF!</definedName>
    <definedName name="budfin" localSheetId="19">#REF!</definedName>
    <definedName name="budfin">#REF!</definedName>
    <definedName name="Budget" localSheetId="24">#REF!</definedName>
    <definedName name="Budget" localSheetId="31">#REF!</definedName>
    <definedName name="Budget" localSheetId="32">#REF!</definedName>
    <definedName name="Budget" localSheetId="26">#REF!</definedName>
    <definedName name="Budget" localSheetId="11">#REF!</definedName>
    <definedName name="Budget" localSheetId="20">#REF!</definedName>
    <definedName name="Budget" localSheetId="23">#REF!</definedName>
    <definedName name="Budget" localSheetId="21">#REF!</definedName>
    <definedName name="Budget" localSheetId="17">#REF!</definedName>
    <definedName name="Budget" localSheetId="12">#REF!</definedName>
    <definedName name="Budget" localSheetId="18">#REF!</definedName>
    <definedName name="Budget" localSheetId="19">#REF!</definedName>
    <definedName name="Budget">#REF!</definedName>
    <definedName name="budget_financing" localSheetId="24">#REF!</definedName>
    <definedName name="budget_financing" localSheetId="26">#REF!</definedName>
    <definedName name="budget_financing" localSheetId="20">#REF!</definedName>
    <definedName name="budget_financing" localSheetId="23">#REF!</definedName>
    <definedName name="budget_financing" localSheetId="21">#REF!</definedName>
    <definedName name="budget_financing" localSheetId="17">#REF!</definedName>
    <definedName name="budget_financing">#REF!</definedName>
    <definedName name="Central" localSheetId="24">#REF!</definedName>
    <definedName name="Central" localSheetId="26">#REF!</definedName>
    <definedName name="Central" localSheetId="20">#REF!</definedName>
    <definedName name="Central" localSheetId="23">#REF!</definedName>
    <definedName name="Central" localSheetId="21">#REF!</definedName>
    <definedName name="Central" localSheetId="17">#REF!</definedName>
    <definedName name="Central">#REF!</definedName>
    <definedName name="cfgfd" localSheetId="31" hidden="1">{"'előző év december'!$A$2:$CP$214"}</definedName>
    <definedName name="cfgfd" localSheetId="32" hidden="1">{"'előző év december'!$A$2:$CP$214"}</definedName>
    <definedName name="cfgfd" localSheetId="11" hidden="1">{"'előző év december'!$A$2:$CP$214"}</definedName>
    <definedName name="cfgfd" localSheetId="12" hidden="1">{"'előző év december'!$A$2:$CP$214"}</definedName>
    <definedName name="cfgfd" localSheetId="18" hidden="1">{"'előző év december'!$A$2:$CP$214"}</definedName>
    <definedName name="cfgfd" localSheetId="19" hidden="1">{"'előző év december'!$A$2:$CP$214"}</definedName>
    <definedName name="cfgfd" hidden="1">{"'előző év december'!$A$2:$CP$214"}</definedName>
    <definedName name="Chart_ROE_ROA_2007" localSheetId="31" hidden="1">{"'előző év december'!$A$2:$CP$214"}</definedName>
    <definedName name="Chart_ROE_ROA_2007" localSheetId="32" hidden="1">{"'előző év december'!$A$2:$CP$214"}</definedName>
    <definedName name="Chart_ROE_ROA_2007" localSheetId="11" hidden="1">{"'előző év december'!$A$2:$CP$214"}</definedName>
    <definedName name="Chart_ROE_ROA_2007" localSheetId="12" hidden="1">{"'előző év december'!$A$2:$CP$214"}</definedName>
    <definedName name="Chart_ROE_ROA_2007" localSheetId="18" hidden="1">{"'előző év december'!$A$2:$CP$214"}</definedName>
    <definedName name="Chart_ROE_ROA_2007" localSheetId="19" hidden="1">{"'előző év december'!$A$2:$CP$214"}</definedName>
    <definedName name="Chart_ROE_ROA_2007" hidden="1">{"'előző év december'!$A$2:$CP$214"}</definedName>
    <definedName name="Coordinator_List">[1]Control!$J$20:$J$21</definedName>
    <definedName name="Country">[3]Control!$C$1</definedName>
    <definedName name="cp" localSheetId="31" hidden="1">{"'előző év december'!$A$2:$CP$214"}</definedName>
    <definedName name="cp" localSheetId="32" hidden="1">{"'előző év december'!$A$2:$CP$214"}</definedName>
    <definedName name="cp" localSheetId="11" hidden="1">{"'előző év december'!$A$2:$CP$214"}</definedName>
    <definedName name="cp" localSheetId="12" hidden="1">{"'előző év december'!$A$2:$CP$214"}</definedName>
    <definedName name="cp" localSheetId="18" hidden="1">{"'előző év december'!$A$2:$CP$214"}</definedName>
    <definedName name="cp" localSheetId="19" hidden="1">{"'előző év december'!$A$2:$CP$214"}</definedName>
    <definedName name="cp" hidden="1">{"'előző év december'!$A$2:$CP$214"}</definedName>
    <definedName name="cpi_fanchart" localSheetId="31" hidden="1">{"'előző év december'!$A$2:$CP$214"}</definedName>
    <definedName name="cpi_fanchart" localSheetId="32" hidden="1">{"'előző év december'!$A$2:$CP$214"}</definedName>
    <definedName name="cpi_fanchart" localSheetId="11" hidden="1">{"'előző év december'!$A$2:$CP$214"}</definedName>
    <definedName name="cpi_fanchart" localSheetId="12" hidden="1">{"'előző év december'!$A$2:$CP$214"}</definedName>
    <definedName name="cpi_fanchart" localSheetId="18" hidden="1">{"'előző év december'!$A$2:$CP$214"}</definedName>
    <definedName name="cpi_fanchart" localSheetId="19" hidden="1">{"'előző év december'!$A$2:$CP$214"}</definedName>
    <definedName name="cpi_fanchart" hidden="1">{"'előző év december'!$A$2:$CP$214"}</definedName>
    <definedName name="cppp" localSheetId="31" hidden="1">{"'előző év december'!$A$2:$CP$214"}</definedName>
    <definedName name="cppp" localSheetId="32" hidden="1">{"'előző év december'!$A$2:$CP$214"}</definedName>
    <definedName name="cppp" localSheetId="11" hidden="1">{"'előző év december'!$A$2:$CP$214"}</definedName>
    <definedName name="cppp" localSheetId="12" hidden="1">{"'előző év december'!$A$2:$CP$214"}</definedName>
    <definedName name="cppp" localSheetId="18" hidden="1">{"'előző év december'!$A$2:$CP$214"}</definedName>
    <definedName name="cppp" localSheetId="19" hidden="1">{"'előző év december'!$A$2:$CP$214"}</definedName>
    <definedName name="cppp" hidden="1">{"'előző év december'!$A$2:$CP$214"}</definedName>
    <definedName name="cpr" localSheetId="31" hidden="1">{"'előző év december'!$A$2:$CP$214"}</definedName>
    <definedName name="cpr" localSheetId="32" hidden="1">{"'előző év december'!$A$2:$CP$214"}</definedName>
    <definedName name="cpr" localSheetId="11" hidden="1">{"'előző év december'!$A$2:$CP$214"}</definedName>
    <definedName name="cpr" localSheetId="12" hidden="1">{"'előző év december'!$A$2:$CP$214"}</definedName>
    <definedName name="cpr" localSheetId="18" hidden="1">{"'előző év december'!$A$2:$CP$214"}</definedName>
    <definedName name="cpr" localSheetId="19" hidden="1">{"'előző év december'!$A$2:$CP$214"}</definedName>
    <definedName name="cpr" hidden="1">{"'előző év december'!$A$2:$CP$214"}</definedName>
    <definedName name="cprsa" localSheetId="31" hidden="1">{"'előző év december'!$A$2:$CP$214"}</definedName>
    <definedName name="cprsa" localSheetId="32" hidden="1">{"'előző év december'!$A$2:$CP$214"}</definedName>
    <definedName name="cprsa" localSheetId="11" hidden="1">{"'előző év december'!$A$2:$CP$214"}</definedName>
    <definedName name="cprsa" localSheetId="12" hidden="1">{"'előző év december'!$A$2:$CP$214"}</definedName>
    <definedName name="cprsa" localSheetId="18" hidden="1">{"'előző év december'!$A$2:$CP$214"}</definedName>
    <definedName name="cprsa" localSheetId="19" hidden="1">{"'előző év december'!$A$2:$CP$214"}</definedName>
    <definedName name="cprsa" hidden="1">{"'előző év december'!$A$2:$CP$214"}</definedName>
    <definedName name="ctyList" localSheetId="24">#REF!</definedName>
    <definedName name="ctyList" localSheetId="26">#REF!</definedName>
    <definedName name="ctyList" localSheetId="20">#REF!</definedName>
    <definedName name="ctyList" localSheetId="23">#REF!</definedName>
    <definedName name="ctyList" localSheetId="21">#REF!</definedName>
    <definedName name="ctyList" localSheetId="17">#REF!</definedName>
    <definedName name="ctyList">#REF!</definedName>
    <definedName name="Currency_Def">[1]Control!$BA$330:$BA$487</definedName>
    <definedName name="CurrencyList">'[4]Report Form'!$B$5:$B$7</definedName>
    <definedName name="Current_account" localSheetId="24">#REF!</definedName>
    <definedName name="Current_account" localSheetId="31">#REF!</definedName>
    <definedName name="Current_account" localSheetId="32">#REF!</definedName>
    <definedName name="Current_account" localSheetId="26">#REF!</definedName>
    <definedName name="Current_account" localSheetId="11">#REF!</definedName>
    <definedName name="Current_account" localSheetId="20">#REF!</definedName>
    <definedName name="Current_account" localSheetId="23">#REF!</definedName>
    <definedName name="Current_account" localSheetId="21">#REF!</definedName>
    <definedName name="Current_account" localSheetId="17">#REF!</definedName>
    <definedName name="Current_account" localSheetId="12">#REF!</definedName>
    <definedName name="Current_account" localSheetId="18">#REF!</definedName>
    <definedName name="Current_account" localSheetId="19">#REF!</definedName>
    <definedName name="Current_account">#REF!</definedName>
    <definedName name="CURRENTYEAR" localSheetId="24">#REF!</definedName>
    <definedName name="CURRENTYEAR" localSheetId="31">#REF!</definedName>
    <definedName name="CURRENTYEAR" localSheetId="32">#REF!</definedName>
    <definedName name="CURRENTYEAR" localSheetId="26">#REF!</definedName>
    <definedName name="CURRENTYEAR" localSheetId="11">#REF!</definedName>
    <definedName name="CURRENTYEAR" localSheetId="20">#REF!</definedName>
    <definedName name="CURRENTYEAR" localSheetId="23">#REF!</definedName>
    <definedName name="CURRENTYEAR" localSheetId="21">#REF!</definedName>
    <definedName name="CURRENTYEAR" localSheetId="17">#REF!</definedName>
    <definedName name="CURRENTYEAR" localSheetId="12">#REF!</definedName>
    <definedName name="CURRENTYEAR" localSheetId="18">#REF!</definedName>
    <definedName name="CURRENTYEAR" localSheetId="19">#REF!</definedName>
    <definedName name="CURRENTYEAR">#REF!</definedName>
    <definedName name="cx" localSheetId="31" hidden="1">{"'előző év december'!$A$2:$CP$214"}</definedName>
    <definedName name="cx" localSheetId="32" hidden="1">{"'előző év december'!$A$2:$CP$214"}</definedName>
    <definedName name="cx" localSheetId="11" hidden="1">{"'előző év december'!$A$2:$CP$214"}</definedName>
    <definedName name="cx" localSheetId="12" hidden="1">{"'előző év december'!$A$2:$CP$214"}</definedName>
    <definedName name="cx" localSheetId="18" hidden="1">{"'előző év december'!$A$2:$CP$214"}</definedName>
    <definedName name="cx" localSheetId="19" hidden="1">{"'előző év december'!$A$2:$CP$214"}</definedName>
    <definedName name="cx" hidden="1">{"'előző év december'!$A$2:$CP$214"}</definedName>
    <definedName name="d" localSheetId="31" hidden="1">{"'előző év december'!$A$2:$CP$214"}</definedName>
    <definedName name="d" localSheetId="32" hidden="1">{"'előző év december'!$A$2:$CP$214"}</definedName>
    <definedName name="d" localSheetId="11" hidden="1">{"'előző év december'!$A$2:$CP$214"}</definedName>
    <definedName name="d" localSheetId="12" hidden="1">{"'előző év december'!$A$2:$CP$214"}</definedName>
    <definedName name="d" localSheetId="18" hidden="1">{"'előző év december'!$A$2:$CP$214"}</definedName>
    <definedName name="d" localSheetId="19" hidden="1">{"'előző év december'!$A$2:$CP$214"}</definedName>
    <definedName name="d" hidden="1">{"'előző év december'!$A$2:$CP$214"}</definedName>
    <definedName name="DATES" localSheetId="24">#REF!</definedName>
    <definedName name="DATES" localSheetId="26">#REF!</definedName>
    <definedName name="DATES" localSheetId="20">#REF!</definedName>
    <definedName name="DATES" localSheetId="23">#REF!</definedName>
    <definedName name="DATES" localSheetId="21">#REF!</definedName>
    <definedName name="DATES" localSheetId="17">#REF!</definedName>
    <definedName name="DATES">#REF!</definedName>
    <definedName name="DATESA" localSheetId="24">#REF!</definedName>
    <definedName name="DATESA" localSheetId="26">#REF!</definedName>
    <definedName name="DATESA" localSheetId="20">#REF!</definedName>
    <definedName name="DATESA" localSheetId="23">#REF!</definedName>
    <definedName name="DATESA" localSheetId="21">#REF!</definedName>
    <definedName name="DATESA" localSheetId="17">#REF!</definedName>
    <definedName name="DATESA">#REF!</definedName>
    <definedName name="DATESM" localSheetId="24">#REF!</definedName>
    <definedName name="DATESM" localSheetId="26">#REF!</definedName>
    <definedName name="DATESM" localSheetId="20">#REF!</definedName>
    <definedName name="DATESM" localSheetId="23">#REF!</definedName>
    <definedName name="DATESM" localSheetId="21">#REF!</definedName>
    <definedName name="DATESM" localSheetId="17">#REF!</definedName>
    <definedName name="DATESM">#REF!</definedName>
    <definedName name="DATESQ" localSheetId="24">#REF!</definedName>
    <definedName name="DATESQ" localSheetId="26">#REF!</definedName>
    <definedName name="DATESQ" localSheetId="20">#REF!</definedName>
    <definedName name="DATESQ" localSheetId="23">#REF!</definedName>
    <definedName name="DATESQ" localSheetId="21">#REF!</definedName>
    <definedName name="DATESQ" localSheetId="17">#REF!</definedName>
    <definedName name="DATESQ">#REF!</definedName>
    <definedName name="ddd" localSheetId="31" hidden="1">{#N/A,#N/A,FALSE,"т04"}</definedName>
    <definedName name="ddd" localSheetId="32" hidden="1">{#N/A,#N/A,FALSE,"т04"}</definedName>
    <definedName name="ddd" localSheetId="11" hidden="1">{#N/A,#N/A,FALSE,"т04"}</definedName>
    <definedName name="ddd" localSheetId="12" hidden="1">{#N/A,#N/A,FALSE,"т04"}</definedName>
    <definedName name="ddd" localSheetId="18" hidden="1">{#N/A,#N/A,FALSE,"т04"}</definedName>
    <definedName name="ddd" localSheetId="19" hidden="1">{#N/A,#N/A,FALSE,"т04"}</definedName>
    <definedName name="ddd" hidden="1">{#N/A,#N/A,FALSE,"т04"}</definedName>
    <definedName name="dddd" localSheetId="31" hidden="1">{"'Всего'!$A$1:$F$19"}</definedName>
    <definedName name="dddd" localSheetId="32" hidden="1">{"'Всего'!$A$1:$F$19"}</definedName>
    <definedName name="dddd" localSheetId="11" hidden="1">{"'Всего'!$A$1:$F$19"}</definedName>
    <definedName name="dddd" localSheetId="12" hidden="1">{"'Всего'!$A$1:$F$19"}</definedName>
    <definedName name="dddd" localSheetId="18" hidden="1">{"'Всего'!$A$1:$F$19"}</definedName>
    <definedName name="dddd" localSheetId="19" hidden="1">{"'Всего'!$A$1:$F$19"}</definedName>
    <definedName name="dddd" hidden="1">{"'Всего'!$A$1:$F$19"}</definedName>
    <definedName name="deux" localSheetId="31" hidden="1">{"résultats",#N/A,FALSE,"résultats SFS";"indicateurs",#N/A,FALSE,"résultats SFS";"commentaires",#N/A,FALSE,"commentaires SFS";"graphiques",#N/A,FALSE,"graphiques SFS"}</definedName>
    <definedName name="deux" localSheetId="32" hidden="1">{"résultats",#N/A,FALSE,"résultats SFS";"indicateurs",#N/A,FALSE,"résultats SFS";"commentaires",#N/A,FALSE,"commentaires SFS";"graphiques",#N/A,FALSE,"graphiques SFS"}</definedName>
    <definedName name="deux" localSheetId="11" hidden="1">{"résultats",#N/A,FALSE,"résultats SFS";"indicateurs",#N/A,FALSE,"résultats SFS";"commentaires",#N/A,FALSE,"commentaires SFS";"graphiques",#N/A,FALSE,"graphiques SFS"}</definedName>
    <definedName name="deux" localSheetId="12" hidden="1">{"résultats",#N/A,FALSE,"résultats SFS";"indicateurs",#N/A,FALSE,"résultats SFS";"commentaires",#N/A,FALSE,"commentaires SFS";"graphiques",#N/A,FALSE,"graphiques SFS"}</definedName>
    <definedName name="deux" localSheetId="18" hidden="1">{"résultats",#N/A,FALSE,"résultats SFS";"indicateurs",#N/A,FALSE,"résultats SFS";"commentaires",#N/A,FALSE,"commentaires SFS";"graphiques",#N/A,FALSE,"graphiques SFS"}</definedName>
    <definedName name="deux" localSheetId="19" hidden="1">{"résultats",#N/A,FALSE,"résultats SFS";"indicateurs",#N/A,FALSE,"résultats SFS";"commentaires",#N/A,FALSE,"commentaires SFS";"graphiques",#N/A,FALSE,"graphiques SFS"}</definedName>
    <definedName name="deux" hidden="1">{"résultats",#N/A,FALSE,"résultats SFS";"indicateurs",#N/A,FALSE,"résultats SFS";"commentaires",#N/A,FALSE,"commentaires SFS";"graphiques",#N/A,FALSE,"graphiques SFS"}</definedName>
    <definedName name="dfdfdf" localSheetId="31" hidden="1">{#N/A,#N/A,FALSE,"т02бд"}</definedName>
    <definedName name="dfdfdf" localSheetId="32" hidden="1">{#N/A,#N/A,FALSE,"т02бд"}</definedName>
    <definedName name="dfdfdf" localSheetId="11" hidden="1">{#N/A,#N/A,FALSE,"т02бд"}</definedName>
    <definedName name="dfdfdf" localSheetId="12" hidden="1">{#N/A,#N/A,FALSE,"т02бд"}</definedName>
    <definedName name="dfdfdf" localSheetId="18" hidden="1">{#N/A,#N/A,FALSE,"т02бд"}</definedName>
    <definedName name="dfdfdf" localSheetId="19" hidden="1">{#N/A,#N/A,FALSE,"т02бд"}</definedName>
    <definedName name="dfdfdf" hidden="1">{#N/A,#N/A,FALSE,"т02бд"}</definedName>
    <definedName name="dfhdf" localSheetId="31" hidden="1">{"'előző év december'!$A$2:$CP$214"}</definedName>
    <definedName name="dfhdf" localSheetId="32" hidden="1">{"'előző év december'!$A$2:$CP$214"}</definedName>
    <definedName name="dfhdf" localSheetId="11" hidden="1">{"'előző év december'!$A$2:$CP$214"}</definedName>
    <definedName name="dfhdf" localSheetId="12" hidden="1">{"'előző év december'!$A$2:$CP$214"}</definedName>
    <definedName name="dfhdf" localSheetId="18" hidden="1">{"'előző év december'!$A$2:$CP$214"}</definedName>
    <definedName name="dfhdf" localSheetId="19" hidden="1">{"'előző év december'!$A$2:$CP$214"}</definedName>
    <definedName name="dfhdf" hidden="1">{"'előző év december'!$A$2:$CP$214"}</definedName>
    <definedName name="drfgdfgf" localSheetId="31" hidden="1">{#N/A,#N/A,FALSE,"Лист4"}</definedName>
    <definedName name="drfgdfgf" localSheetId="32" hidden="1">{#N/A,#N/A,FALSE,"Лист4"}</definedName>
    <definedName name="drfgdfgf" localSheetId="11" hidden="1">{#N/A,#N/A,FALSE,"Лист4"}</definedName>
    <definedName name="drfgdfgf" localSheetId="12" hidden="1">{#N/A,#N/A,FALSE,"Лист4"}</definedName>
    <definedName name="drfgdfgf" localSheetId="18" hidden="1">{#N/A,#N/A,FALSE,"Лист4"}</definedName>
    <definedName name="drfgdfgf" localSheetId="19" hidden="1">{#N/A,#N/A,FALSE,"Лист4"}</definedName>
    <definedName name="drfgdfgf" hidden="1">{#N/A,#N/A,FALSE,"Лист4"}</definedName>
    <definedName name="ds" localSheetId="31" hidden="1">{"'előző év december'!$A$2:$CP$214"}</definedName>
    <definedName name="ds" localSheetId="32" hidden="1">{"'előző év december'!$A$2:$CP$214"}</definedName>
    <definedName name="ds" localSheetId="11" hidden="1">{"'előző év december'!$A$2:$CP$214"}</definedName>
    <definedName name="ds" localSheetId="12" hidden="1">{"'előző év december'!$A$2:$CP$214"}</definedName>
    <definedName name="ds" localSheetId="18" hidden="1">{"'előző év december'!$A$2:$CP$214"}</definedName>
    <definedName name="ds" localSheetId="19" hidden="1">{"'előző év december'!$A$2:$CP$214"}</definedName>
    <definedName name="ds" hidden="1">{"'előző év december'!$A$2:$CP$214"}</definedName>
    <definedName name="dsf" localSheetId="31" hidden="1">{#N/A,#N/A,FALSE,"т02бд"}</definedName>
    <definedName name="dsf" localSheetId="32" hidden="1">{#N/A,#N/A,FALSE,"т02бд"}</definedName>
    <definedName name="dsf" localSheetId="11" hidden="1">{#N/A,#N/A,FALSE,"т02бд"}</definedName>
    <definedName name="dsf" localSheetId="12" hidden="1">{#N/A,#N/A,FALSE,"т02бд"}</definedName>
    <definedName name="dsf" localSheetId="18" hidden="1">{#N/A,#N/A,FALSE,"т02бд"}</definedName>
    <definedName name="dsf" localSheetId="19" hidden="1">{#N/A,#N/A,FALSE,"т02бд"}</definedName>
    <definedName name="dsf" hidden="1">{#N/A,#N/A,FALSE,"т02бд"}</definedName>
    <definedName name="dsfb" localSheetId="31" hidden="1">{#N/A,#N/A,FALSE,"т02бд"}</definedName>
    <definedName name="dsfb" localSheetId="32" hidden="1">{#N/A,#N/A,FALSE,"т02бд"}</definedName>
    <definedName name="dsfb" localSheetId="11" hidden="1">{#N/A,#N/A,FALSE,"т02бд"}</definedName>
    <definedName name="dsfb" localSheetId="12" hidden="1">{#N/A,#N/A,FALSE,"т02бд"}</definedName>
    <definedName name="dsfb" localSheetId="18" hidden="1">{#N/A,#N/A,FALSE,"т02бд"}</definedName>
    <definedName name="dsfb" localSheetId="19" hidden="1">{#N/A,#N/A,FALSE,"т02бд"}</definedName>
    <definedName name="dsfb" hidden="1">{#N/A,#N/A,FALSE,"т02бд"}</definedName>
    <definedName name="dsfg" localSheetId="31" hidden="1">{#N/A,#N/A,FALSE,"т02бд"}</definedName>
    <definedName name="dsfg" localSheetId="32" hidden="1">{#N/A,#N/A,FALSE,"т02бд"}</definedName>
    <definedName name="dsfg" localSheetId="11" hidden="1">{#N/A,#N/A,FALSE,"т02бд"}</definedName>
    <definedName name="dsfg" localSheetId="12" hidden="1">{#N/A,#N/A,FALSE,"т02бд"}</definedName>
    <definedName name="dsfg" localSheetId="18" hidden="1">{#N/A,#N/A,FALSE,"т02бд"}</definedName>
    <definedName name="dsfg" localSheetId="19" hidden="1">{#N/A,#N/A,FALSE,"т02бд"}</definedName>
    <definedName name="dsfg" hidden="1">{#N/A,#N/A,FALSE,"т02бд"}</definedName>
    <definedName name="dsfgsdfg" localSheetId="31" hidden="1">{"'előző év december'!$A$2:$CP$214"}</definedName>
    <definedName name="dsfgsdfg" localSheetId="32" hidden="1">{"'előző év december'!$A$2:$CP$214"}</definedName>
    <definedName name="dsfgsdfg" localSheetId="11" hidden="1">{"'előző év december'!$A$2:$CP$214"}</definedName>
    <definedName name="dsfgsdfg" localSheetId="12" hidden="1">{"'előző év december'!$A$2:$CP$214"}</definedName>
    <definedName name="dsfgsdfg" localSheetId="18" hidden="1">{"'előző év december'!$A$2:$CP$214"}</definedName>
    <definedName name="dsfgsdfg" localSheetId="19" hidden="1">{"'előző év december'!$A$2:$CP$214"}</definedName>
    <definedName name="dsfgsdfg" hidden="1">{"'előző év december'!$A$2:$CP$214"}</definedName>
    <definedName name="dsfsdfsd" localSheetId="24">#REF!</definedName>
    <definedName name="dsfsdfsd" localSheetId="26">#REF!</definedName>
    <definedName name="dsfsdfsd" localSheetId="20">#REF!</definedName>
    <definedName name="dsfsdfsd" localSheetId="23">#REF!</definedName>
    <definedName name="dsfsdfsd" localSheetId="21">#REF!</definedName>
    <definedName name="dsfsdfsd" localSheetId="17">#REF!</definedName>
    <definedName name="dsfsdfsd">#REF!</definedName>
    <definedName name="dsssssss" localSheetId="24">#REF!</definedName>
    <definedName name="dsssssss" localSheetId="26">#REF!</definedName>
    <definedName name="dsssssss" localSheetId="20">#REF!</definedName>
    <definedName name="dsssssss" localSheetId="23">#REF!</definedName>
    <definedName name="dsssssss" localSheetId="21">#REF!</definedName>
    <definedName name="dsssssss" localSheetId="17">#REF!</definedName>
    <definedName name="dsssssss">#REF!</definedName>
    <definedName name="dyf" localSheetId="31" hidden="1">{"'előző év december'!$A$2:$CP$214"}</definedName>
    <definedName name="dyf" localSheetId="32" hidden="1">{"'előző év december'!$A$2:$CP$214"}</definedName>
    <definedName name="dyf" localSheetId="11" hidden="1">{"'előző év december'!$A$2:$CP$214"}</definedName>
    <definedName name="dyf" localSheetId="12" hidden="1">{"'előző év december'!$A$2:$CP$214"}</definedName>
    <definedName name="dyf" localSheetId="18" hidden="1">{"'előző év december'!$A$2:$CP$214"}</definedName>
    <definedName name="dyf" localSheetId="19" hidden="1">{"'előző év december'!$A$2:$CP$214"}</definedName>
    <definedName name="dyf" hidden="1">{"'előző év december'!$A$2:$CP$214"}</definedName>
    <definedName name="DynamicUAH_nom2" localSheetId="31" hidden="1">{"'Всего'!$A$1:$F$19"}</definedName>
    <definedName name="DynamicUAH_nom2" localSheetId="32" hidden="1">{"'Всего'!$A$1:$F$19"}</definedName>
    <definedName name="DynamicUAH_nom2" localSheetId="11" hidden="1">{"'Всего'!$A$1:$F$19"}</definedName>
    <definedName name="DynamicUAH_nom2" localSheetId="12" hidden="1">{"'Всего'!$A$1:$F$19"}</definedName>
    <definedName name="DynamicUAH_nom2" localSheetId="18" hidden="1">{"'Всего'!$A$1:$F$19"}</definedName>
    <definedName name="DynamicUAH_nom2" localSheetId="19" hidden="1">{"'Всего'!$A$1:$F$19"}</definedName>
    <definedName name="DynamicUAH_nom2" hidden="1">{"'Всего'!$A$1:$F$19"}</definedName>
    <definedName name="EAD_CR_Chart_Nadzor_new" localSheetId="31" hidden="1">{"'Всего'!$A$1:$F$19"}</definedName>
    <definedName name="EAD_CR_Chart_Nadzor_new" localSheetId="32" hidden="1">{"'Всего'!$A$1:$F$19"}</definedName>
    <definedName name="EAD_CR_Chart_Nadzor_new" localSheetId="11" hidden="1">{"'Всего'!$A$1:$F$19"}</definedName>
    <definedName name="EAD_CR_Chart_Nadzor_new" localSheetId="12" hidden="1">{"'Всего'!$A$1:$F$19"}</definedName>
    <definedName name="EAD_CR_Chart_Nadzor_new" localSheetId="18" hidden="1">{"'Всего'!$A$1:$F$19"}</definedName>
    <definedName name="EAD_CR_Chart_Nadzor_new" localSheetId="19" hidden="1">{"'Всего'!$A$1:$F$19"}</definedName>
    <definedName name="EAD_CR_Chart_Nadzor_new" hidden="1">{"'Всего'!$A$1:$F$19"}</definedName>
    <definedName name="edr" localSheetId="31" hidden="1">{"'előző év december'!$A$2:$CP$214"}</definedName>
    <definedName name="edr" localSheetId="32" hidden="1">{"'előző év december'!$A$2:$CP$214"}</definedName>
    <definedName name="edr" localSheetId="11" hidden="1">{"'előző év december'!$A$2:$CP$214"}</definedName>
    <definedName name="edr" localSheetId="12" hidden="1">{"'előző év december'!$A$2:$CP$214"}</definedName>
    <definedName name="edr" localSheetId="18" hidden="1">{"'előző év december'!$A$2:$CP$214"}</definedName>
    <definedName name="edr" localSheetId="19" hidden="1">{"'előző év december'!$A$2:$CP$214"}</definedName>
    <definedName name="edr" hidden="1">{"'előző év december'!$A$2:$CP$214"}</definedName>
    <definedName name="EdssBatchRange" localSheetId="24">#REF!</definedName>
    <definedName name="EdssBatchRange" localSheetId="26">#REF!</definedName>
    <definedName name="EdssBatchRange" localSheetId="20">#REF!</definedName>
    <definedName name="EdssBatchRange" localSheetId="23">#REF!</definedName>
    <definedName name="EdssBatchRange" localSheetId="21">#REF!</definedName>
    <definedName name="EdssBatchRange" localSheetId="17">#REF!</definedName>
    <definedName name="EdssBatchRange">#REF!</definedName>
    <definedName name="efdef" localSheetId="31" hidden="1">{"'előző év december'!$A$2:$CP$214"}</definedName>
    <definedName name="efdef" localSheetId="32" hidden="1">{"'előző év december'!$A$2:$CP$214"}</definedName>
    <definedName name="efdef" localSheetId="11" hidden="1">{"'előző év december'!$A$2:$CP$214"}</definedName>
    <definedName name="efdef" localSheetId="12" hidden="1">{"'előző év december'!$A$2:$CP$214"}</definedName>
    <definedName name="efdef" localSheetId="18" hidden="1">{"'előző év december'!$A$2:$CP$214"}</definedName>
    <definedName name="efdef" localSheetId="19" hidden="1">{"'előző év december'!$A$2:$CP$214"}</definedName>
    <definedName name="efdef" hidden="1">{"'előző év december'!$A$2:$CP$214"}</definedName>
    <definedName name="eqe" localSheetId="31" hidden="1">{"'előző év december'!$A$2:$CP$214"}</definedName>
    <definedName name="eqe" localSheetId="32" hidden="1">{"'előző év december'!$A$2:$CP$214"}</definedName>
    <definedName name="eqe" localSheetId="11" hidden="1">{"'előző év december'!$A$2:$CP$214"}</definedName>
    <definedName name="eqe" localSheetId="12" hidden="1">{"'előző év december'!$A$2:$CP$214"}</definedName>
    <definedName name="eqe" localSheetId="18" hidden="1">{"'előző év december'!$A$2:$CP$214"}</definedName>
    <definedName name="eqe" localSheetId="19" hidden="1">{"'előző év december'!$A$2:$CP$214"}</definedName>
    <definedName name="eqe" hidden="1">{"'előző év december'!$A$2:$CP$214"}</definedName>
    <definedName name="ert" localSheetId="31" hidden="1">{"'előző év december'!$A$2:$CP$214"}</definedName>
    <definedName name="ert" localSheetId="32" hidden="1">{"'előző év december'!$A$2:$CP$214"}</definedName>
    <definedName name="ert" localSheetId="11" hidden="1">{"'előző év december'!$A$2:$CP$214"}</definedName>
    <definedName name="ert" localSheetId="12" hidden="1">{"'előző év december'!$A$2:$CP$214"}</definedName>
    <definedName name="ert" localSheetId="18" hidden="1">{"'előző év december'!$A$2:$CP$214"}</definedName>
    <definedName name="ert" localSheetId="19" hidden="1">{"'előző év december'!$A$2:$CP$214"}</definedName>
    <definedName name="ert" hidden="1">{"'előző év december'!$A$2:$CP$214"}</definedName>
    <definedName name="ertertwertwert" localSheetId="31" hidden="1">{"'előző év december'!$A$2:$CP$214"}</definedName>
    <definedName name="ertertwertwert" localSheetId="32" hidden="1">{"'előző év december'!$A$2:$CP$214"}</definedName>
    <definedName name="ertertwertwert" localSheetId="11" hidden="1">{"'előző év december'!$A$2:$CP$214"}</definedName>
    <definedName name="ertertwertwert" localSheetId="12" hidden="1">{"'előző év december'!$A$2:$CP$214"}</definedName>
    <definedName name="ertertwertwert" localSheetId="18" hidden="1">{"'előző év december'!$A$2:$CP$214"}</definedName>
    <definedName name="ertertwertwert" localSheetId="19" hidden="1">{"'előző év december'!$A$2:$CP$214"}</definedName>
    <definedName name="ertertwertwert" hidden="1">{"'előző év december'!$A$2:$CP$214"}</definedName>
    <definedName name="Exp_GDP" localSheetId="24">#REF!</definedName>
    <definedName name="Exp_GDP" localSheetId="26">#REF!</definedName>
    <definedName name="Exp_GDP" localSheetId="20">#REF!</definedName>
    <definedName name="Exp_GDP" localSheetId="23">#REF!</definedName>
    <definedName name="Exp_GDP" localSheetId="21">#REF!</definedName>
    <definedName name="Exp_GDP" localSheetId="17">#REF!</definedName>
    <definedName name="Exp_GDP">#REF!</definedName>
    <definedName name="Exp_nom" localSheetId="24">#REF!</definedName>
    <definedName name="Exp_nom" localSheetId="26">#REF!</definedName>
    <definedName name="Exp_nom" localSheetId="20">#REF!</definedName>
    <definedName name="Exp_nom" localSheetId="23">#REF!</definedName>
    <definedName name="Exp_nom" localSheetId="21">#REF!</definedName>
    <definedName name="Exp_nom" localSheetId="17">#REF!</definedName>
    <definedName name="Exp_nom">#REF!</definedName>
    <definedName name="f" localSheetId="24">#REF!</definedName>
    <definedName name="f" localSheetId="26">#REF!</definedName>
    <definedName name="f" localSheetId="20">#REF!</definedName>
    <definedName name="f" localSheetId="23">#REF!</definedName>
    <definedName name="f" localSheetId="21">#REF!</definedName>
    <definedName name="f" localSheetId="17">#REF!</definedName>
    <definedName name="f">#REF!</definedName>
    <definedName name="ff" localSheetId="31" hidden="1">{#N/A,#N/A,FALSE,"т02бд"}</definedName>
    <definedName name="ff" localSheetId="32" hidden="1">{#N/A,#N/A,FALSE,"т02бд"}</definedName>
    <definedName name="ff" localSheetId="11" hidden="1">{#N/A,#N/A,FALSE,"т02бд"}</definedName>
    <definedName name="ff" localSheetId="12" hidden="1">{#N/A,#N/A,FALSE,"т02бд"}</definedName>
    <definedName name="ff" localSheetId="18" hidden="1">{#N/A,#N/A,FALSE,"т02бд"}</definedName>
    <definedName name="ff" localSheetId="19" hidden="1">{#N/A,#N/A,FALSE,"т02бд"}</definedName>
    <definedName name="ff" hidden="1">{#N/A,#N/A,FALSE,"т02бд"}</definedName>
    <definedName name="fff" localSheetId="31" hidden="1">{#N/A,#N/A,FALSE,"т02бд"}</definedName>
    <definedName name="fff" localSheetId="32" hidden="1">{#N/A,#N/A,FALSE,"т02бд"}</definedName>
    <definedName name="fff" localSheetId="11" hidden="1">{#N/A,#N/A,FALSE,"т02бд"}</definedName>
    <definedName name="fff" localSheetId="12" hidden="1">{#N/A,#N/A,FALSE,"т02бд"}</definedName>
    <definedName name="fff" localSheetId="18" hidden="1">{#N/A,#N/A,FALSE,"т02бд"}</definedName>
    <definedName name="fff" localSheetId="19" hidden="1">{#N/A,#N/A,FALSE,"т02бд"}</definedName>
    <definedName name="fff" hidden="1">{#N/A,#N/A,FALSE,"т02бд"}</definedName>
    <definedName name="fffffff" localSheetId="31" hidden="1">{#N/A,#N/A,FALSE,"т17-1банки (2)"}</definedName>
    <definedName name="fffffff" localSheetId="32" hidden="1">{#N/A,#N/A,FALSE,"т17-1банки (2)"}</definedName>
    <definedName name="fffffff" localSheetId="11" hidden="1">{#N/A,#N/A,FALSE,"т17-1банки (2)"}</definedName>
    <definedName name="fffffff" localSheetId="12" hidden="1">{#N/A,#N/A,FALSE,"т17-1банки (2)"}</definedName>
    <definedName name="fffffff" localSheetId="18" hidden="1">{#N/A,#N/A,FALSE,"т17-1банки (2)"}</definedName>
    <definedName name="fffffff" localSheetId="19" hidden="1">{#N/A,#N/A,FALSE,"т17-1банки (2)"}</definedName>
    <definedName name="fffffff" hidden="1">{#N/A,#N/A,FALSE,"т17-1банки (2)"}</definedName>
    <definedName name="ffg" localSheetId="31" hidden="1">{"'előző év december'!$A$2:$CP$214"}</definedName>
    <definedName name="ffg" localSheetId="32" hidden="1">{"'előző év december'!$A$2:$CP$214"}</definedName>
    <definedName name="ffg" localSheetId="11" hidden="1">{"'előző év december'!$A$2:$CP$214"}</definedName>
    <definedName name="ffg" localSheetId="12" hidden="1">{"'előző év december'!$A$2:$CP$214"}</definedName>
    <definedName name="ffg" localSheetId="18" hidden="1">{"'előző év december'!$A$2:$CP$214"}</definedName>
    <definedName name="ffg" localSheetId="19" hidden="1">{"'előző év december'!$A$2:$CP$214"}</definedName>
    <definedName name="ffg" hidden="1">{"'előző év december'!$A$2:$CP$214"}</definedName>
    <definedName name="fg" localSheetId="31" hidden="1">{"'előző év december'!$A$2:$CP$214"}</definedName>
    <definedName name="fg" localSheetId="32" hidden="1">{"'előző év december'!$A$2:$CP$214"}</definedName>
    <definedName name="fg" localSheetId="11" hidden="1">{"'előző év december'!$A$2:$CP$214"}</definedName>
    <definedName name="fg" localSheetId="12" hidden="1">{"'előző év december'!$A$2:$CP$214"}</definedName>
    <definedName name="fg" localSheetId="18" hidden="1">{"'előző év december'!$A$2:$CP$214"}</definedName>
    <definedName name="fg" localSheetId="19" hidden="1">{"'előző év december'!$A$2:$CP$214"}</definedName>
    <definedName name="fg" hidden="1">{"'előző év december'!$A$2:$CP$214"}</definedName>
    <definedName name="fgf" localSheetId="31" hidden="1">{#N/A,#N/A,FALSE,"т02бд"}</definedName>
    <definedName name="fgf" localSheetId="32" hidden="1">{#N/A,#N/A,FALSE,"т02бд"}</definedName>
    <definedName name="fgf" localSheetId="11" hidden="1">{#N/A,#N/A,FALSE,"т02бд"}</definedName>
    <definedName name="fgf" localSheetId="12" hidden="1">{#N/A,#N/A,FALSE,"т02бд"}</definedName>
    <definedName name="fgf" localSheetId="18" hidden="1">{#N/A,#N/A,FALSE,"т02бд"}</definedName>
    <definedName name="fgf" localSheetId="19" hidden="1">{#N/A,#N/A,FALSE,"т02бд"}</definedName>
    <definedName name="fgf" hidden="1">{#N/A,#N/A,FALSE,"т02бд"}</definedName>
    <definedName name="fgfgf" localSheetId="31" hidden="1">{#N/A,#N/A,FALSE,"т02бд"}</definedName>
    <definedName name="fgfgf" localSheetId="32" hidden="1">{#N/A,#N/A,FALSE,"т02бд"}</definedName>
    <definedName name="fgfgf" localSheetId="11" hidden="1">{#N/A,#N/A,FALSE,"т02бд"}</definedName>
    <definedName name="fgfgf" localSheetId="12" hidden="1">{#N/A,#N/A,FALSE,"т02бд"}</definedName>
    <definedName name="fgfgf" localSheetId="18" hidden="1">{#N/A,#N/A,FALSE,"т02бд"}</definedName>
    <definedName name="fgfgf" localSheetId="19" hidden="1">{#N/A,#N/A,FALSE,"т02бд"}</definedName>
    <definedName name="fgfgf" hidden="1">{#N/A,#N/A,FALSE,"т02бд"}</definedName>
    <definedName name="fgfgfgfgfgf" localSheetId="31" hidden="1">{#N/A,#N/A,FALSE,"т02бд"}</definedName>
    <definedName name="fgfgfgfgfgf" localSheetId="32" hidden="1">{#N/A,#N/A,FALSE,"т02бд"}</definedName>
    <definedName name="fgfgfgfgfgf" localSheetId="11" hidden="1">{#N/A,#N/A,FALSE,"т02бд"}</definedName>
    <definedName name="fgfgfgfgfgf" localSheetId="12" hidden="1">{#N/A,#N/A,FALSE,"т02бд"}</definedName>
    <definedName name="fgfgfgfgfgf" localSheetId="18" hidden="1">{#N/A,#N/A,FALSE,"т02бд"}</definedName>
    <definedName name="fgfgfgfgfgf" localSheetId="19" hidden="1">{#N/A,#N/A,FALSE,"т02бд"}</definedName>
    <definedName name="fgfgfgfgfgf" hidden="1">{#N/A,#N/A,FALSE,"т02бд"}</definedName>
    <definedName name="fgh" localSheetId="31" hidden="1">{"'előző év december'!$A$2:$CP$214"}</definedName>
    <definedName name="fgh" localSheetId="32" hidden="1">{"'előző év december'!$A$2:$CP$214"}</definedName>
    <definedName name="fgh" localSheetId="11" hidden="1">{"'előző év december'!$A$2:$CP$214"}</definedName>
    <definedName name="fgh" localSheetId="12" hidden="1">{"'előző év december'!$A$2:$CP$214"}</definedName>
    <definedName name="fgh" localSheetId="18" hidden="1">{"'előző év december'!$A$2:$CP$214"}</definedName>
    <definedName name="fgh" localSheetId="19" hidden="1">{"'előző év december'!$A$2:$CP$214"}</definedName>
    <definedName name="fgh" hidden="1">{"'előző év december'!$A$2:$CP$214"}</definedName>
    <definedName name="fghf" localSheetId="31" hidden="1">{"'előző év december'!$A$2:$CP$214"}</definedName>
    <definedName name="fghf" localSheetId="32" hidden="1">{"'előző év december'!$A$2:$CP$214"}</definedName>
    <definedName name="fghf" localSheetId="11" hidden="1">{"'előző év december'!$A$2:$CP$214"}</definedName>
    <definedName name="fghf" localSheetId="12" hidden="1">{"'előző év december'!$A$2:$CP$214"}</definedName>
    <definedName name="fghf" localSheetId="18" hidden="1">{"'előző év december'!$A$2:$CP$214"}</definedName>
    <definedName name="fghf" localSheetId="19" hidden="1">{"'előző év december'!$A$2:$CP$214"}</definedName>
    <definedName name="fghf" hidden="1">{"'előző év december'!$A$2:$CP$214"}</definedName>
    <definedName name="fgk" localSheetId="31" hidden="1">{#N/A,#N/A,FALSE,"т17-1банки (2)"}</definedName>
    <definedName name="fgk" localSheetId="32" hidden="1">{#N/A,#N/A,FALSE,"т17-1банки (2)"}</definedName>
    <definedName name="fgk" localSheetId="11" hidden="1">{#N/A,#N/A,FALSE,"т17-1банки (2)"}</definedName>
    <definedName name="fgk" localSheetId="12" hidden="1">{#N/A,#N/A,FALSE,"т17-1банки (2)"}</definedName>
    <definedName name="fgk" localSheetId="18" hidden="1">{#N/A,#N/A,FALSE,"т17-1банки (2)"}</definedName>
    <definedName name="fgk" localSheetId="19" hidden="1">{#N/A,#N/A,FALSE,"т17-1банки (2)"}</definedName>
    <definedName name="fgk" hidden="1">{#N/A,#N/A,FALSE,"т17-1банки (2)"}</definedName>
    <definedName name="fgkf" localSheetId="31" hidden="1">{#N/A,#N/A,FALSE,"т02бд"}</definedName>
    <definedName name="fgkf" localSheetId="32" hidden="1">{#N/A,#N/A,FALSE,"т02бд"}</definedName>
    <definedName name="fgkf" localSheetId="11" hidden="1">{#N/A,#N/A,FALSE,"т02бд"}</definedName>
    <definedName name="fgkf" localSheetId="12" hidden="1">{#N/A,#N/A,FALSE,"т02бд"}</definedName>
    <definedName name="fgkf" localSheetId="18" hidden="1">{#N/A,#N/A,FALSE,"т02бд"}</definedName>
    <definedName name="fgkf" localSheetId="19" hidden="1">{#N/A,#N/A,FALSE,"т02бд"}</definedName>
    <definedName name="fgkf" hidden="1">{#N/A,#N/A,FALSE,"т02бд"}</definedName>
    <definedName name="fkfgk" localSheetId="31" hidden="1">{#N/A,#N/A,FALSE,"т04"}</definedName>
    <definedName name="fkfgk" localSheetId="32" hidden="1">{#N/A,#N/A,FALSE,"т04"}</definedName>
    <definedName name="fkfgk" localSheetId="11" hidden="1">{#N/A,#N/A,FALSE,"т04"}</definedName>
    <definedName name="fkfgk" localSheetId="12" hidden="1">{#N/A,#N/A,FALSE,"т04"}</definedName>
    <definedName name="fkfgk" localSheetId="18" hidden="1">{#N/A,#N/A,FALSE,"т04"}</definedName>
    <definedName name="fkfgk" localSheetId="19" hidden="1">{#N/A,#N/A,FALSE,"т04"}</definedName>
    <definedName name="fkfgk" hidden="1">{#N/A,#N/A,FALSE,"т04"}</definedName>
    <definedName name="fkfkgk" localSheetId="31" hidden="1">{#N/A,#N/A,FALSE,"т02бд"}</definedName>
    <definedName name="fkfkgk" localSheetId="32" hidden="1">{#N/A,#N/A,FALSE,"т02бд"}</definedName>
    <definedName name="fkfkgk" localSheetId="11" hidden="1">{#N/A,#N/A,FALSE,"т02бд"}</definedName>
    <definedName name="fkfkgk" localSheetId="12" hidden="1">{#N/A,#N/A,FALSE,"т02бд"}</definedName>
    <definedName name="fkfkgk" localSheetId="18" hidden="1">{#N/A,#N/A,FALSE,"т02бд"}</definedName>
    <definedName name="fkfkgk" localSheetId="19" hidden="1">{#N/A,#N/A,FALSE,"т02бд"}</definedName>
    <definedName name="fkfkgk" hidden="1">{#N/A,#N/A,FALSE,"т02бд"}</definedName>
    <definedName name="Foreign_liabilities" localSheetId="24">#REF!</definedName>
    <definedName name="Foreign_liabilities" localSheetId="31">#REF!</definedName>
    <definedName name="Foreign_liabilities" localSheetId="32">#REF!</definedName>
    <definedName name="Foreign_liabilities" localSheetId="26">#REF!</definedName>
    <definedName name="Foreign_liabilities" localSheetId="11">#REF!</definedName>
    <definedName name="Foreign_liabilities" localSheetId="20">#REF!</definedName>
    <definedName name="Foreign_liabilities" localSheetId="23">#REF!</definedName>
    <definedName name="Foreign_liabilities" localSheetId="21">#REF!</definedName>
    <definedName name="Foreign_liabilities" localSheetId="17">#REF!</definedName>
    <definedName name="Foreign_liabilities" localSheetId="12">#REF!</definedName>
    <definedName name="Foreign_liabilities" localSheetId="18">#REF!</definedName>
    <definedName name="Foreign_liabilities" localSheetId="19">#REF!</definedName>
    <definedName name="Foreign_liabilities">#REF!</definedName>
    <definedName name="FrequencyList">'[4]Report Form'!$F$4:$F$8</definedName>
    <definedName name="frt" localSheetId="31" hidden="1">{"'előző év december'!$A$2:$CP$214"}</definedName>
    <definedName name="frt" localSheetId="32" hidden="1">{"'előző év december'!$A$2:$CP$214"}</definedName>
    <definedName name="frt" localSheetId="11" hidden="1">{"'előző év december'!$A$2:$CP$214"}</definedName>
    <definedName name="frt" localSheetId="12" hidden="1">{"'előző év december'!$A$2:$CP$214"}</definedName>
    <definedName name="frt" localSheetId="18" hidden="1">{"'előző év december'!$A$2:$CP$214"}</definedName>
    <definedName name="frt" localSheetId="19" hidden="1">{"'előző év december'!$A$2:$CP$214"}</definedName>
    <definedName name="frt" hidden="1">{"'előző év december'!$A$2:$CP$214"}</definedName>
    <definedName name="fthf" localSheetId="31" hidden="1">{"'előző év december'!$A$2:$CP$214"}</definedName>
    <definedName name="fthf" localSheetId="32" hidden="1">{"'előző év december'!$A$2:$CP$214"}</definedName>
    <definedName name="fthf" localSheetId="11" hidden="1">{"'előző év december'!$A$2:$CP$214"}</definedName>
    <definedName name="fthf" localSheetId="12" hidden="1">{"'előző év december'!$A$2:$CP$214"}</definedName>
    <definedName name="fthf" localSheetId="18" hidden="1">{"'előző év december'!$A$2:$CP$214"}</definedName>
    <definedName name="fthf" localSheetId="19" hidden="1">{"'előző év december'!$A$2:$CP$214"}</definedName>
    <definedName name="fthf" hidden="1">{"'előző év december'!$A$2:$CP$214"}</definedName>
    <definedName name="g" localSheetId="31" hidden="1">{"'előző év december'!$A$2:$CP$214"}</definedName>
    <definedName name="g" localSheetId="32" hidden="1">{"'előző év december'!$A$2:$CP$214"}</definedName>
    <definedName name="g" localSheetId="11" hidden="1">{"'előző év december'!$A$2:$CP$214"}</definedName>
    <definedName name="g" localSheetId="12" hidden="1">{"'előző év december'!$A$2:$CP$214"}</definedName>
    <definedName name="g" localSheetId="18" hidden="1">{"'előző év december'!$A$2:$CP$214"}</definedName>
    <definedName name="g" localSheetId="19" hidden="1">{"'előző év december'!$A$2:$CP$214"}</definedName>
    <definedName name="g" hidden="1">{"'előző év december'!$A$2:$CP$214"}</definedName>
    <definedName name="g7.2" localSheetId="31" hidden="1">{#N/A,#N/A,FALSE,"т04"}</definedName>
    <definedName name="g7.2" localSheetId="32" hidden="1">{#N/A,#N/A,FALSE,"т04"}</definedName>
    <definedName name="g7.2" localSheetId="11" hidden="1">{#N/A,#N/A,FALSE,"т04"}</definedName>
    <definedName name="g7.2" localSheetId="12" hidden="1">{#N/A,#N/A,FALSE,"т04"}</definedName>
    <definedName name="g7.2" localSheetId="18" hidden="1">{#N/A,#N/A,FALSE,"т04"}</definedName>
    <definedName name="g7.2" localSheetId="19" hidden="1">{#N/A,#N/A,FALSE,"т04"}</definedName>
    <definedName name="g7.2" hidden="1">{#N/A,#N/A,FALSE,"т04"}</definedName>
    <definedName name="Gabor" localSheetId="31" hidden="1">{"'előző év december'!$A$2:$CP$214"}</definedName>
    <definedName name="Gabor" localSheetId="32" hidden="1">{"'előző év december'!$A$2:$CP$214"}</definedName>
    <definedName name="Gabor" localSheetId="11" hidden="1">{"'előző év december'!$A$2:$CP$214"}</definedName>
    <definedName name="Gabor" localSheetId="12" hidden="1">{"'előző év december'!$A$2:$CP$214"}</definedName>
    <definedName name="Gabor" localSheetId="18" hidden="1">{"'előző év december'!$A$2:$CP$214"}</definedName>
    <definedName name="Gabor" localSheetId="19" hidden="1">{"'előző év december'!$A$2:$CP$214"}</definedName>
    <definedName name="Gabor" hidden="1">{"'előző év december'!$A$2:$CP$214"}</definedName>
    <definedName name="GDP" localSheetId="24">#REF!</definedName>
    <definedName name="GDP" localSheetId="26">#REF!</definedName>
    <definedName name="GDP" localSheetId="20">#REF!</definedName>
    <definedName name="GDP" localSheetId="23">#REF!</definedName>
    <definedName name="GDP" localSheetId="21">#REF!</definedName>
    <definedName name="GDP" localSheetId="17">#REF!</definedName>
    <definedName name="GDP">#REF!</definedName>
    <definedName name="GDPgrowth" localSheetId="24">#REF!</definedName>
    <definedName name="GDPgrowth" localSheetId="26">#REF!</definedName>
    <definedName name="GDPgrowth" localSheetId="20">#REF!</definedName>
    <definedName name="GDPgrowth" localSheetId="23">#REF!</definedName>
    <definedName name="GDPgrowth" localSheetId="21">#REF!</definedName>
    <definedName name="GDPgrowth" localSheetId="17">#REF!</definedName>
    <definedName name="GDPgrowth">#REF!</definedName>
    <definedName name="gg" localSheetId="31" hidden="1">{"'előző év december'!$A$2:$CP$214"}</definedName>
    <definedName name="gg" localSheetId="32" hidden="1">{"'előző év december'!$A$2:$CP$214"}</definedName>
    <definedName name="gg" localSheetId="11" hidden="1">{"'előző év december'!$A$2:$CP$214"}</definedName>
    <definedName name="gg" localSheetId="12" hidden="1">{"'előző év december'!$A$2:$CP$214"}</definedName>
    <definedName name="gg" localSheetId="18" hidden="1">{"'előző év december'!$A$2:$CP$214"}</definedName>
    <definedName name="gg" localSheetId="19" hidden="1">{"'előző év december'!$A$2:$CP$214"}</definedName>
    <definedName name="gg" hidden="1">{"'előző év december'!$A$2:$CP$214"}</definedName>
    <definedName name="ggg" localSheetId="31" hidden="1">{#N/A,#N/A,FALSE,"т02бд"}</definedName>
    <definedName name="ggg" localSheetId="32" hidden="1">{#N/A,#N/A,FALSE,"т02бд"}</definedName>
    <definedName name="ggg" localSheetId="11" hidden="1">{#N/A,#N/A,FALSE,"т02бд"}</definedName>
    <definedName name="ggg" localSheetId="12" hidden="1">{#N/A,#N/A,FALSE,"т02бд"}</definedName>
    <definedName name="ggg" localSheetId="18" hidden="1">{#N/A,#N/A,FALSE,"т02бд"}</definedName>
    <definedName name="ggg" localSheetId="19" hidden="1">{#N/A,#N/A,FALSE,"т02бд"}</definedName>
    <definedName name="ggg" hidden="1">{#N/A,#N/A,FALSE,"т02бд"}</definedName>
    <definedName name="gggg" localSheetId="31" hidden="1">{"'előző év december'!$A$2:$CP$214"}</definedName>
    <definedName name="gggg" localSheetId="32" hidden="1">{"'előző év december'!$A$2:$CP$214"}</definedName>
    <definedName name="gggg" localSheetId="11" hidden="1">{"'előző év december'!$A$2:$CP$214"}</definedName>
    <definedName name="gggg" localSheetId="12" hidden="1">{"'előző év december'!$A$2:$CP$214"}</definedName>
    <definedName name="gggg" localSheetId="18" hidden="1">{"'előző év december'!$A$2:$CP$214"}</definedName>
    <definedName name="gggg" localSheetId="19" hidden="1">{"'előző év december'!$A$2:$CP$214"}</definedName>
    <definedName name="gggg" hidden="1">{"'előző év december'!$A$2:$CP$214"}</definedName>
    <definedName name="gggggg" localSheetId="31" hidden="1">{#N/A,#N/A,FALSE,"т02бд"}</definedName>
    <definedName name="gggggg" localSheetId="32" hidden="1">{#N/A,#N/A,FALSE,"т02бд"}</definedName>
    <definedName name="gggggg" localSheetId="11" hidden="1">{#N/A,#N/A,FALSE,"т02бд"}</definedName>
    <definedName name="gggggg" localSheetId="12" hidden="1">{#N/A,#N/A,FALSE,"т02бд"}</definedName>
    <definedName name="gggggg" localSheetId="18" hidden="1">{#N/A,#N/A,FALSE,"т02бд"}</definedName>
    <definedName name="gggggg" localSheetId="19" hidden="1">{#N/A,#N/A,FALSE,"т02бд"}</definedName>
    <definedName name="gggggg" hidden="1">{#N/A,#N/A,FALSE,"т02бд"}</definedName>
    <definedName name="gh" localSheetId="31" hidden="1">{"'előző év december'!$A$2:$CP$214"}</definedName>
    <definedName name="gh" localSheetId="32" hidden="1">{"'előző év december'!$A$2:$CP$214"}</definedName>
    <definedName name="gh" localSheetId="11" hidden="1">{"'előző év december'!$A$2:$CP$214"}</definedName>
    <definedName name="gh" localSheetId="12" hidden="1">{"'előző év december'!$A$2:$CP$214"}</definedName>
    <definedName name="gh" localSheetId="18" hidden="1">{"'előző év december'!$A$2:$CP$214"}</definedName>
    <definedName name="gh" localSheetId="19" hidden="1">{"'előző év december'!$A$2:$CP$214"}</definedName>
    <definedName name="gh" hidden="1">{"'előző év december'!$A$2:$CP$214"}</definedName>
    <definedName name="ghghg" localSheetId="31" hidden="1">{#N/A,#N/A,FALSE,"т02бд"}</definedName>
    <definedName name="ghghg" localSheetId="32" hidden="1">{#N/A,#N/A,FALSE,"т02бд"}</definedName>
    <definedName name="ghghg" localSheetId="11" hidden="1">{#N/A,#N/A,FALSE,"т02бд"}</definedName>
    <definedName name="ghghg" localSheetId="12" hidden="1">{#N/A,#N/A,FALSE,"т02бд"}</definedName>
    <definedName name="ghghg" localSheetId="18" hidden="1">{#N/A,#N/A,FALSE,"т02бд"}</definedName>
    <definedName name="ghghg" localSheetId="19" hidden="1">{#N/A,#N/A,FALSE,"т02бд"}</definedName>
    <definedName name="ghghg" hidden="1">{#N/A,#N/A,FALSE,"т02бд"}</definedName>
    <definedName name="ghghghg" localSheetId="31" hidden="1">{#N/A,#N/A,FALSE,"т02бд"}</definedName>
    <definedName name="ghghghg" localSheetId="32" hidden="1">{#N/A,#N/A,FALSE,"т02бд"}</definedName>
    <definedName name="ghghghg" localSheetId="11" hidden="1">{#N/A,#N/A,FALSE,"т02бд"}</definedName>
    <definedName name="ghghghg" localSheetId="12" hidden="1">{#N/A,#N/A,FALSE,"т02бд"}</definedName>
    <definedName name="ghghghg" localSheetId="18" hidden="1">{#N/A,#N/A,FALSE,"т02бд"}</definedName>
    <definedName name="ghghghg" localSheetId="19" hidden="1">{#N/A,#N/A,FALSE,"т02бд"}</definedName>
    <definedName name="ghghghg" hidden="1">{#N/A,#N/A,FALSE,"т02бд"}</definedName>
    <definedName name="ghj" localSheetId="31" hidden="1">{"'előző év december'!$A$2:$CP$214"}</definedName>
    <definedName name="ghj" localSheetId="32" hidden="1">{"'előző év december'!$A$2:$CP$214"}</definedName>
    <definedName name="ghj" localSheetId="11" hidden="1">{"'előző év december'!$A$2:$CP$214"}</definedName>
    <definedName name="ghj" localSheetId="12" hidden="1">{"'előző év december'!$A$2:$CP$214"}</definedName>
    <definedName name="ghj" localSheetId="18" hidden="1">{"'előző év december'!$A$2:$CP$214"}</definedName>
    <definedName name="ghj" localSheetId="19" hidden="1">{"'előző év december'!$A$2:$CP$214"}</definedName>
    <definedName name="ghj" hidden="1">{"'előző év december'!$A$2:$CP$214"}</definedName>
    <definedName name="Gross_reserves" localSheetId="24">#REF!</definedName>
    <definedName name="Gross_reserves" localSheetId="26">#REF!</definedName>
    <definedName name="Gross_reserves" localSheetId="20">#REF!</definedName>
    <definedName name="Gross_reserves" localSheetId="23">#REF!</definedName>
    <definedName name="Gross_reserves" localSheetId="21">#REF!</definedName>
    <definedName name="Gross_reserves" localSheetId="17">#REF!</definedName>
    <definedName name="Gross_reserves">#REF!</definedName>
    <definedName name="HERE" localSheetId="24">#REF!</definedName>
    <definedName name="HERE" localSheetId="26">#REF!</definedName>
    <definedName name="HERE" localSheetId="20">#REF!</definedName>
    <definedName name="HERE" localSheetId="23">#REF!</definedName>
    <definedName name="HERE" localSheetId="21">#REF!</definedName>
    <definedName name="HERE" localSheetId="17">#REF!</definedName>
    <definedName name="HERE">#REF!</definedName>
    <definedName name="hgf" localSheetId="31" hidden="1">{"'előző év december'!$A$2:$CP$214"}</definedName>
    <definedName name="hgf" localSheetId="32" hidden="1">{"'előző év december'!$A$2:$CP$214"}</definedName>
    <definedName name="hgf" localSheetId="11" hidden="1">{"'előző év december'!$A$2:$CP$214"}</definedName>
    <definedName name="hgf" localSheetId="12" hidden="1">{"'előző év december'!$A$2:$CP$214"}</definedName>
    <definedName name="hgf" localSheetId="18" hidden="1">{"'előző év december'!$A$2:$CP$214"}</definedName>
    <definedName name="hgf" localSheetId="19" hidden="1">{"'előző év december'!$A$2:$CP$214"}</definedName>
    <definedName name="hgf" hidden="1">{"'előző év december'!$A$2:$CP$214"}</definedName>
    <definedName name="hgj" localSheetId="31" hidden="1">{#N/A,#N/A,FALSE,"т02бд"}</definedName>
    <definedName name="hgj" localSheetId="32" hidden="1">{#N/A,#N/A,FALSE,"т02бд"}</definedName>
    <definedName name="hgj" localSheetId="11" hidden="1">{#N/A,#N/A,FALSE,"т02бд"}</definedName>
    <definedName name="hgj" localSheetId="12" hidden="1">{#N/A,#N/A,FALSE,"т02бд"}</definedName>
    <definedName name="hgj" localSheetId="18" hidden="1">{#N/A,#N/A,FALSE,"т02бд"}</definedName>
    <definedName name="hgj" localSheetId="19" hidden="1">{#N/A,#N/A,FALSE,"т02бд"}</definedName>
    <definedName name="hgj" hidden="1">{#N/A,#N/A,FALSE,"т02бд"}</definedName>
    <definedName name="hgjghj" localSheetId="31" hidden="1">{"'előző év december'!$A$2:$CP$214"}</definedName>
    <definedName name="hgjghj" localSheetId="32" hidden="1">{"'előző év december'!$A$2:$CP$214"}</definedName>
    <definedName name="hgjghj" localSheetId="11" hidden="1">{"'előző év december'!$A$2:$CP$214"}</definedName>
    <definedName name="hgjghj" localSheetId="12" hidden="1">{"'előző év december'!$A$2:$CP$214"}</definedName>
    <definedName name="hgjghj" localSheetId="18" hidden="1">{"'előző év december'!$A$2:$CP$214"}</definedName>
    <definedName name="hgjghj" localSheetId="19" hidden="1">{"'előző év december'!$A$2:$CP$214"}</definedName>
    <definedName name="hgjghj" hidden="1">{"'előző év december'!$A$2:$CP$214"}</definedName>
    <definedName name="hhhhhhhhhhhhhhhh" localSheetId="31" hidden="1">{"'előző év december'!$A$2:$CP$214"}</definedName>
    <definedName name="hhhhhhhhhhhhhhhh" localSheetId="32" hidden="1">{"'előző év december'!$A$2:$CP$214"}</definedName>
    <definedName name="hhhhhhhhhhhhhhhh" localSheetId="11" hidden="1">{"'előző év december'!$A$2:$CP$214"}</definedName>
    <definedName name="hhhhhhhhhhhhhhhh" localSheetId="12" hidden="1">{"'előző év december'!$A$2:$CP$214"}</definedName>
    <definedName name="hhhhhhhhhhhhhhhh" localSheetId="18" hidden="1">{"'előző év december'!$A$2:$CP$214"}</definedName>
    <definedName name="hhhhhhhhhhhhhhhh" localSheetId="19" hidden="1">{"'előző év december'!$A$2:$CP$214"}</definedName>
    <definedName name="hhhhhhhhhhhhhhhh" hidden="1">{"'előző év december'!$A$2:$CP$214"}</definedName>
    <definedName name="hj" localSheetId="31" hidden="1">{#N/A,#N/A,FALSE,"т02бд"}</definedName>
    <definedName name="hj" localSheetId="32" hidden="1">{#N/A,#N/A,FALSE,"т02бд"}</definedName>
    <definedName name="hj" localSheetId="11" hidden="1">{#N/A,#N/A,FALSE,"т02бд"}</definedName>
    <definedName name="hj" localSheetId="12" hidden="1">{#N/A,#N/A,FALSE,"т02бд"}</definedName>
    <definedName name="hj" localSheetId="18" hidden="1">{#N/A,#N/A,FALSE,"т02бд"}</definedName>
    <definedName name="hj" localSheetId="19" hidden="1">{#N/A,#N/A,FALSE,"т02бд"}</definedName>
    <definedName name="hj" hidden="1">{#N/A,#N/A,FALSE,"т02бд"}</definedName>
    <definedName name="ht" localSheetId="31" hidden="1">{"'előző év december'!$A$2:$CP$214"}</definedName>
    <definedName name="ht" localSheetId="32" hidden="1">{"'előző év december'!$A$2:$CP$214"}</definedName>
    <definedName name="ht" localSheetId="11" hidden="1">{"'előző év december'!$A$2:$CP$214"}</definedName>
    <definedName name="ht" localSheetId="12" hidden="1">{"'előző év december'!$A$2:$CP$214"}</definedName>
    <definedName name="ht" localSheetId="18" hidden="1">{"'előző év december'!$A$2:$CP$214"}</definedName>
    <definedName name="ht" localSheetId="19" hidden="1">{"'előző év december'!$A$2:$CP$214"}</definedName>
    <definedName name="ht" hidden="1">{"'előző év december'!$A$2:$CP$214"}</definedName>
    <definedName name="HTML_CodePage" hidden="1">1250</definedName>
    <definedName name="HTML_Control" localSheetId="31" hidden="1">{"'előző év december'!$A$2:$CP$214"}</definedName>
    <definedName name="HTML_Control" localSheetId="32" hidden="1">{"'előző év december'!$A$2:$CP$214"}</definedName>
    <definedName name="HTML_Control" localSheetId="11" hidden="1">{"'előző év december'!$A$2:$CP$214"}</definedName>
    <definedName name="HTML_Control" localSheetId="12" hidden="1">{"'előző év december'!$A$2:$CP$214"}</definedName>
    <definedName name="HTML_Control" localSheetId="18" hidden="1">{"'előző év december'!$A$2:$CP$214"}</definedName>
    <definedName name="HTML_Control" localSheetId="19" hidden="1">{"'előző év december'!$A$2:$CP$214"}</definedName>
    <definedName name="HTML_Control" hidden="1">{"'előző év december'!$A$2:$CP$214"}</definedName>
    <definedName name="HTML_Control_2" localSheetId="31" hidden="1">{"'Всего'!$A$1:$F$19"}</definedName>
    <definedName name="HTML_Control_2" localSheetId="32" hidden="1">{"'Всего'!$A$1:$F$19"}</definedName>
    <definedName name="HTML_Control_2" localSheetId="11" hidden="1">{"'Всего'!$A$1:$F$19"}</definedName>
    <definedName name="HTML_Control_2" localSheetId="12" hidden="1">{"'Всего'!$A$1:$F$19"}</definedName>
    <definedName name="HTML_Control_2" localSheetId="18" hidden="1">{"'Всего'!$A$1:$F$19"}</definedName>
    <definedName name="HTML_Control_2" localSheetId="19" hidden="1">{"'Всего'!$A$1:$F$19"}</definedName>
    <definedName name="HTML_Control_2" hidden="1">{"'Всего'!$A$1:$F$19"}</definedName>
    <definedName name="HTML_Control_3" localSheetId="31" hidden="1">{"'Всего'!$A$1:$F$19"}</definedName>
    <definedName name="HTML_Control_3" localSheetId="32" hidden="1">{"'Всего'!$A$1:$F$19"}</definedName>
    <definedName name="HTML_Control_3" localSheetId="11" hidden="1">{"'Всего'!$A$1:$F$19"}</definedName>
    <definedName name="HTML_Control_3" localSheetId="12" hidden="1">{"'Всего'!$A$1:$F$19"}</definedName>
    <definedName name="HTML_Control_3" localSheetId="18" hidden="1">{"'Всего'!$A$1:$F$19"}</definedName>
    <definedName name="HTML_Control_3" localSheetId="19" hidden="1">{"'Всего'!$A$1:$F$19"}</definedName>
    <definedName name="HTML_Control_3" hidden="1">{"'Всего'!$A$1:$F$19"}</definedName>
    <definedName name="HTML_Control_4" localSheetId="31" hidden="1">{"'Всего'!$A$1:$F$19"}</definedName>
    <definedName name="HTML_Control_4" localSheetId="32" hidden="1">{"'Всего'!$A$1:$F$19"}</definedName>
    <definedName name="HTML_Control_4" localSheetId="11" hidden="1">{"'Всего'!$A$1:$F$19"}</definedName>
    <definedName name="HTML_Control_4" localSheetId="12" hidden="1">{"'Всего'!$A$1:$F$19"}</definedName>
    <definedName name="HTML_Control_4" localSheetId="18" hidden="1">{"'Всего'!$A$1:$F$19"}</definedName>
    <definedName name="HTML_Control_4" localSheetId="19" hidden="1">{"'Всего'!$A$1:$F$19"}</definedName>
    <definedName name="HTML_Control_4" hidden="1">{"'Всего'!$A$1:$F$19"}</definedName>
    <definedName name="HTML_Control1" localSheetId="31" hidden="1">{"'Всего'!$A$1:$F$19"}</definedName>
    <definedName name="HTML_Control1" localSheetId="32" hidden="1">{"'Всего'!$A$1:$F$19"}</definedName>
    <definedName name="HTML_Control1" localSheetId="11" hidden="1">{"'Всего'!$A$1:$F$19"}</definedName>
    <definedName name="HTML_Control1" localSheetId="12" hidden="1">{"'Всего'!$A$1:$F$19"}</definedName>
    <definedName name="HTML_Control1" localSheetId="18" hidden="1">{"'Всего'!$A$1:$F$19"}</definedName>
    <definedName name="HTML_Control1" localSheetId="19" hidden="1">{"'Всего'!$A$1:$F$19"}</definedName>
    <definedName name="HTML_Control1" hidden="1">{"'Всего'!$A$1:$F$19"}</definedName>
    <definedName name="HTML_Controll2" localSheetId="31" hidden="1">{"'előző év december'!$A$2:$CP$214"}</definedName>
    <definedName name="HTML_Controll2" localSheetId="32" hidden="1">{"'előző év december'!$A$2:$CP$214"}</definedName>
    <definedName name="HTML_Controll2" localSheetId="11" hidden="1">{"'előző év december'!$A$2:$CP$214"}</definedName>
    <definedName name="HTML_Controll2" localSheetId="12" hidden="1">{"'előző év december'!$A$2:$CP$214"}</definedName>
    <definedName name="HTML_Controll2" localSheetId="18" hidden="1">{"'előző év december'!$A$2:$CP$214"}</definedName>
    <definedName name="HTML_Controll2" localSheetId="19" hidden="1">{"'előző év december'!$A$2:$CP$214"}</definedName>
    <definedName name="HTML_Controll2" hidden="1">{"'előző év december'!$A$2:$CP$214"}</definedName>
    <definedName name="HTML_Description" hidden="1">""</definedName>
    <definedName name="HTML_Email" hidden="1">""</definedName>
    <definedName name="html_f" localSheetId="31" hidden="1">{"'előző év december'!$A$2:$CP$214"}</definedName>
    <definedName name="html_f" localSheetId="32" hidden="1">{"'előző év december'!$A$2:$CP$214"}</definedName>
    <definedName name="html_f" localSheetId="11" hidden="1">{"'előző év december'!$A$2:$CP$214"}</definedName>
    <definedName name="html_f" localSheetId="12" hidden="1">{"'előző év december'!$A$2:$CP$214"}</definedName>
    <definedName name="html_f" localSheetId="18" hidden="1">{"'előző év december'!$A$2:$CP$214"}</definedName>
    <definedName name="html_f" localSheetId="19" hidden="1">{"'előző év december'!$A$2:$CP$214"}</definedName>
    <definedName name="html_f" hidden="1">{"'előző év december'!$A$2:$CP$214"}</definedName>
    <definedName name="HTML_Header" hidden="1">"előző év december"</definedName>
    <definedName name="HTML_LastUpdate" hidden="1">"9/16/99"</definedName>
    <definedName name="HTML_LineAfter" hidden="1">FALSE</definedName>
    <definedName name="HTML_LineBefore" hidden="1">FALSE</definedName>
    <definedName name="HTML_Name" hidden="1">"gasparj"</definedName>
    <definedName name="HTML_OBDlg2" hidden="1">TRUE</definedName>
    <definedName name="HTML_OBDlg4" hidden="1">TRUE</definedName>
    <definedName name="HTML_OS" hidden="1">0</definedName>
    <definedName name="HTML_PathFile" hidden="1">"I:\Fogyar\CpiCSO\MyHTML.htm"</definedName>
    <definedName name="HTML_Title" hidden="1">"CPI160total"</definedName>
    <definedName name="HTML1_1" hidden="1">"'[where 16-18 final data.xls]18 emp M'!$F$6:$H$9"</definedName>
    <definedName name="HTML1_10" hidden="1">""</definedName>
    <definedName name="HTML1_11" hidden="1">1</definedName>
    <definedName name="HTML1_12" hidden="1">"G:\workareas\whereabouts\Where99\MyHTML.htm"</definedName>
    <definedName name="HTML1_2" hidden="1">1</definedName>
    <definedName name="HTML1_3" hidden="1">"where 16-18 final data"</definedName>
    <definedName name="HTML1_4" hidden="1">"18 emp M"</definedName>
    <definedName name="HTML1_5" hidden="1">""</definedName>
    <definedName name="HTML1_6" hidden="1">-4146</definedName>
    <definedName name="HTML1_7" hidden="1">-4146</definedName>
    <definedName name="HTML1_8" hidden="1">"16/06/1999"</definedName>
    <definedName name="HTML1_9" hidden="1">"ISD New Desktop"</definedName>
    <definedName name="HTMLCount" hidden="1">1</definedName>
    <definedName name="i" localSheetId="31" hidden="1">{#N/A,#N/A,FALSE,"т02бд"}</definedName>
    <definedName name="i" localSheetId="32" hidden="1">{#N/A,#N/A,FALSE,"т02бд"}</definedName>
    <definedName name="i" localSheetId="11" hidden="1">{#N/A,#N/A,FALSE,"т02бд"}</definedName>
    <definedName name="i" localSheetId="12" hidden="1">{#N/A,#N/A,FALSE,"т02бд"}</definedName>
    <definedName name="i" localSheetId="18" hidden="1">{#N/A,#N/A,FALSE,"т02бд"}</definedName>
    <definedName name="i" localSheetId="19" hidden="1">{#N/A,#N/A,FALSE,"т02бд"}</definedName>
    <definedName name="i" hidden="1">{#N/A,#N/A,FALSE,"т02бд"}</definedName>
    <definedName name="In_millions_of_lei" localSheetId="24">#REF!</definedName>
    <definedName name="In_millions_of_lei" localSheetId="31">#REF!</definedName>
    <definedName name="In_millions_of_lei" localSheetId="32">#REF!</definedName>
    <definedName name="In_millions_of_lei" localSheetId="26">#REF!</definedName>
    <definedName name="In_millions_of_lei" localSheetId="11">#REF!</definedName>
    <definedName name="In_millions_of_lei" localSheetId="20">#REF!</definedName>
    <definedName name="In_millions_of_lei" localSheetId="23">#REF!</definedName>
    <definedName name="In_millions_of_lei" localSheetId="21">#REF!</definedName>
    <definedName name="In_millions_of_lei" localSheetId="17">#REF!</definedName>
    <definedName name="In_millions_of_lei" localSheetId="12">#REF!</definedName>
    <definedName name="In_millions_of_lei" localSheetId="18">#REF!</definedName>
    <definedName name="In_millions_of_lei" localSheetId="19">#REF!</definedName>
    <definedName name="In_millions_of_lei">#REF!</definedName>
    <definedName name="In_millions_of_U.S._dollars" localSheetId="24">#REF!</definedName>
    <definedName name="In_millions_of_U.S._dollars" localSheetId="31">#REF!</definedName>
    <definedName name="In_millions_of_U.S._dollars" localSheetId="32">#REF!</definedName>
    <definedName name="In_millions_of_U.S._dollars" localSheetId="26">#REF!</definedName>
    <definedName name="In_millions_of_U.S._dollars" localSheetId="11">#REF!</definedName>
    <definedName name="In_millions_of_U.S._dollars" localSheetId="20">#REF!</definedName>
    <definedName name="In_millions_of_U.S._dollars" localSheetId="23">#REF!</definedName>
    <definedName name="In_millions_of_U.S._dollars" localSheetId="21">#REF!</definedName>
    <definedName name="In_millions_of_U.S._dollars" localSheetId="17">#REF!</definedName>
    <definedName name="In_millions_of_U.S._dollars" localSheetId="12">#REF!</definedName>
    <definedName name="In_millions_of_U.S._dollars" localSheetId="18">#REF!</definedName>
    <definedName name="In_millions_of_U.S._dollars" localSheetId="19">#REF!</definedName>
    <definedName name="In_millions_of_U.S._dollars">#REF!</definedName>
    <definedName name="IQ_ADDIN" hidden="1">"AUTO"</definedName>
    <definedName name="IQ_DNTM" hidden="1">700000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MTD" hidden="1">800000</definedName>
    <definedName name="IQ_NAMES_REVISION_DATE_" hidden="1">42178.3536111111</definedName>
    <definedName name="IQ_QTD" hidden="1">750000</definedName>
    <definedName name="IQ_TODAY" hidden="1">0</definedName>
    <definedName name="IQ_YTDMONTH" hidden="1">130000</definedName>
    <definedName name="jjjjjjjjjjjjj" localSheetId="31" hidden="1">{#N/A,#N/A,FALSE,"т04"}</definedName>
    <definedName name="jjjjjjjjjjjjj" localSheetId="32" hidden="1">{#N/A,#N/A,FALSE,"т04"}</definedName>
    <definedName name="jjjjjjjjjjjjj" localSheetId="11" hidden="1">{#N/A,#N/A,FALSE,"т04"}</definedName>
    <definedName name="jjjjjjjjjjjjj" localSheetId="12" hidden="1">{#N/A,#N/A,FALSE,"т04"}</definedName>
    <definedName name="jjjjjjjjjjjjj" localSheetId="18" hidden="1">{#N/A,#N/A,FALSE,"т04"}</definedName>
    <definedName name="jjjjjjjjjjjjj" localSheetId="19" hidden="1">{#N/A,#N/A,FALSE,"т04"}</definedName>
    <definedName name="jjjjjjjjjjjjj" hidden="1">{#N/A,#N/A,FALSE,"т04"}</definedName>
    <definedName name="jjk" localSheetId="31" hidden="1">{#N/A,#N/A,FALSE,"т02бд"}</definedName>
    <definedName name="jjk" localSheetId="32" hidden="1">{#N/A,#N/A,FALSE,"т02бд"}</definedName>
    <definedName name="jjk" localSheetId="11" hidden="1">{#N/A,#N/A,FALSE,"т02бд"}</definedName>
    <definedName name="jjk" localSheetId="12" hidden="1">{#N/A,#N/A,FALSE,"т02бд"}</definedName>
    <definedName name="jjk" localSheetId="18" hidden="1">{#N/A,#N/A,FALSE,"т02бд"}</definedName>
    <definedName name="jjk" localSheetId="19" hidden="1">{#N/A,#N/A,FALSE,"т02бд"}</definedName>
    <definedName name="jjk" hidden="1">{#N/A,#N/A,FALSE,"т02бд"}</definedName>
    <definedName name="k" localSheetId="31" hidden="1">{"WEO",#N/A,FALSE,"T"}</definedName>
    <definedName name="k" localSheetId="32" hidden="1">{"WEO",#N/A,FALSE,"T"}</definedName>
    <definedName name="k" localSheetId="11" hidden="1">{"WEO",#N/A,FALSE,"T"}</definedName>
    <definedName name="k" localSheetId="12" hidden="1">{"WEO",#N/A,FALSE,"T"}</definedName>
    <definedName name="k" localSheetId="18" hidden="1">{"WEO",#N/A,FALSE,"T"}</definedName>
    <definedName name="k" localSheetId="19" hidden="1">{"WEO",#N/A,FALSE,"T"}</definedName>
    <definedName name="k" hidden="1">{"WEO",#N/A,FALSE,"T"}</definedName>
    <definedName name="KEND" localSheetId="24">#REF!</definedName>
    <definedName name="KEND" localSheetId="31">#REF!</definedName>
    <definedName name="KEND" localSheetId="32">#REF!</definedName>
    <definedName name="KEND" localSheetId="26">#REF!</definedName>
    <definedName name="KEND" localSheetId="11">#REF!</definedName>
    <definedName name="KEND" localSheetId="20">#REF!</definedName>
    <definedName name="KEND" localSheetId="23">#REF!</definedName>
    <definedName name="KEND" localSheetId="21">#REF!</definedName>
    <definedName name="KEND" localSheetId="17">#REF!</definedName>
    <definedName name="KEND" localSheetId="12">#REF!</definedName>
    <definedName name="KEND" localSheetId="18">#REF!</definedName>
    <definedName name="KEND" localSheetId="19">#REF!</definedName>
    <definedName name="KEND">#REF!</definedName>
    <definedName name="kiki" localSheetId="31" hidden="1">{"'előző év december'!$A$2:$CP$214"}</definedName>
    <definedName name="kiki" localSheetId="32" hidden="1">{"'előző év december'!$A$2:$CP$214"}</definedName>
    <definedName name="kiki" localSheetId="11" hidden="1">{"'előző év december'!$A$2:$CP$214"}</definedName>
    <definedName name="kiki" localSheetId="12" hidden="1">{"'előző év december'!$A$2:$CP$214"}</definedName>
    <definedName name="kiki" localSheetId="18" hidden="1">{"'előző év december'!$A$2:$CP$214"}</definedName>
    <definedName name="kiki" localSheetId="19" hidden="1">{"'előző év december'!$A$2:$CP$214"}</definedName>
    <definedName name="kiki" hidden="1">{"'előző év december'!$A$2:$CP$214"}</definedName>
    <definedName name="kkjmk" localSheetId="31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kkjmk" localSheetId="32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kkjmk" localSheetId="11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kkjmk" localSheetId="12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kkjmk" localSheetId="18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kkjmk" localSheetId="19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kkjmk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kkk" localSheetId="31" hidden="1">{#N/A,#N/A,FALSE,"т02бд"}</definedName>
    <definedName name="kkk" localSheetId="32" hidden="1">{#N/A,#N/A,FALSE,"т02бд"}</definedName>
    <definedName name="kkk" localSheetId="11" hidden="1">{#N/A,#N/A,FALSE,"т02бд"}</definedName>
    <definedName name="kkk" localSheetId="12" hidden="1">{#N/A,#N/A,FALSE,"т02бд"}</definedName>
    <definedName name="kkk" localSheetId="18" hidden="1">{#N/A,#N/A,FALSE,"т02бд"}</definedName>
    <definedName name="kkk" localSheetId="19" hidden="1">{#N/A,#N/A,FALSE,"т02бд"}</definedName>
    <definedName name="kkk" hidden="1">{#N/A,#N/A,FALSE,"т02бд"}</definedName>
    <definedName name="kkkkk" localSheetId="31" hidden="1">{#N/A,#N/A,FALSE,"т02бд"}</definedName>
    <definedName name="kkkkk" localSheetId="32" hidden="1">{#N/A,#N/A,FALSE,"т02бд"}</definedName>
    <definedName name="kkkkk" localSheetId="11" hidden="1">{#N/A,#N/A,FALSE,"т02бд"}</definedName>
    <definedName name="kkkkk" localSheetId="12" hidden="1">{#N/A,#N/A,FALSE,"т02бд"}</definedName>
    <definedName name="kkkkk" localSheetId="18" hidden="1">{#N/A,#N/A,FALSE,"т02бд"}</definedName>
    <definedName name="kkkkk" localSheetId="19" hidden="1">{#N/A,#N/A,FALSE,"т02бд"}</definedName>
    <definedName name="kkkkk" hidden="1">{#N/A,#N/A,FALSE,"т02бд"}</definedName>
    <definedName name="KMENU" localSheetId="24">#REF!</definedName>
    <definedName name="KMENU" localSheetId="31">#REF!</definedName>
    <definedName name="KMENU" localSheetId="32">#REF!</definedName>
    <definedName name="KMENU" localSheetId="26">#REF!</definedName>
    <definedName name="KMENU" localSheetId="11">#REF!</definedName>
    <definedName name="KMENU" localSheetId="20">#REF!</definedName>
    <definedName name="KMENU" localSheetId="23">#REF!</definedName>
    <definedName name="KMENU" localSheetId="21">#REF!</definedName>
    <definedName name="KMENU" localSheetId="17">#REF!</definedName>
    <definedName name="KMENU" localSheetId="12">#REF!</definedName>
    <definedName name="KMENU" localSheetId="18">#REF!</definedName>
    <definedName name="KMENU" localSheetId="19">#REF!</definedName>
    <definedName name="KMENU">#REF!</definedName>
    <definedName name="kulker" localSheetId="31" hidden="1">{"'előző év december'!$A$2:$CP$214"}</definedName>
    <definedName name="kulker" localSheetId="32" hidden="1">{"'előző év december'!$A$2:$CP$214"}</definedName>
    <definedName name="kulker" localSheetId="11" hidden="1">{"'előző év december'!$A$2:$CP$214"}</definedName>
    <definedName name="kulker" localSheetId="12" hidden="1">{"'előző év december'!$A$2:$CP$214"}</definedName>
    <definedName name="kulker" localSheetId="18" hidden="1">{"'előző év december'!$A$2:$CP$214"}</definedName>
    <definedName name="kulker" localSheetId="19" hidden="1">{"'előző év december'!$A$2:$CP$214"}</definedName>
    <definedName name="kulker" hidden="1">{"'előző év december'!$A$2:$CP$214"}</definedName>
    <definedName name="liquidity_reserve" localSheetId="24">#REF!</definedName>
    <definedName name="liquidity_reserve" localSheetId="26">#REF!</definedName>
    <definedName name="liquidity_reserve" localSheetId="20">#REF!</definedName>
    <definedName name="liquidity_reserve" localSheetId="23">#REF!</definedName>
    <definedName name="liquidity_reserve" localSheetId="21">#REF!</definedName>
    <definedName name="liquidity_reserve" localSheetId="17">#REF!</definedName>
    <definedName name="liquidity_reserve">#REF!</definedName>
    <definedName name="lk" localSheetId="31" hidden="1">{#N/A,#N/A,FALSE,"т02бд"}</definedName>
    <definedName name="lk" localSheetId="32" hidden="1">{#N/A,#N/A,FALSE,"т02бд"}</definedName>
    <definedName name="lk" localSheetId="11" hidden="1">{#N/A,#N/A,FALSE,"т02бд"}</definedName>
    <definedName name="lk" localSheetId="12" hidden="1">{#N/A,#N/A,FALSE,"т02бд"}</definedName>
    <definedName name="lk" localSheetId="18" hidden="1">{#N/A,#N/A,FALSE,"т02бд"}</definedName>
    <definedName name="lk" localSheetId="19" hidden="1">{#N/A,#N/A,FALSE,"т02бд"}</definedName>
    <definedName name="lk" hidden="1">{#N/A,#N/A,FALSE,"т02бд"}</definedName>
    <definedName name="ll" localSheetId="31" hidden="1">{#N/A,#N/A,FALSE,"Лист4"}</definedName>
    <definedName name="ll" localSheetId="32" hidden="1">{#N/A,#N/A,FALSE,"Лист4"}</definedName>
    <definedName name="ll" localSheetId="11" hidden="1">{#N/A,#N/A,FALSE,"Лист4"}</definedName>
    <definedName name="ll" localSheetId="12" hidden="1">{#N/A,#N/A,FALSE,"Лист4"}</definedName>
    <definedName name="ll" localSheetId="18" hidden="1">{#N/A,#N/A,FALSE,"Лист4"}</definedName>
    <definedName name="ll" localSheetId="19" hidden="1">{#N/A,#N/A,FALSE,"Лист4"}</definedName>
    <definedName name="ll" hidden="1">{#N/A,#N/A,FALSE,"Лист4"}</definedName>
    <definedName name="lll" localSheetId="31" hidden="1">{#N/A,#N/A,FALSE,"т02бд"}</definedName>
    <definedName name="lll" localSheetId="32" hidden="1">{#N/A,#N/A,FALSE,"т02бд"}</definedName>
    <definedName name="lll" localSheetId="11" hidden="1">{#N/A,#N/A,FALSE,"т02бд"}</definedName>
    <definedName name="lll" localSheetId="12" hidden="1">{#N/A,#N/A,FALSE,"т02бд"}</definedName>
    <definedName name="lll" localSheetId="18" hidden="1">{#N/A,#N/A,FALSE,"т02бд"}</definedName>
    <definedName name="lll" localSheetId="19" hidden="1">{#N/A,#N/A,FALSE,"т02бд"}</definedName>
    <definedName name="lll" hidden="1">{#N/A,#N/A,FALSE,"т02бд"}</definedName>
    <definedName name="Local" localSheetId="24">#REF!</definedName>
    <definedName name="Local" localSheetId="31">#REF!</definedName>
    <definedName name="Local" localSheetId="32">#REF!</definedName>
    <definedName name="Local" localSheetId="26">#REF!</definedName>
    <definedName name="Local" localSheetId="11">#REF!</definedName>
    <definedName name="Local" localSheetId="20">#REF!</definedName>
    <definedName name="Local" localSheetId="23">#REF!</definedName>
    <definedName name="Local" localSheetId="21">#REF!</definedName>
    <definedName name="Local" localSheetId="17">#REF!</definedName>
    <definedName name="Local" localSheetId="12">#REF!</definedName>
    <definedName name="Local" localSheetId="18">#REF!</definedName>
    <definedName name="Local" localSheetId="19">#REF!</definedName>
    <definedName name="Local">#REF!</definedName>
    <definedName name="LOOKUPMTH" localSheetId="24">#REF!</definedName>
    <definedName name="LOOKUPMTH" localSheetId="31">#REF!</definedName>
    <definedName name="LOOKUPMTH" localSheetId="32">#REF!</definedName>
    <definedName name="LOOKUPMTH" localSheetId="26">#REF!</definedName>
    <definedName name="LOOKUPMTH" localSheetId="11">#REF!</definedName>
    <definedName name="LOOKUPMTH" localSheetId="20">#REF!</definedName>
    <definedName name="LOOKUPMTH" localSheetId="23">#REF!</definedName>
    <definedName name="LOOKUPMTH" localSheetId="21">#REF!</definedName>
    <definedName name="LOOKUPMTH" localSheetId="17">#REF!</definedName>
    <definedName name="LOOKUPMTH" localSheetId="12">#REF!</definedName>
    <definedName name="LOOKUPMTH" localSheetId="18">#REF!</definedName>
    <definedName name="LOOKUPMTH" localSheetId="19">#REF!</definedName>
    <definedName name="LOOKUPMTH">#REF!</definedName>
    <definedName name="m" localSheetId="31" hidden="1">{#N/A,#N/A,FALSE,"I";#N/A,#N/A,FALSE,"J";#N/A,#N/A,FALSE,"K";#N/A,#N/A,FALSE,"L";#N/A,#N/A,FALSE,"M";#N/A,#N/A,FALSE,"N";#N/A,#N/A,FALSE,"O"}</definedName>
    <definedName name="m" localSheetId="32" hidden="1">{#N/A,#N/A,FALSE,"I";#N/A,#N/A,FALSE,"J";#N/A,#N/A,FALSE,"K";#N/A,#N/A,FALSE,"L";#N/A,#N/A,FALSE,"M";#N/A,#N/A,FALSE,"N";#N/A,#N/A,FALSE,"O"}</definedName>
    <definedName name="m" localSheetId="11" hidden="1">{#N/A,#N/A,FALSE,"I";#N/A,#N/A,FALSE,"J";#N/A,#N/A,FALSE,"K";#N/A,#N/A,FALSE,"L";#N/A,#N/A,FALSE,"M";#N/A,#N/A,FALSE,"N";#N/A,#N/A,FALSE,"O"}</definedName>
    <definedName name="m" localSheetId="12" hidden="1">{#N/A,#N/A,FALSE,"I";#N/A,#N/A,FALSE,"J";#N/A,#N/A,FALSE,"K";#N/A,#N/A,FALSE,"L";#N/A,#N/A,FALSE,"M";#N/A,#N/A,FALSE,"N";#N/A,#N/A,FALSE,"O"}</definedName>
    <definedName name="m" localSheetId="18" hidden="1">{#N/A,#N/A,FALSE,"I";#N/A,#N/A,FALSE,"J";#N/A,#N/A,FALSE,"K";#N/A,#N/A,FALSE,"L";#N/A,#N/A,FALSE,"M";#N/A,#N/A,FALSE,"N";#N/A,#N/A,FALSE,"O"}</definedName>
    <definedName name="m" localSheetId="19" hidden="1">{#N/A,#N/A,FALSE,"I";#N/A,#N/A,FALSE,"J";#N/A,#N/A,FALSE,"K";#N/A,#N/A,FALSE,"L";#N/A,#N/A,FALSE,"M";#N/A,#N/A,FALSE,"N";#N/A,#N/A,FALSE,"O"}</definedName>
    <definedName name="m" hidden="1">{#N/A,#N/A,FALSE,"I";#N/A,#N/A,FALSE,"J";#N/A,#N/A,FALSE,"K";#N/A,#N/A,FALSE,"L";#N/A,#N/A,FALSE,"M";#N/A,#N/A,FALSE,"N";#N/A,#N/A,FALSE,"O"}</definedName>
    <definedName name="MACROS" localSheetId="24">#REF!</definedName>
    <definedName name="MACROS" localSheetId="31">#REF!</definedName>
    <definedName name="MACROS" localSheetId="32">#REF!</definedName>
    <definedName name="MACROS" localSheetId="26">#REF!</definedName>
    <definedName name="MACROS" localSheetId="11">#REF!</definedName>
    <definedName name="MACROS" localSheetId="20">#REF!</definedName>
    <definedName name="MACROS" localSheetId="23">#REF!</definedName>
    <definedName name="MACROS" localSheetId="21">#REF!</definedName>
    <definedName name="MACROS" localSheetId="17">#REF!</definedName>
    <definedName name="MACROS" localSheetId="12">#REF!</definedName>
    <definedName name="MACROS" localSheetId="18">#REF!</definedName>
    <definedName name="MACROS" localSheetId="19">#REF!</definedName>
    <definedName name="MACROS">#REF!</definedName>
    <definedName name="Medium_term_BOP_scenario" localSheetId="24">#REF!</definedName>
    <definedName name="Medium_term_BOP_scenario" localSheetId="31">#REF!</definedName>
    <definedName name="Medium_term_BOP_scenario" localSheetId="32">#REF!</definedName>
    <definedName name="Medium_term_BOP_scenario" localSheetId="26">#REF!</definedName>
    <definedName name="Medium_term_BOP_scenario" localSheetId="11">#REF!</definedName>
    <definedName name="Medium_term_BOP_scenario" localSheetId="20">#REF!</definedName>
    <definedName name="Medium_term_BOP_scenario" localSheetId="23">#REF!</definedName>
    <definedName name="Medium_term_BOP_scenario" localSheetId="21">#REF!</definedName>
    <definedName name="Medium_term_BOP_scenario" localSheetId="17">#REF!</definedName>
    <definedName name="Medium_term_BOP_scenario" localSheetId="12">#REF!</definedName>
    <definedName name="Medium_term_BOP_scenario" localSheetId="18">#REF!</definedName>
    <definedName name="Medium_term_BOP_scenario" localSheetId="19">#REF!</definedName>
    <definedName name="Medium_term_BOP_scenario">#REF!</definedName>
    <definedName name="mh" localSheetId="31" hidden="1">{"'előző év december'!$A$2:$CP$214"}</definedName>
    <definedName name="mh" localSheetId="32" hidden="1">{"'előző év december'!$A$2:$CP$214"}</definedName>
    <definedName name="mh" localSheetId="11" hidden="1">{"'előző év december'!$A$2:$CP$214"}</definedName>
    <definedName name="mh" localSheetId="12" hidden="1">{"'előző év december'!$A$2:$CP$214"}</definedName>
    <definedName name="mh" localSheetId="18" hidden="1">{"'előző év december'!$A$2:$CP$214"}</definedName>
    <definedName name="mh" localSheetId="19" hidden="1">{"'előző év december'!$A$2:$CP$214"}</definedName>
    <definedName name="mh" hidden="1">{"'előző év december'!$A$2:$CP$214"}</definedName>
    <definedName name="mhz" localSheetId="31" hidden="1">{"'előző év december'!$A$2:$CP$214"}</definedName>
    <definedName name="mhz" localSheetId="32" hidden="1">{"'előző év december'!$A$2:$CP$214"}</definedName>
    <definedName name="mhz" localSheetId="11" hidden="1">{"'előző év december'!$A$2:$CP$214"}</definedName>
    <definedName name="mhz" localSheetId="12" hidden="1">{"'előző év december'!$A$2:$CP$214"}</definedName>
    <definedName name="mhz" localSheetId="18" hidden="1">{"'előző év december'!$A$2:$CP$214"}</definedName>
    <definedName name="mhz" localSheetId="19" hidden="1">{"'előző év december'!$A$2:$CP$214"}</definedName>
    <definedName name="mhz" hidden="1">{"'előző év december'!$A$2:$CP$214"}</definedName>
    <definedName name="mmmmmmm" localSheetId="31" hidden="1">{#N/A,#N/A,FALSE,"т02бд"}</definedName>
    <definedName name="mmmmmmm" localSheetId="32" hidden="1">{#N/A,#N/A,FALSE,"т02бд"}</definedName>
    <definedName name="mmmmmmm" localSheetId="11" hidden="1">{#N/A,#N/A,FALSE,"т02бд"}</definedName>
    <definedName name="mmmmmmm" localSheetId="12" hidden="1">{#N/A,#N/A,FALSE,"т02бд"}</definedName>
    <definedName name="mmmmmmm" localSheetId="18" hidden="1">{#N/A,#N/A,FALSE,"т02бд"}</definedName>
    <definedName name="mmmmmmm" localSheetId="19" hidden="1">{#N/A,#N/A,FALSE,"т02бд"}</definedName>
    <definedName name="mmmmmmm" hidden="1">{#N/A,#N/A,FALSE,"т02бд"}</definedName>
    <definedName name="mn" localSheetId="31" hidden="1">{"MONA",#N/A,FALSE,"S"}</definedName>
    <definedName name="mn" localSheetId="32" hidden="1">{"MONA",#N/A,FALSE,"S"}</definedName>
    <definedName name="mn" localSheetId="11" hidden="1">{"MONA",#N/A,FALSE,"S"}</definedName>
    <definedName name="mn" localSheetId="12" hidden="1">{"MONA",#N/A,FALSE,"S"}</definedName>
    <definedName name="mn" localSheetId="18" hidden="1">{"MONA",#N/A,FALSE,"S"}</definedName>
    <definedName name="mn" localSheetId="19" hidden="1">{"MONA",#N/A,FALSE,"S"}</definedName>
    <definedName name="mn" hidden="1">{"MONA",#N/A,FALSE,"S"}</definedName>
    <definedName name="Moldova__Balance_of_Payments__1994_98" localSheetId="24">#REF!</definedName>
    <definedName name="Moldova__Balance_of_Payments__1994_98" localSheetId="31">#REF!</definedName>
    <definedName name="Moldova__Balance_of_Payments__1994_98" localSheetId="32">#REF!</definedName>
    <definedName name="Moldova__Balance_of_Payments__1994_98" localSheetId="26">#REF!</definedName>
    <definedName name="Moldova__Balance_of_Payments__1994_98" localSheetId="11">#REF!</definedName>
    <definedName name="Moldova__Balance_of_Payments__1994_98" localSheetId="20">#REF!</definedName>
    <definedName name="Moldova__Balance_of_Payments__1994_98" localSheetId="23">#REF!</definedName>
    <definedName name="Moldova__Balance_of_Payments__1994_98" localSheetId="21">#REF!</definedName>
    <definedName name="Moldova__Balance_of_Payments__1994_98" localSheetId="17">#REF!</definedName>
    <definedName name="Moldova__Balance_of_Payments__1994_98" localSheetId="12">#REF!</definedName>
    <definedName name="Moldova__Balance_of_Payments__1994_98" localSheetId="18">#REF!</definedName>
    <definedName name="Moldova__Balance_of_Payments__1994_98" localSheetId="19">#REF!</definedName>
    <definedName name="Moldova__Balance_of_Payments__1994_98">#REF!</definedName>
    <definedName name="Monetary_Program_Parameters" localSheetId="24">#REF!</definedName>
    <definedName name="Monetary_Program_Parameters" localSheetId="31">#REF!</definedName>
    <definedName name="Monetary_Program_Parameters" localSheetId="32">#REF!</definedName>
    <definedName name="Monetary_Program_Parameters" localSheetId="26">#REF!</definedName>
    <definedName name="Monetary_Program_Parameters" localSheetId="11">#REF!</definedName>
    <definedName name="Monetary_Program_Parameters" localSheetId="20">#REF!</definedName>
    <definedName name="Monetary_Program_Parameters" localSheetId="23">#REF!</definedName>
    <definedName name="Monetary_Program_Parameters" localSheetId="21">#REF!</definedName>
    <definedName name="Monetary_Program_Parameters" localSheetId="17">#REF!</definedName>
    <definedName name="Monetary_Program_Parameters" localSheetId="12">#REF!</definedName>
    <definedName name="Monetary_Program_Parameters" localSheetId="18">#REF!</definedName>
    <definedName name="Monetary_Program_Parameters" localSheetId="19">#REF!</definedName>
    <definedName name="Monetary_Program_Parameters">#REF!</definedName>
    <definedName name="moneyprogram" localSheetId="24">#REF!</definedName>
    <definedName name="moneyprogram" localSheetId="31">#REF!</definedName>
    <definedName name="moneyprogram" localSheetId="32">#REF!</definedName>
    <definedName name="moneyprogram" localSheetId="26">#REF!</definedName>
    <definedName name="moneyprogram" localSheetId="11">#REF!</definedName>
    <definedName name="moneyprogram" localSheetId="20">#REF!</definedName>
    <definedName name="moneyprogram" localSheetId="23">#REF!</definedName>
    <definedName name="moneyprogram" localSheetId="21">#REF!</definedName>
    <definedName name="moneyprogram" localSheetId="17">#REF!</definedName>
    <definedName name="moneyprogram" localSheetId="12">#REF!</definedName>
    <definedName name="moneyprogram" localSheetId="18">#REF!</definedName>
    <definedName name="moneyprogram" localSheetId="19">#REF!</definedName>
    <definedName name="moneyprogram">#REF!</definedName>
    <definedName name="monprogparameters" localSheetId="24">#REF!</definedName>
    <definedName name="monprogparameters" localSheetId="26">#REF!</definedName>
    <definedName name="monprogparameters" localSheetId="20">#REF!</definedName>
    <definedName name="monprogparameters" localSheetId="23">#REF!</definedName>
    <definedName name="monprogparameters" localSheetId="21">#REF!</definedName>
    <definedName name="monprogparameters" localSheetId="17">#REF!</definedName>
    <definedName name="monprogparameters">#REF!</definedName>
    <definedName name="monsurvey" localSheetId="24">#REF!</definedName>
    <definedName name="monsurvey" localSheetId="26">#REF!</definedName>
    <definedName name="monsurvey" localSheetId="20">#REF!</definedName>
    <definedName name="monsurvey" localSheetId="23">#REF!</definedName>
    <definedName name="monsurvey" localSheetId="21">#REF!</definedName>
    <definedName name="monsurvey" localSheetId="17">#REF!</definedName>
    <definedName name="monsurvey">#REF!</definedName>
    <definedName name="Month" localSheetId="24">#REF!</definedName>
    <definedName name="Month" localSheetId="26">#REF!</definedName>
    <definedName name="Month" localSheetId="20">#REF!</definedName>
    <definedName name="Month" localSheetId="23">#REF!</definedName>
    <definedName name="Month" localSheetId="21">#REF!</definedName>
    <definedName name="Month" localSheetId="17">#REF!</definedName>
    <definedName name="Month">#REF!</definedName>
    <definedName name="mt_moneyprog" localSheetId="24">#REF!</definedName>
    <definedName name="mt_moneyprog" localSheetId="26">#REF!</definedName>
    <definedName name="mt_moneyprog" localSheetId="20">#REF!</definedName>
    <definedName name="mt_moneyprog" localSheetId="23">#REF!</definedName>
    <definedName name="mt_moneyprog" localSheetId="21">#REF!</definedName>
    <definedName name="mt_moneyprog" localSheetId="17">#REF!</definedName>
    <definedName name="mt_moneyprog">#REF!</definedName>
    <definedName name="n" localSheetId="31" hidden="1">{#N/A,#N/A,FALSE,"Лист4"}</definedName>
    <definedName name="n" localSheetId="32" hidden="1">{#N/A,#N/A,FALSE,"Лист4"}</definedName>
    <definedName name="n" localSheetId="11" hidden="1">{#N/A,#N/A,FALSE,"Лист4"}</definedName>
    <definedName name="n" localSheetId="12" hidden="1">{#N/A,#N/A,FALSE,"Лист4"}</definedName>
    <definedName name="n" localSheetId="18" hidden="1">{#N/A,#N/A,FALSE,"Лист4"}</definedName>
    <definedName name="n" localSheetId="19" hidden="1">{#N/A,#N/A,FALSE,"Лист4"}</definedName>
    <definedName name="n" hidden="1">{#N/A,#N/A,FALSE,"Лист4"}</definedName>
    <definedName name="na" localSheetId="31" hidden="1">{"'előző év december'!$A$2:$CP$214"}</definedName>
    <definedName name="na" localSheetId="32" hidden="1">{"'előző év december'!$A$2:$CP$214"}</definedName>
    <definedName name="na" localSheetId="11" hidden="1">{"'előző év december'!$A$2:$CP$214"}</definedName>
    <definedName name="na" localSheetId="12" hidden="1">{"'előző év december'!$A$2:$CP$214"}</definedName>
    <definedName name="na" localSheetId="18" hidden="1">{"'előző év december'!$A$2:$CP$214"}</definedName>
    <definedName name="na" localSheetId="19" hidden="1">{"'előző év december'!$A$2:$CP$214"}</definedName>
    <definedName name="na" hidden="1">{"'előző év december'!$A$2:$CP$214"}</definedName>
    <definedName name="NAMES" localSheetId="24">#REF!</definedName>
    <definedName name="NAMES" localSheetId="26">#REF!</definedName>
    <definedName name="NAMES" localSheetId="20">#REF!</definedName>
    <definedName name="NAMES" localSheetId="23">#REF!</definedName>
    <definedName name="NAMES" localSheetId="21">#REF!</definedName>
    <definedName name="NAMES" localSheetId="17">#REF!</definedName>
    <definedName name="NAMES">#REF!</definedName>
    <definedName name="NAMESA" localSheetId="24">#REF!</definedName>
    <definedName name="NAMESA" localSheetId="26">#REF!</definedName>
    <definedName name="NAMESA" localSheetId="20">#REF!</definedName>
    <definedName name="NAMESA" localSheetId="23">#REF!</definedName>
    <definedName name="NAMESA" localSheetId="21">#REF!</definedName>
    <definedName name="NAMESA" localSheetId="17">#REF!</definedName>
    <definedName name="NAMESA">#REF!</definedName>
    <definedName name="NAMESM" localSheetId="24">#REF!</definedName>
    <definedName name="NAMESM" localSheetId="26">#REF!</definedName>
    <definedName name="NAMESM" localSheetId="20">#REF!</definedName>
    <definedName name="NAMESM" localSheetId="23">#REF!</definedName>
    <definedName name="NAMESM" localSheetId="21">#REF!</definedName>
    <definedName name="NAMESM" localSheetId="17">#REF!</definedName>
    <definedName name="NAMESM">#REF!</definedName>
    <definedName name="NAMESQ" localSheetId="24">#REF!</definedName>
    <definedName name="NAMESQ" localSheetId="26">#REF!</definedName>
    <definedName name="NAMESQ" localSheetId="20">#REF!</definedName>
    <definedName name="NAMESQ" localSheetId="23">#REF!</definedName>
    <definedName name="NAMESQ" localSheetId="21">#REF!</definedName>
    <definedName name="NAMESQ" localSheetId="17">#REF!</definedName>
    <definedName name="NAMESQ">#REF!</definedName>
    <definedName name="newb" localSheetId="24">#REF!</definedName>
    <definedName name="newb" localSheetId="20">#REF!</definedName>
    <definedName name="newb" localSheetId="23">#REF!</definedName>
    <definedName name="newb" localSheetId="21">#REF!</definedName>
    <definedName name="newb" localSheetId="17">#REF!</definedName>
    <definedName name="newb">#REF!</definedName>
    <definedName name="NFA_assumptions" localSheetId="24">#REF!</definedName>
    <definedName name="NFA_assumptions" localSheetId="26">#REF!</definedName>
    <definedName name="NFA_assumptions" localSheetId="20">#REF!</definedName>
    <definedName name="NFA_assumptions" localSheetId="23">#REF!</definedName>
    <definedName name="NFA_assumptions" localSheetId="21">#REF!</definedName>
    <definedName name="NFA_assumptions" localSheetId="17">#REF!</definedName>
    <definedName name="NFA_assumptions">#REF!</definedName>
    <definedName name="njgf" localSheetId="31" hidden="1">{#N/A,#N/A,FALSE,"т04"}</definedName>
    <definedName name="njgf" localSheetId="32" hidden="1">{#N/A,#N/A,FALSE,"т04"}</definedName>
    <definedName name="njgf" localSheetId="11" hidden="1">{#N/A,#N/A,FALSE,"т04"}</definedName>
    <definedName name="njgf" localSheetId="12" hidden="1">{#N/A,#N/A,FALSE,"т04"}</definedName>
    <definedName name="njgf" localSheetId="18" hidden="1">{#N/A,#N/A,FALSE,"т04"}</definedName>
    <definedName name="njgf" localSheetId="19" hidden="1">{#N/A,#N/A,FALSE,"т04"}</definedName>
    <definedName name="njgf" hidden="1">{#N/A,#N/A,FALSE,"т04"}</definedName>
    <definedName name="nm" localSheetId="31" hidden="1">{"'előző év december'!$A$2:$CP$214"}</definedName>
    <definedName name="nm" localSheetId="32" hidden="1">{"'előző év december'!$A$2:$CP$214"}</definedName>
    <definedName name="nm" localSheetId="11" hidden="1">{"'előző év december'!$A$2:$CP$214"}</definedName>
    <definedName name="nm" localSheetId="12" hidden="1">{"'előző év december'!$A$2:$CP$214"}</definedName>
    <definedName name="nm" localSheetId="18" hidden="1">{"'előző év december'!$A$2:$CP$214"}</definedName>
    <definedName name="nm" localSheetId="19" hidden="1">{"'előző év december'!$A$2:$CP$214"}</definedName>
    <definedName name="nm" hidden="1">{"'előző év december'!$A$2:$CP$214"}</definedName>
    <definedName name="Non_BRO" localSheetId="24">#REF!</definedName>
    <definedName name="Non_BRO" localSheetId="26">#REF!</definedName>
    <definedName name="Non_BRO" localSheetId="20">#REF!</definedName>
    <definedName name="Non_BRO" localSheetId="23">#REF!</definedName>
    <definedName name="Non_BRO" localSheetId="21">#REF!</definedName>
    <definedName name="Non_BRO" localSheetId="17">#REF!</definedName>
    <definedName name="Non_BRO">#REF!</definedName>
    <definedName name="Notes" localSheetId="24">#REF!</definedName>
    <definedName name="Notes" localSheetId="26">#REF!</definedName>
    <definedName name="Notes" localSheetId="20">#REF!</definedName>
    <definedName name="Notes" localSheetId="23">#REF!</definedName>
    <definedName name="Notes" localSheetId="21">#REF!</definedName>
    <definedName name="Notes" localSheetId="17">#REF!</definedName>
    <definedName name="Notes">#REF!</definedName>
    <definedName name="o" localSheetId="31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o" localSheetId="32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o" localSheetId="11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o" localSheetId="12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o" localSheetId="18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o" localSheetId="19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o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ooo" localSheetId="31" hidden="1">{#N/A,#N/A,FALSE,"т02бд"}</definedName>
    <definedName name="ooo" localSheetId="32" hidden="1">{#N/A,#N/A,FALSE,"т02бд"}</definedName>
    <definedName name="ooo" localSheetId="11" hidden="1">{#N/A,#N/A,FALSE,"т02бд"}</definedName>
    <definedName name="ooo" localSheetId="12" hidden="1">{#N/A,#N/A,FALSE,"т02бд"}</definedName>
    <definedName name="ooo" localSheetId="18" hidden="1">{#N/A,#N/A,FALSE,"т02бд"}</definedName>
    <definedName name="ooo" localSheetId="19" hidden="1">{#N/A,#N/A,FALSE,"т02бд"}</definedName>
    <definedName name="ooo" hidden="1">{#N/A,#N/A,FALSE,"т02бд"}</definedName>
    <definedName name="opopopopopopop" localSheetId="24">#REF!</definedName>
    <definedName name="opopopopopopop" localSheetId="31">#REF!</definedName>
    <definedName name="opopopopopopop" localSheetId="32">#REF!</definedName>
    <definedName name="opopopopopopop" localSheetId="26">#REF!</definedName>
    <definedName name="opopopopopopop" localSheetId="11">#REF!</definedName>
    <definedName name="opopopopopopop" localSheetId="20">#REF!</definedName>
    <definedName name="opopopopopopop" localSheetId="23">#REF!</definedName>
    <definedName name="opopopopopopop" localSheetId="21">#REF!</definedName>
    <definedName name="opopopopopopop" localSheetId="17">#REF!</definedName>
    <definedName name="opopopopopopop">#REF!</definedName>
    <definedName name="OVDP" localSheetId="24">#REF!</definedName>
    <definedName name="OVDP" localSheetId="31">#REF!</definedName>
    <definedName name="OVDP" localSheetId="32">#REF!</definedName>
    <definedName name="OVDP" localSheetId="26">#REF!</definedName>
    <definedName name="OVDP" localSheetId="11">#REF!</definedName>
    <definedName name="OVDP" localSheetId="20">#REF!</definedName>
    <definedName name="OVDP" localSheetId="23">#REF!</definedName>
    <definedName name="OVDP" localSheetId="21">#REF!</definedName>
    <definedName name="OVDP" localSheetId="17">#REF!</definedName>
    <definedName name="OVDP" localSheetId="12">#REF!</definedName>
    <definedName name="OVDP" localSheetId="18">#REF!</definedName>
    <definedName name="OVDP" localSheetId="19">#REF!</definedName>
    <definedName name="OVDP">#REF!</definedName>
    <definedName name="p" localSheetId="24">[5]labels!#REF!</definedName>
    <definedName name="p" localSheetId="31">[5]labels!#REF!</definedName>
    <definedName name="p" localSheetId="32">[5]labels!#REF!</definedName>
    <definedName name="p" localSheetId="26">[5]labels!#REF!</definedName>
    <definedName name="p" localSheetId="11">[5]labels!#REF!</definedName>
    <definedName name="p" localSheetId="20">[5]labels!#REF!</definedName>
    <definedName name="p" localSheetId="23">[5]labels!#REF!</definedName>
    <definedName name="p" localSheetId="21">[5]labels!#REF!</definedName>
    <definedName name="p" localSheetId="17">[5]labels!#REF!</definedName>
    <definedName name="p" localSheetId="12">[5]labels!#REF!</definedName>
    <definedName name="p" localSheetId="18">[5]labels!#REF!</definedName>
    <definedName name="p" localSheetId="19">[5]labels!#REF!</definedName>
    <definedName name="p">[5]labels!#REF!</definedName>
    <definedName name="PEND" localSheetId="24">#REF!</definedName>
    <definedName name="PEND" localSheetId="31">#REF!</definedName>
    <definedName name="PEND" localSheetId="32">#REF!</definedName>
    <definedName name="PEND" localSheetId="26">#REF!</definedName>
    <definedName name="PEND" localSheetId="11">#REF!</definedName>
    <definedName name="PEND" localSheetId="20">#REF!</definedName>
    <definedName name="PEND" localSheetId="23">#REF!</definedName>
    <definedName name="PEND" localSheetId="21">#REF!</definedName>
    <definedName name="PEND" localSheetId="17">#REF!</definedName>
    <definedName name="PEND" localSheetId="12">#REF!</definedName>
    <definedName name="PEND" localSheetId="18">#REF!</definedName>
    <definedName name="PEND" localSheetId="19">#REF!</definedName>
    <definedName name="PEND">#REF!</definedName>
    <definedName name="PeriodList">'[4]Report Form'!$E$4:$E$74</definedName>
    <definedName name="Pilot2" localSheetId="24">#REF!</definedName>
    <definedName name="Pilot2" localSheetId="31">#REF!</definedName>
    <definedName name="Pilot2" localSheetId="32">#REF!</definedName>
    <definedName name="Pilot2" localSheetId="26">#REF!</definedName>
    <definedName name="Pilot2" localSheetId="11">#REF!</definedName>
    <definedName name="Pilot2" localSheetId="20">#REF!</definedName>
    <definedName name="Pilot2" localSheetId="23">#REF!</definedName>
    <definedName name="Pilot2" localSheetId="21">#REF!</definedName>
    <definedName name="Pilot2" localSheetId="17">#REF!</definedName>
    <definedName name="Pilot2" localSheetId="12">#REF!</definedName>
    <definedName name="Pilot2" localSheetId="18">#REF!</definedName>
    <definedName name="Pilot2" localSheetId="19">#REF!</definedName>
    <definedName name="Pilot2">#REF!</definedName>
    <definedName name="PMENU" localSheetId="24">#REF!</definedName>
    <definedName name="PMENU" localSheetId="31">#REF!</definedName>
    <definedName name="PMENU" localSheetId="32">#REF!</definedName>
    <definedName name="PMENU" localSheetId="26">#REF!</definedName>
    <definedName name="PMENU" localSheetId="11">#REF!</definedName>
    <definedName name="PMENU" localSheetId="20">#REF!</definedName>
    <definedName name="PMENU" localSheetId="23">#REF!</definedName>
    <definedName name="PMENU" localSheetId="21">#REF!</definedName>
    <definedName name="PMENU" localSheetId="17">#REF!</definedName>
    <definedName name="PMENU" localSheetId="12">#REF!</definedName>
    <definedName name="PMENU" localSheetId="18">#REF!</definedName>
    <definedName name="PMENU" localSheetId="19">#REF!</definedName>
    <definedName name="PMENU">#REF!</definedName>
    <definedName name="PRINT_AREA_MI" localSheetId="24">#REF!</definedName>
    <definedName name="PRINT_AREA_MI" localSheetId="31">#REF!</definedName>
    <definedName name="PRINT_AREA_MI" localSheetId="32">#REF!</definedName>
    <definedName name="PRINT_AREA_MI" localSheetId="26">#REF!</definedName>
    <definedName name="PRINT_AREA_MI" localSheetId="11">#REF!</definedName>
    <definedName name="PRINT_AREA_MI" localSheetId="20">#REF!</definedName>
    <definedName name="PRINT_AREA_MI" localSheetId="23">#REF!</definedName>
    <definedName name="PRINT_AREA_MI" localSheetId="21">#REF!</definedName>
    <definedName name="PRINT_AREA_MI" localSheetId="17">#REF!</definedName>
    <definedName name="PRINT_AREA_MI" localSheetId="12">#REF!</definedName>
    <definedName name="PRINT_AREA_MI" localSheetId="18">#REF!</definedName>
    <definedName name="PRINT_AREA_MI" localSheetId="19">#REF!</definedName>
    <definedName name="PRINT_AREA_MI">#REF!</definedName>
    <definedName name="pti" localSheetId="31" hidden="1">{"'előző év december'!$A$2:$CP$214"}</definedName>
    <definedName name="pti" localSheetId="32" hidden="1">{"'előző év december'!$A$2:$CP$214"}</definedName>
    <definedName name="pti" localSheetId="11" hidden="1">{"'előző év december'!$A$2:$CP$214"}</definedName>
    <definedName name="pti" localSheetId="12" hidden="1">{"'előző év december'!$A$2:$CP$214"}</definedName>
    <definedName name="pti" localSheetId="18" hidden="1">{"'előző év december'!$A$2:$CP$214"}</definedName>
    <definedName name="pti" localSheetId="19" hidden="1">{"'előző év december'!$A$2:$CP$214"}</definedName>
    <definedName name="pti" hidden="1">{"'előző év december'!$A$2:$CP$214"}</definedName>
    <definedName name="PwC" localSheetId="31" hidden="1">{#N/A,#N/A,FALSE,"NBU rates 1999"}</definedName>
    <definedName name="PwC" localSheetId="32" hidden="1">{#N/A,#N/A,FALSE,"NBU rates 1999"}</definedName>
    <definedName name="PwC" localSheetId="11" hidden="1">{#N/A,#N/A,FALSE,"NBU rates 1999"}</definedName>
    <definedName name="PwC" localSheetId="12" hidden="1">{#N/A,#N/A,FALSE,"NBU rates 1999"}</definedName>
    <definedName name="PwC" localSheetId="18" hidden="1">{#N/A,#N/A,FALSE,"NBU rates 1999"}</definedName>
    <definedName name="PwC" localSheetId="19" hidden="1">{#N/A,#N/A,FALSE,"NBU rates 1999"}</definedName>
    <definedName name="PwC" hidden="1">{#N/A,#N/A,FALSE,"NBU rates 1999"}</definedName>
    <definedName name="PwC_2" localSheetId="31" hidden="1">{#N/A,#N/A,FALSE,"NBU rates 1999"}</definedName>
    <definedName name="PwC_2" localSheetId="32" hidden="1">{#N/A,#N/A,FALSE,"NBU rates 1999"}</definedName>
    <definedName name="PwC_2" localSheetId="11" hidden="1">{#N/A,#N/A,FALSE,"NBU rates 1999"}</definedName>
    <definedName name="PwC_2" localSheetId="12" hidden="1">{#N/A,#N/A,FALSE,"NBU rates 1999"}</definedName>
    <definedName name="PwC_2" localSheetId="18" hidden="1">{#N/A,#N/A,FALSE,"NBU rates 1999"}</definedName>
    <definedName name="PwC_2" localSheetId="19" hidden="1">{#N/A,#N/A,FALSE,"NBU rates 1999"}</definedName>
    <definedName name="PwC_2" hidden="1">{#N/A,#N/A,FALSE,"NBU rates 1999"}</definedName>
    <definedName name="PwC_3" localSheetId="31" hidden="1">{#N/A,#N/A,FALSE,"NBU rates 1999"}</definedName>
    <definedName name="PwC_3" localSheetId="32" hidden="1">{#N/A,#N/A,FALSE,"NBU rates 1999"}</definedName>
    <definedName name="PwC_3" localSheetId="11" hidden="1">{#N/A,#N/A,FALSE,"NBU rates 1999"}</definedName>
    <definedName name="PwC_3" localSheetId="12" hidden="1">{#N/A,#N/A,FALSE,"NBU rates 1999"}</definedName>
    <definedName name="PwC_3" localSheetId="18" hidden="1">{#N/A,#N/A,FALSE,"NBU rates 1999"}</definedName>
    <definedName name="PwC_3" localSheetId="19" hidden="1">{#N/A,#N/A,FALSE,"NBU rates 1999"}</definedName>
    <definedName name="PwC_3" hidden="1">{#N/A,#N/A,FALSE,"NBU rates 1999"}</definedName>
    <definedName name="PwC_4" localSheetId="31" hidden="1">{#N/A,#N/A,FALSE,"NBU rates 1999"}</definedName>
    <definedName name="PwC_4" localSheetId="32" hidden="1">{#N/A,#N/A,FALSE,"NBU rates 1999"}</definedName>
    <definedName name="PwC_4" localSheetId="11" hidden="1">{#N/A,#N/A,FALSE,"NBU rates 1999"}</definedName>
    <definedName name="PwC_4" localSheetId="12" hidden="1">{#N/A,#N/A,FALSE,"NBU rates 1999"}</definedName>
    <definedName name="PwC_4" localSheetId="18" hidden="1">{#N/A,#N/A,FALSE,"NBU rates 1999"}</definedName>
    <definedName name="PwC_4" localSheetId="19" hidden="1">{#N/A,#N/A,FALSE,"NBU rates 1999"}</definedName>
    <definedName name="PwC_4" hidden="1">{#N/A,#N/A,FALSE,"NBU rates 1999"}</definedName>
    <definedName name="q" localSheetId="31" hidden="1">{#N/A,#N/A,FALSE,"т02бд"}</definedName>
    <definedName name="q" localSheetId="32" hidden="1">{#N/A,#N/A,FALSE,"т02бд"}</definedName>
    <definedName name="q" localSheetId="11" hidden="1">{#N/A,#N/A,FALSE,"т02бд"}</definedName>
    <definedName name="q" localSheetId="12" hidden="1">{#N/A,#N/A,FALSE,"т02бд"}</definedName>
    <definedName name="q" localSheetId="18" hidden="1">{#N/A,#N/A,FALSE,"т02бд"}</definedName>
    <definedName name="q" localSheetId="19" hidden="1">{#N/A,#N/A,FALSE,"т02бд"}</definedName>
    <definedName name="q" hidden="1">{#N/A,#N/A,FALSE,"т02бд"}</definedName>
    <definedName name="qart" localSheetId="31" hidden="1">{#N/A,#N/A,FALSE,"т04"}</definedName>
    <definedName name="qart" localSheetId="32" hidden="1">{#N/A,#N/A,FALSE,"т04"}</definedName>
    <definedName name="qart" localSheetId="11" hidden="1">{#N/A,#N/A,FALSE,"т04"}</definedName>
    <definedName name="qart" localSheetId="12" hidden="1">{#N/A,#N/A,FALSE,"т04"}</definedName>
    <definedName name="qart" localSheetId="18" hidden="1">{#N/A,#N/A,FALSE,"т04"}</definedName>
    <definedName name="qart" localSheetId="19" hidden="1">{#N/A,#N/A,FALSE,"т04"}</definedName>
    <definedName name="qart" hidden="1">{#N/A,#N/A,FALSE,"т04"}</definedName>
    <definedName name="qq" localSheetId="31" hidden="1">{#N/A,#N/A,FALSE,"т02бд"}</definedName>
    <definedName name="qq" localSheetId="32" hidden="1">{#N/A,#N/A,FALSE,"т02бд"}</definedName>
    <definedName name="qq" localSheetId="11" hidden="1">{#N/A,#N/A,FALSE,"т02бд"}</definedName>
    <definedName name="qq" localSheetId="12" hidden="1">{#N/A,#N/A,FALSE,"т02бд"}</definedName>
    <definedName name="qq" localSheetId="18" hidden="1">{#N/A,#N/A,FALSE,"т02бд"}</definedName>
    <definedName name="qq" localSheetId="19" hidden="1">{#N/A,#N/A,FALSE,"т02бд"}</definedName>
    <definedName name="qq" hidden="1">{#N/A,#N/A,FALSE,"т02бд"}</definedName>
    <definedName name="qqq" localSheetId="31" hidden="1">{#N/A,#N/A,FALSE,"т02бд"}</definedName>
    <definedName name="qqq" localSheetId="32" hidden="1">{#N/A,#N/A,FALSE,"т02бд"}</definedName>
    <definedName name="qqq" localSheetId="11" hidden="1">{#N/A,#N/A,FALSE,"т02бд"}</definedName>
    <definedName name="qqq" localSheetId="12" hidden="1">{#N/A,#N/A,FALSE,"т02бд"}</definedName>
    <definedName name="qqq" localSheetId="18" hidden="1">{#N/A,#N/A,FALSE,"т02бд"}</definedName>
    <definedName name="qqq" localSheetId="19" hidden="1">{#N/A,#N/A,FALSE,"т02бд"}</definedName>
    <definedName name="qqq" hidden="1">{#N/A,#N/A,FALSE,"т02бд"}</definedName>
    <definedName name="qwe" localSheetId="24">#REF!</definedName>
    <definedName name="qwe" localSheetId="31">#REF!</definedName>
    <definedName name="qwe" localSheetId="32">#REF!</definedName>
    <definedName name="qwe" localSheetId="11">#REF!</definedName>
    <definedName name="qwe" localSheetId="20">#REF!</definedName>
    <definedName name="qwe" localSheetId="23">#REF!</definedName>
    <definedName name="qwe" localSheetId="21">#REF!</definedName>
    <definedName name="qwe" localSheetId="17">#REF!</definedName>
    <definedName name="qwe">#REF!</definedName>
    <definedName name="qwerw" localSheetId="31" hidden="1">{"'előző év december'!$A$2:$CP$214"}</definedName>
    <definedName name="qwerw" localSheetId="32" hidden="1">{"'előző év december'!$A$2:$CP$214"}</definedName>
    <definedName name="qwerw" localSheetId="11" hidden="1">{"'előző év december'!$A$2:$CP$214"}</definedName>
    <definedName name="qwerw" localSheetId="12" hidden="1">{"'előző év december'!$A$2:$CP$214"}</definedName>
    <definedName name="qwerw" localSheetId="18" hidden="1">{"'előző év december'!$A$2:$CP$214"}</definedName>
    <definedName name="qwerw" localSheetId="19" hidden="1">{"'előző év december'!$A$2:$CP$214"}</definedName>
    <definedName name="qwerw" hidden="1">{"'előző év december'!$A$2:$CP$214"}</definedName>
    <definedName name="Range_Country" localSheetId="24">#REF!</definedName>
    <definedName name="Range_Country" localSheetId="26">#REF!</definedName>
    <definedName name="Range_Country" localSheetId="20">#REF!</definedName>
    <definedName name="Range_Country" localSheetId="23">#REF!</definedName>
    <definedName name="Range_Country" localSheetId="21">#REF!</definedName>
    <definedName name="Range_Country" localSheetId="17">#REF!</definedName>
    <definedName name="Range_Country">#REF!</definedName>
    <definedName name="Range_DownloadAnnual">[2]Control!$C$4</definedName>
    <definedName name="Range_DownloadDateTime" localSheetId="24">#REF!</definedName>
    <definedName name="Range_DownloadDateTime" localSheetId="31">#REF!</definedName>
    <definedName name="Range_DownloadDateTime" localSheetId="32">#REF!</definedName>
    <definedName name="Range_DownloadDateTime" localSheetId="26">#REF!</definedName>
    <definedName name="Range_DownloadDateTime" localSheetId="11">#REF!</definedName>
    <definedName name="Range_DownloadDateTime" localSheetId="20">#REF!</definedName>
    <definedName name="Range_DownloadDateTime" localSheetId="23">#REF!</definedName>
    <definedName name="Range_DownloadDateTime" localSheetId="21">#REF!</definedName>
    <definedName name="Range_DownloadDateTime" localSheetId="17">#REF!</definedName>
    <definedName name="Range_DownloadDateTime" localSheetId="12">#REF!</definedName>
    <definedName name="Range_DownloadDateTime" localSheetId="18">#REF!</definedName>
    <definedName name="Range_DownloadDateTime" localSheetId="19">#REF!</definedName>
    <definedName name="Range_DownloadDateTime">#REF!</definedName>
    <definedName name="Range_DownloadMonth">[2]Control!$C$2</definedName>
    <definedName name="Range_DownloadQuarter">[2]Control!$C$3</definedName>
    <definedName name="Range_DSTNotes" localSheetId="24">#REF!</definedName>
    <definedName name="Range_DSTNotes" localSheetId="31">#REF!</definedName>
    <definedName name="Range_DSTNotes" localSheetId="32">#REF!</definedName>
    <definedName name="Range_DSTNotes" localSheetId="26">#REF!</definedName>
    <definedName name="Range_DSTNotes" localSheetId="11">#REF!</definedName>
    <definedName name="Range_DSTNotes" localSheetId="20">#REF!</definedName>
    <definedName name="Range_DSTNotes" localSheetId="23">#REF!</definedName>
    <definedName name="Range_DSTNotes" localSheetId="21">#REF!</definedName>
    <definedName name="Range_DSTNotes" localSheetId="17">#REF!</definedName>
    <definedName name="Range_DSTNotes" localSheetId="12">#REF!</definedName>
    <definedName name="Range_DSTNotes" localSheetId="18">#REF!</definedName>
    <definedName name="Range_DSTNotes" localSheetId="19">#REF!</definedName>
    <definedName name="Range_DSTNotes">#REF!</definedName>
    <definedName name="Range_InValidResultsStart" localSheetId="24">#REF!</definedName>
    <definedName name="Range_InValidResultsStart" localSheetId="31">#REF!</definedName>
    <definedName name="Range_InValidResultsStart" localSheetId="32">#REF!</definedName>
    <definedName name="Range_InValidResultsStart" localSheetId="26">#REF!</definedName>
    <definedName name="Range_InValidResultsStart" localSheetId="11">#REF!</definedName>
    <definedName name="Range_InValidResultsStart" localSheetId="20">#REF!</definedName>
    <definedName name="Range_InValidResultsStart" localSheetId="23">#REF!</definedName>
    <definedName name="Range_InValidResultsStart" localSheetId="21">#REF!</definedName>
    <definedName name="Range_InValidResultsStart" localSheetId="17">#REF!</definedName>
    <definedName name="Range_InValidResultsStart" localSheetId="12">#REF!</definedName>
    <definedName name="Range_InValidResultsStart" localSheetId="18">#REF!</definedName>
    <definedName name="Range_InValidResultsStart" localSheetId="19">#REF!</definedName>
    <definedName name="Range_InValidResultsStart">#REF!</definedName>
    <definedName name="Range_NumberofFailuresStart" localSheetId="24">#REF!</definedName>
    <definedName name="Range_NumberofFailuresStart" localSheetId="31">#REF!</definedName>
    <definedName name="Range_NumberofFailuresStart" localSheetId="32">#REF!</definedName>
    <definedName name="Range_NumberofFailuresStart" localSheetId="26">#REF!</definedName>
    <definedName name="Range_NumberofFailuresStart" localSheetId="11">#REF!</definedName>
    <definedName name="Range_NumberofFailuresStart" localSheetId="20">#REF!</definedName>
    <definedName name="Range_NumberofFailuresStart" localSheetId="23">#REF!</definedName>
    <definedName name="Range_NumberofFailuresStart" localSheetId="21">#REF!</definedName>
    <definedName name="Range_NumberofFailuresStart" localSheetId="17">#REF!</definedName>
    <definedName name="Range_NumberofFailuresStart" localSheetId="12">#REF!</definedName>
    <definedName name="Range_NumberofFailuresStart" localSheetId="18">#REF!</definedName>
    <definedName name="Range_NumberofFailuresStart" localSheetId="19">#REF!</definedName>
    <definedName name="Range_NumberofFailuresStart">#REF!</definedName>
    <definedName name="Range_ReportFormName" localSheetId="24">#REF!</definedName>
    <definedName name="Range_ReportFormName" localSheetId="26">#REF!</definedName>
    <definedName name="Range_ReportFormName" localSheetId="20">#REF!</definedName>
    <definedName name="Range_ReportFormName" localSheetId="23">#REF!</definedName>
    <definedName name="Range_ReportFormName" localSheetId="21">#REF!</definedName>
    <definedName name="Range_ReportFormName" localSheetId="17">#REF!</definedName>
    <definedName name="Range_ReportFormName">#REF!</definedName>
    <definedName name="Range_ValidationResultsStart" localSheetId="24">#REF!</definedName>
    <definedName name="Range_ValidationResultsStart" localSheetId="26">#REF!</definedName>
    <definedName name="Range_ValidationResultsStart" localSheetId="20">#REF!</definedName>
    <definedName name="Range_ValidationResultsStart" localSheetId="23">#REF!</definedName>
    <definedName name="Range_ValidationResultsStart" localSheetId="21">#REF!</definedName>
    <definedName name="Range_ValidationResultsStart" localSheetId="17">#REF!</definedName>
    <definedName name="Range_ValidationResultsStart">#REF!</definedName>
    <definedName name="Range_ValidationRulesStart" localSheetId="24">#REF!</definedName>
    <definedName name="Range_ValidationRulesStart" localSheetId="26">#REF!</definedName>
    <definedName name="Range_ValidationRulesStart" localSheetId="20">#REF!</definedName>
    <definedName name="Range_ValidationRulesStart" localSheetId="23">#REF!</definedName>
    <definedName name="Range_ValidationRulesStart" localSheetId="21">#REF!</definedName>
    <definedName name="Range_ValidationRulesStart" localSheetId="17">#REF!</definedName>
    <definedName name="Range_ValidationRulesStart">#REF!</definedName>
    <definedName name="re" hidden="1">#N/A</definedName>
    <definedName name="REAL" localSheetId="24">#REF!</definedName>
    <definedName name="REAL" localSheetId="31">#REF!</definedName>
    <definedName name="REAL" localSheetId="32">#REF!</definedName>
    <definedName name="REAL" localSheetId="26">#REF!</definedName>
    <definedName name="REAL" localSheetId="11">#REF!</definedName>
    <definedName name="REAL" localSheetId="20">#REF!</definedName>
    <definedName name="REAL" localSheetId="23">#REF!</definedName>
    <definedName name="REAL" localSheetId="21">#REF!</definedName>
    <definedName name="REAL" localSheetId="17">#REF!</definedName>
    <definedName name="REAL" localSheetId="12">#REF!</definedName>
    <definedName name="REAL" localSheetId="18">#REF!</definedName>
    <definedName name="REAL" localSheetId="19">#REF!</definedName>
    <definedName name="REAL">#REF!</definedName>
    <definedName name="Reporting_Country">[1]Control!$C$1</definedName>
    <definedName name="Reporting_CountryCode">[2]Control!$B$28</definedName>
    <definedName name="Reporting_Currency">[1]Control!$C$5</definedName>
    <definedName name="Reporting_Frequency">[1]Control!$C$8</definedName>
    <definedName name="RevA" localSheetId="24">#REF!</definedName>
    <definedName name="RevA" localSheetId="31">#REF!</definedName>
    <definedName name="RevA" localSheetId="32">#REF!</definedName>
    <definedName name="RevA" localSheetId="26">#REF!</definedName>
    <definedName name="RevA" localSheetId="11">#REF!</definedName>
    <definedName name="RevA" localSheetId="20">#REF!</definedName>
    <definedName name="RevA" localSheetId="23">#REF!</definedName>
    <definedName name="RevA" localSheetId="21">#REF!</definedName>
    <definedName name="RevA" localSheetId="17">#REF!</definedName>
    <definedName name="RevA" localSheetId="12">#REF!</definedName>
    <definedName name="RevA" localSheetId="18">#REF!</definedName>
    <definedName name="RevA" localSheetId="19">#REF!</definedName>
    <definedName name="RevA">#REF!</definedName>
    <definedName name="RevB" localSheetId="24">#REF!</definedName>
    <definedName name="RevB" localSheetId="31">#REF!</definedName>
    <definedName name="RevB" localSheetId="32">#REF!</definedName>
    <definedName name="RevB" localSheetId="26">#REF!</definedName>
    <definedName name="RevB" localSheetId="11">#REF!</definedName>
    <definedName name="RevB" localSheetId="20">#REF!</definedName>
    <definedName name="RevB" localSheetId="23">#REF!</definedName>
    <definedName name="RevB" localSheetId="21">#REF!</definedName>
    <definedName name="RevB" localSheetId="17">#REF!</definedName>
    <definedName name="RevB" localSheetId="12">#REF!</definedName>
    <definedName name="RevB" localSheetId="18">#REF!</definedName>
    <definedName name="RevB" localSheetId="19">#REF!</definedName>
    <definedName name="RevB">#REF!</definedName>
    <definedName name="rrr" localSheetId="31" hidden="1">{#N/A,#N/A,FALSE,"т02бд"}</definedName>
    <definedName name="rrr" localSheetId="32" hidden="1">{#N/A,#N/A,FALSE,"т02бд"}</definedName>
    <definedName name="rrr" localSheetId="11" hidden="1">{#N/A,#N/A,FALSE,"т02бд"}</definedName>
    <definedName name="rrr" localSheetId="12" hidden="1">{#N/A,#N/A,FALSE,"т02бд"}</definedName>
    <definedName name="rrr" localSheetId="18" hidden="1">{#N/A,#N/A,FALSE,"т02бд"}</definedName>
    <definedName name="rrr" localSheetId="19" hidden="1">{#N/A,#N/A,FALSE,"т02бд"}</definedName>
    <definedName name="rrr" hidden="1">{#N/A,#N/A,FALSE,"т02бд"}</definedName>
    <definedName name="rrrrr">[6]Control!$A$19:$A$20</definedName>
    <definedName name="rrrrrrrrrr">[6]Control!$C$4</definedName>
    <definedName name="rs" localSheetId="31" hidden="1">{"BOP_TAB",#N/A,FALSE,"N";"MIDTERM_TAB",#N/A,FALSE,"O";"FUND_CRED",#N/A,FALSE,"P";"DEBT_TAB1",#N/A,FALSE,"Q";"DEBT_TAB2",#N/A,FALSE,"Q";"FORFIN_TAB1",#N/A,FALSE,"R";"FORFIN_TAB2",#N/A,FALSE,"R";"BOP_ANALY",#N/A,FALSE,"U"}</definedName>
    <definedName name="rs" localSheetId="32" hidden="1">{"BOP_TAB",#N/A,FALSE,"N";"MIDTERM_TAB",#N/A,FALSE,"O";"FUND_CRED",#N/A,FALSE,"P";"DEBT_TAB1",#N/A,FALSE,"Q";"DEBT_TAB2",#N/A,FALSE,"Q";"FORFIN_TAB1",#N/A,FALSE,"R";"FORFIN_TAB2",#N/A,FALSE,"R";"BOP_ANALY",#N/A,FALSE,"U"}</definedName>
    <definedName name="rs" localSheetId="11" hidden="1">{"BOP_TAB",#N/A,FALSE,"N";"MIDTERM_TAB",#N/A,FALSE,"O";"FUND_CRED",#N/A,FALSE,"P";"DEBT_TAB1",#N/A,FALSE,"Q";"DEBT_TAB2",#N/A,FALSE,"Q";"FORFIN_TAB1",#N/A,FALSE,"R";"FORFIN_TAB2",#N/A,FALSE,"R";"BOP_ANALY",#N/A,FALSE,"U"}</definedName>
    <definedName name="rs" localSheetId="12" hidden="1">{"BOP_TAB",#N/A,FALSE,"N";"MIDTERM_TAB",#N/A,FALSE,"O";"FUND_CRED",#N/A,FALSE,"P";"DEBT_TAB1",#N/A,FALSE,"Q";"DEBT_TAB2",#N/A,FALSE,"Q";"FORFIN_TAB1",#N/A,FALSE,"R";"FORFIN_TAB2",#N/A,FALSE,"R";"BOP_ANALY",#N/A,FALSE,"U"}</definedName>
    <definedName name="rs" localSheetId="18" hidden="1">{"BOP_TAB",#N/A,FALSE,"N";"MIDTERM_TAB",#N/A,FALSE,"O";"FUND_CRED",#N/A,FALSE,"P";"DEBT_TAB1",#N/A,FALSE,"Q";"DEBT_TAB2",#N/A,FALSE,"Q";"FORFIN_TAB1",#N/A,FALSE,"R";"FORFIN_TAB2",#N/A,FALSE,"R";"BOP_ANALY",#N/A,FALSE,"U"}</definedName>
    <definedName name="rs" localSheetId="19" hidden="1">{"BOP_TAB",#N/A,FALSE,"N";"MIDTERM_TAB",#N/A,FALSE,"O";"FUND_CRED",#N/A,FALSE,"P";"DEBT_TAB1",#N/A,FALSE,"Q";"DEBT_TAB2",#N/A,FALSE,"Q";"FORFIN_TAB1",#N/A,FALSE,"R";"FORFIN_TAB2",#N/A,FALSE,"R";"BOP_ANALY",#N/A,FALSE,"U"}</definedName>
    <definedName name="rs" hidden="1">{"BOP_TAB",#N/A,FALSE,"N";"MIDTERM_TAB",#N/A,FALSE,"O";"FUND_CRED",#N/A,FALSE,"P";"DEBT_TAB1",#N/A,FALSE,"Q";"DEBT_TAB2",#N/A,FALSE,"Q";"FORFIN_TAB1",#N/A,FALSE,"R";"FORFIN_TAB2",#N/A,FALSE,"R";"BOP_ANALY",#N/A,FALSE,"U"}</definedName>
    <definedName name="rt" localSheetId="31" hidden="1">{"'előző év december'!$A$2:$CP$214"}</definedName>
    <definedName name="rt" localSheetId="32" hidden="1">{"'előző év december'!$A$2:$CP$214"}</definedName>
    <definedName name="rt" localSheetId="11" hidden="1">{"'előző év december'!$A$2:$CP$214"}</definedName>
    <definedName name="rt" localSheetId="12" hidden="1">{"'előző év december'!$A$2:$CP$214"}</definedName>
    <definedName name="rt" localSheetId="18" hidden="1">{"'előző év december'!$A$2:$CP$214"}</definedName>
    <definedName name="rt" localSheetId="19" hidden="1">{"'előző év december'!$A$2:$CP$214"}</definedName>
    <definedName name="rt" hidden="1">{"'előző év december'!$A$2:$CP$214"}</definedName>
    <definedName name="rte" localSheetId="31" hidden="1">{"'előző év december'!$A$2:$CP$214"}</definedName>
    <definedName name="rte" localSheetId="32" hidden="1">{"'előző év december'!$A$2:$CP$214"}</definedName>
    <definedName name="rte" localSheetId="11" hidden="1">{"'előző év december'!$A$2:$CP$214"}</definedName>
    <definedName name="rte" localSheetId="12" hidden="1">{"'előző év december'!$A$2:$CP$214"}</definedName>
    <definedName name="rte" localSheetId="18" hidden="1">{"'előző év december'!$A$2:$CP$214"}</definedName>
    <definedName name="rte" localSheetId="19" hidden="1">{"'előző év december'!$A$2:$CP$214"}</definedName>
    <definedName name="rte" hidden="1">{"'előző év december'!$A$2:$CP$214"}</definedName>
    <definedName name="rtew" localSheetId="31" hidden="1">{"'előző év december'!$A$2:$CP$214"}</definedName>
    <definedName name="rtew" localSheetId="32" hidden="1">{"'előző év december'!$A$2:$CP$214"}</definedName>
    <definedName name="rtew" localSheetId="11" hidden="1">{"'előző év december'!$A$2:$CP$214"}</definedName>
    <definedName name="rtew" localSheetId="12" hidden="1">{"'előző év december'!$A$2:$CP$214"}</definedName>
    <definedName name="rtew" localSheetId="18" hidden="1">{"'előző év december'!$A$2:$CP$214"}</definedName>
    <definedName name="rtew" localSheetId="19" hidden="1">{"'előző év december'!$A$2:$CP$214"}</definedName>
    <definedName name="rtew" hidden="1">{"'előző év december'!$A$2:$CP$214"}</definedName>
    <definedName name="rtn" localSheetId="31" hidden="1">{"'előző év december'!$A$2:$CP$214"}</definedName>
    <definedName name="rtn" localSheetId="32" hidden="1">{"'előző év december'!$A$2:$CP$214"}</definedName>
    <definedName name="rtn" localSheetId="11" hidden="1">{"'előző év december'!$A$2:$CP$214"}</definedName>
    <definedName name="rtn" localSheetId="12" hidden="1">{"'előző év december'!$A$2:$CP$214"}</definedName>
    <definedName name="rtn" localSheetId="18" hidden="1">{"'előző év december'!$A$2:$CP$214"}</definedName>
    <definedName name="rtn" localSheetId="19" hidden="1">{"'előző év december'!$A$2:$CP$214"}</definedName>
    <definedName name="rtn" hidden="1">{"'előző év december'!$A$2:$CP$214"}</definedName>
    <definedName name="rtte" localSheetId="31" hidden="1">{"Str.1",#N/A,FALSE,"Aktiva";"Str.2",#N/A,FALSE,"Aktiva";"Str.3",#N/A,FALSE,"Aktiva";"Str.4",#N/A,FALSE,"Aktiva";"Str.5",#N/A,FALSE,"Aktiva";"str1",#N/A,FALSE,"Pasíva";"str2",#N/A,FALSE,"Pasíva";"str3",#N/A,FALSE,"Pasíva";"str4",#N/A,FALSE,"Pasíva";#N/A,#N/A,FALSE,"Dopl. k pasívům";"str1",#N/A,FALSE,"Podrozvaha-aktiva";"str2",#N/A,FALSE,"Podrozvaha-aktiva";"str1",#N/A,FALSE,"Podrozvaha-pasíva";"str2",#N/A,FALSE,"Podrozvaha-pasíva";"str3",#N/A,FALSE,"Podrozvaha-pasíva"}</definedName>
    <definedName name="rtte" localSheetId="32" hidden="1">{"Str.1",#N/A,FALSE,"Aktiva";"Str.2",#N/A,FALSE,"Aktiva";"Str.3",#N/A,FALSE,"Aktiva";"Str.4",#N/A,FALSE,"Aktiva";"Str.5",#N/A,FALSE,"Aktiva";"str1",#N/A,FALSE,"Pasíva";"str2",#N/A,FALSE,"Pasíva";"str3",#N/A,FALSE,"Pasíva";"str4",#N/A,FALSE,"Pasíva";#N/A,#N/A,FALSE,"Dopl. k pasívům";"str1",#N/A,FALSE,"Podrozvaha-aktiva";"str2",#N/A,FALSE,"Podrozvaha-aktiva";"str1",#N/A,FALSE,"Podrozvaha-pasíva";"str2",#N/A,FALSE,"Podrozvaha-pasíva";"str3",#N/A,FALSE,"Podrozvaha-pasíva"}</definedName>
    <definedName name="rtte" localSheetId="11" hidden="1">{"Str.1",#N/A,FALSE,"Aktiva";"Str.2",#N/A,FALSE,"Aktiva";"Str.3",#N/A,FALSE,"Aktiva";"Str.4",#N/A,FALSE,"Aktiva";"Str.5",#N/A,FALSE,"Aktiva";"str1",#N/A,FALSE,"Pasíva";"str2",#N/A,FALSE,"Pasíva";"str3",#N/A,FALSE,"Pasíva";"str4",#N/A,FALSE,"Pasíva";#N/A,#N/A,FALSE,"Dopl. k pasívům";"str1",#N/A,FALSE,"Podrozvaha-aktiva";"str2",#N/A,FALSE,"Podrozvaha-aktiva";"str1",#N/A,FALSE,"Podrozvaha-pasíva";"str2",#N/A,FALSE,"Podrozvaha-pasíva";"str3",#N/A,FALSE,"Podrozvaha-pasíva"}</definedName>
    <definedName name="rtte" localSheetId="12" hidden="1">{"Str.1",#N/A,FALSE,"Aktiva";"Str.2",#N/A,FALSE,"Aktiva";"Str.3",#N/A,FALSE,"Aktiva";"Str.4",#N/A,FALSE,"Aktiva";"Str.5",#N/A,FALSE,"Aktiva";"str1",#N/A,FALSE,"Pasíva";"str2",#N/A,FALSE,"Pasíva";"str3",#N/A,FALSE,"Pasíva";"str4",#N/A,FALSE,"Pasíva";#N/A,#N/A,FALSE,"Dopl. k pasívům";"str1",#N/A,FALSE,"Podrozvaha-aktiva";"str2",#N/A,FALSE,"Podrozvaha-aktiva";"str1",#N/A,FALSE,"Podrozvaha-pasíva";"str2",#N/A,FALSE,"Podrozvaha-pasíva";"str3",#N/A,FALSE,"Podrozvaha-pasíva"}</definedName>
    <definedName name="rtte" localSheetId="18" hidden="1">{"Str.1",#N/A,FALSE,"Aktiva";"Str.2",#N/A,FALSE,"Aktiva";"Str.3",#N/A,FALSE,"Aktiva";"Str.4",#N/A,FALSE,"Aktiva";"Str.5",#N/A,FALSE,"Aktiva";"str1",#N/A,FALSE,"Pasíva";"str2",#N/A,FALSE,"Pasíva";"str3",#N/A,FALSE,"Pasíva";"str4",#N/A,FALSE,"Pasíva";#N/A,#N/A,FALSE,"Dopl. k pasívům";"str1",#N/A,FALSE,"Podrozvaha-aktiva";"str2",#N/A,FALSE,"Podrozvaha-aktiva";"str1",#N/A,FALSE,"Podrozvaha-pasíva";"str2",#N/A,FALSE,"Podrozvaha-pasíva";"str3",#N/A,FALSE,"Podrozvaha-pasíva"}</definedName>
    <definedName name="rtte" localSheetId="19" hidden="1">{"Str.1",#N/A,FALSE,"Aktiva";"Str.2",#N/A,FALSE,"Aktiva";"Str.3",#N/A,FALSE,"Aktiva";"Str.4",#N/A,FALSE,"Aktiva";"Str.5",#N/A,FALSE,"Aktiva";"str1",#N/A,FALSE,"Pasíva";"str2",#N/A,FALSE,"Pasíva";"str3",#N/A,FALSE,"Pasíva";"str4",#N/A,FALSE,"Pasíva";#N/A,#N/A,FALSE,"Dopl. k pasívům";"str1",#N/A,FALSE,"Podrozvaha-aktiva";"str2",#N/A,FALSE,"Podrozvaha-aktiva";"str1",#N/A,FALSE,"Podrozvaha-pasíva";"str2",#N/A,FALSE,"Podrozvaha-pasíva";"str3",#N/A,FALSE,"Podrozvaha-pasíva"}</definedName>
    <definedName name="rtte" hidden="1">{"Str.1",#N/A,FALSE,"Aktiva";"Str.2",#N/A,FALSE,"Aktiva";"Str.3",#N/A,FALSE,"Aktiva";"Str.4",#N/A,FALSE,"Aktiva";"Str.5",#N/A,FALSE,"Aktiva";"str1",#N/A,FALSE,"Pasíva";"str2",#N/A,FALSE,"Pasíva";"str3",#N/A,FALSE,"Pasíva";"str4",#N/A,FALSE,"Pasíva";#N/A,#N/A,FALSE,"Dopl. k pasívům";"str1",#N/A,FALSE,"Podrozvaha-aktiva";"str2",#N/A,FALSE,"Podrozvaha-aktiva";"str1",#N/A,FALSE,"Podrozvaha-pasíva";"str2",#N/A,FALSE,"Podrozvaha-pasíva";"str3",#N/A,FALSE,"Podrozvaha-pasíva"}</definedName>
    <definedName name="rtz" localSheetId="31" hidden="1">{"'előző év december'!$A$2:$CP$214"}</definedName>
    <definedName name="rtz" localSheetId="32" hidden="1">{"'előző év december'!$A$2:$CP$214"}</definedName>
    <definedName name="rtz" localSheetId="11" hidden="1">{"'előző év december'!$A$2:$CP$214"}</definedName>
    <definedName name="rtz" localSheetId="12" hidden="1">{"'előző év december'!$A$2:$CP$214"}</definedName>
    <definedName name="rtz" localSheetId="18" hidden="1">{"'előző év december'!$A$2:$CP$214"}</definedName>
    <definedName name="rtz" localSheetId="19" hidden="1">{"'előző év december'!$A$2:$CP$214"}</definedName>
    <definedName name="rtz" hidden="1">{"'előző év december'!$A$2:$CP$214"}</definedName>
    <definedName name="Rwvu.Print." hidden="1">#N/A</definedName>
    <definedName name="rx" localSheetId="24" hidden="1">#REF!</definedName>
    <definedName name="rx" localSheetId="31" hidden="1">#REF!</definedName>
    <definedName name="rx" localSheetId="32" hidden="1">#REF!</definedName>
    <definedName name="rx" localSheetId="26" hidden="1">#REF!</definedName>
    <definedName name="rx" localSheetId="11" hidden="1">#REF!</definedName>
    <definedName name="rx" localSheetId="20" hidden="1">#REF!</definedName>
    <definedName name="rx" localSheetId="23" hidden="1">#REF!</definedName>
    <definedName name="rx" localSheetId="21" hidden="1">#REF!</definedName>
    <definedName name="rx" localSheetId="17" hidden="1">#REF!</definedName>
    <definedName name="rx" hidden="1">#REF!</definedName>
    <definedName name="ry" localSheetId="24" hidden="1">#REF!</definedName>
    <definedName name="ry" localSheetId="31" hidden="1">#REF!</definedName>
    <definedName name="ry" localSheetId="32" hidden="1">#REF!</definedName>
    <definedName name="ry" localSheetId="26" hidden="1">#REF!</definedName>
    <definedName name="ry" localSheetId="11" hidden="1">#REF!</definedName>
    <definedName name="ry" localSheetId="20" hidden="1">#REF!</definedName>
    <definedName name="ry" localSheetId="23" hidden="1">#REF!</definedName>
    <definedName name="ry" localSheetId="21" hidden="1">#REF!</definedName>
    <definedName name="ry" localSheetId="17" hidden="1">#REF!</definedName>
    <definedName name="ry" hidden="1">#REF!</definedName>
    <definedName name="Scale_Def">[1]Control!$V$42:$V$45</definedName>
    <definedName name="ScalesList">'[4]Report Form'!$A$5:$A$8</definedName>
    <definedName name="sdagag" localSheetId="31" hidden="1">{"'előző év december'!$A$2:$CP$214"}</definedName>
    <definedName name="sdagag" localSheetId="32" hidden="1">{"'előző év december'!$A$2:$CP$214"}</definedName>
    <definedName name="sdagag" localSheetId="11" hidden="1">{"'előző év december'!$A$2:$CP$214"}</definedName>
    <definedName name="sdagag" localSheetId="12" hidden="1">{"'előző év december'!$A$2:$CP$214"}</definedName>
    <definedName name="sdagag" localSheetId="18" hidden="1">{"'előző év december'!$A$2:$CP$214"}</definedName>
    <definedName name="sdagag" localSheetId="19" hidden="1">{"'előző év december'!$A$2:$CP$214"}</definedName>
    <definedName name="sdagag" hidden="1">{"'előző év december'!$A$2:$CP$214"}</definedName>
    <definedName name="sdf" localSheetId="31" hidden="1">{"'előző év december'!$A$2:$CP$214"}</definedName>
    <definedName name="sdf" localSheetId="32" hidden="1">{"'előző év december'!$A$2:$CP$214"}</definedName>
    <definedName name="sdf" localSheetId="11" hidden="1">{"'előző év december'!$A$2:$CP$214"}</definedName>
    <definedName name="sdf" localSheetId="12" hidden="1">{"'előző év december'!$A$2:$CP$214"}</definedName>
    <definedName name="sdf" localSheetId="18" hidden="1">{"'előző év december'!$A$2:$CP$214"}</definedName>
    <definedName name="sdf" localSheetId="19" hidden="1">{"'előző év december'!$A$2:$CP$214"}</definedName>
    <definedName name="sdf" hidden="1">{"'előző év december'!$A$2:$CP$214"}</definedName>
    <definedName name="sdfsfd" localSheetId="31" hidden="1">{"'előző év december'!$A$2:$CP$214"}</definedName>
    <definedName name="sdfsfd" localSheetId="32" hidden="1">{"'előző év december'!$A$2:$CP$214"}</definedName>
    <definedName name="sdfsfd" localSheetId="11" hidden="1">{"'előző év december'!$A$2:$CP$214"}</definedName>
    <definedName name="sdfsfd" localSheetId="12" hidden="1">{"'előző év december'!$A$2:$CP$214"}</definedName>
    <definedName name="sdfsfd" localSheetId="18" hidden="1">{"'előző év december'!$A$2:$CP$214"}</definedName>
    <definedName name="sdfsfd" localSheetId="19" hidden="1">{"'előző év december'!$A$2:$CP$214"}</definedName>
    <definedName name="sdfsfd" hidden="1">{"'előző év december'!$A$2:$CP$214"}</definedName>
    <definedName name="sencount" hidden="1">2</definedName>
    <definedName name="sf" localSheetId="31" hidden="1">{#N/A,#N/A,FALSE,"т02бд"}</definedName>
    <definedName name="sf" localSheetId="32" hidden="1">{#N/A,#N/A,FALSE,"т02бд"}</definedName>
    <definedName name="sf" localSheetId="11" hidden="1">{#N/A,#N/A,FALSE,"т02бд"}</definedName>
    <definedName name="sf" localSheetId="12" hidden="1">{#N/A,#N/A,FALSE,"т02бд"}</definedName>
    <definedName name="sf" localSheetId="18" hidden="1">{#N/A,#N/A,FALSE,"т02бд"}</definedName>
    <definedName name="sf" localSheetId="19" hidden="1">{#N/A,#N/A,FALSE,"т02бд"}</definedName>
    <definedName name="sf" hidden="1">{#N/A,#N/A,FALSE,"т02бд"}</definedName>
    <definedName name="Sheets">"'=REPLACE(GET.WORKBOOK(1);1;FIND(""]"";GET.WORKBOOK(1));"""")&amp;T(NOW())"</definedName>
    <definedName name="solver_num" hidden="1">0</definedName>
    <definedName name="solver_typ" hidden="1">1</definedName>
    <definedName name="solver_val" hidden="1">0</definedName>
    <definedName name="ss" localSheetId="31" hidden="1">{"'előző év december'!$A$2:$CP$214"}</definedName>
    <definedName name="ss" localSheetId="32" hidden="1">{"'előző év december'!$A$2:$CP$214"}</definedName>
    <definedName name="ss" localSheetId="11" hidden="1">{"'előző év december'!$A$2:$CP$214"}</definedName>
    <definedName name="ss" localSheetId="12" hidden="1">{"'előző év december'!$A$2:$CP$214"}</definedName>
    <definedName name="ss" localSheetId="18" hidden="1">{"'előző év december'!$A$2:$CP$214"}</definedName>
    <definedName name="ss" localSheetId="19" hidden="1">{"'előző év december'!$A$2:$CP$214"}</definedName>
    <definedName name="ss" hidden="1">{"'előző év december'!$A$2:$CP$214"}</definedName>
    <definedName name="SUMMARY1" localSheetId="24">#REF!</definedName>
    <definedName name="SUMMARY1" localSheetId="26">#REF!</definedName>
    <definedName name="SUMMARY1" localSheetId="20">#REF!</definedName>
    <definedName name="SUMMARY1" localSheetId="23">#REF!</definedName>
    <definedName name="SUMMARY1" localSheetId="21">#REF!</definedName>
    <definedName name="SUMMARY1" localSheetId="17">#REF!</definedName>
    <definedName name="SUMMARY1">#REF!</definedName>
    <definedName name="SUMMARY2" localSheetId="24">#REF!</definedName>
    <definedName name="SUMMARY2" localSheetId="26">#REF!</definedName>
    <definedName name="SUMMARY2" localSheetId="20">#REF!</definedName>
    <definedName name="SUMMARY2" localSheetId="23">#REF!</definedName>
    <definedName name="SUMMARY2" localSheetId="21">#REF!</definedName>
    <definedName name="SUMMARY2" localSheetId="17">#REF!</definedName>
    <definedName name="SUMMARY2">#REF!</definedName>
    <definedName name="t01англ" localSheetId="31" hidden="1">{#N/A,#N/A,FALSE,"т02бд"}</definedName>
    <definedName name="t01англ" localSheetId="32" hidden="1">{#N/A,#N/A,FALSE,"т02бд"}</definedName>
    <definedName name="t01англ" localSheetId="11" hidden="1">{#N/A,#N/A,FALSE,"т02бд"}</definedName>
    <definedName name="t01англ" localSheetId="12" hidden="1">{#N/A,#N/A,FALSE,"т02бд"}</definedName>
    <definedName name="t01англ" localSheetId="18" hidden="1">{#N/A,#N/A,FALSE,"т02бд"}</definedName>
    <definedName name="t01англ" localSheetId="19" hidden="1">{#N/A,#N/A,FALSE,"т02бд"}</definedName>
    <definedName name="t01англ" hidden="1">{#N/A,#N/A,FALSE,"т02бд"}</definedName>
    <definedName name="t05n" localSheetId="31" hidden="1">{#N/A,#N/A,FALSE,"т04"}</definedName>
    <definedName name="t05n" localSheetId="32" hidden="1">{#N/A,#N/A,FALSE,"т04"}</definedName>
    <definedName name="t05n" localSheetId="11" hidden="1">{#N/A,#N/A,FALSE,"т04"}</definedName>
    <definedName name="t05n" localSheetId="12" hidden="1">{#N/A,#N/A,FALSE,"т04"}</definedName>
    <definedName name="t05n" localSheetId="18" hidden="1">{#N/A,#N/A,FALSE,"т04"}</definedName>
    <definedName name="t05n" localSheetId="19" hidden="1">{#N/A,#N/A,FALSE,"т04"}</definedName>
    <definedName name="t05n" hidden="1">{#N/A,#N/A,FALSE,"т04"}</definedName>
    <definedName name="t05nn" localSheetId="31" hidden="1">{#N/A,#N/A,FALSE,"т04"}</definedName>
    <definedName name="t05nn" localSheetId="32" hidden="1">{#N/A,#N/A,FALSE,"т04"}</definedName>
    <definedName name="t05nn" localSheetId="11" hidden="1">{#N/A,#N/A,FALSE,"т04"}</definedName>
    <definedName name="t05nn" localSheetId="12" hidden="1">{#N/A,#N/A,FALSE,"т04"}</definedName>
    <definedName name="t05nn" localSheetId="18" hidden="1">{#N/A,#N/A,FALSE,"т04"}</definedName>
    <definedName name="t05nn" localSheetId="19" hidden="1">{#N/A,#N/A,FALSE,"т04"}</definedName>
    <definedName name="t05nn" hidden="1">{#N/A,#N/A,FALSE,"т04"}</definedName>
    <definedName name="T10V" localSheetId="24">'[7]2014'!#REF!</definedName>
    <definedName name="T10V" localSheetId="26">'[7]2014'!#REF!</definedName>
    <definedName name="T10V" localSheetId="20">'[7]2014'!#REF!</definedName>
    <definedName name="T10V" localSheetId="23">'[7]2014'!#REF!</definedName>
    <definedName name="T10V" localSheetId="21">'[7]2014'!#REF!</definedName>
    <definedName name="T10V" localSheetId="17">'[7]2014'!#REF!</definedName>
    <definedName name="T10V">'[7]2014'!#REF!</definedName>
    <definedName name="TAB2B" localSheetId="24">'[7]2015'!#REF!</definedName>
    <definedName name="TAB2B" localSheetId="26">'[7]2015'!#REF!</definedName>
    <definedName name="TAB2B" localSheetId="20">'[7]2015'!#REF!</definedName>
    <definedName name="TAB2B" localSheetId="23">'[7]2015'!#REF!</definedName>
    <definedName name="TAB2B" localSheetId="21">'[7]2015'!#REF!</definedName>
    <definedName name="TAB2B" localSheetId="17">'[7]2015'!#REF!</definedName>
    <definedName name="TAB2B">'[7]2015'!#REF!</definedName>
    <definedName name="Taballgastables" localSheetId="24">#REF!</definedName>
    <definedName name="Taballgastables" localSheetId="31">#REF!</definedName>
    <definedName name="Taballgastables" localSheetId="32">#REF!</definedName>
    <definedName name="Taballgastables" localSheetId="26">#REF!</definedName>
    <definedName name="Taballgastables" localSheetId="11">#REF!</definedName>
    <definedName name="Taballgastables" localSheetId="20">#REF!</definedName>
    <definedName name="Taballgastables" localSheetId="23">#REF!</definedName>
    <definedName name="Taballgastables" localSheetId="21">#REF!</definedName>
    <definedName name="Taballgastables" localSheetId="17">#REF!</definedName>
    <definedName name="Taballgastables" localSheetId="12">#REF!</definedName>
    <definedName name="Taballgastables" localSheetId="18">#REF!</definedName>
    <definedName name="Taballgastables" localSheetId="19">#REF!</definedName>
    <definedName name="Taballgastables">#REF!</definedName>
    <definedName name="TabAmort2004" localSheetId="24">#REF!</definedName>
    <definedName name="TabAmort2004" localSheetId="31">#REF!</definedName>
    <definedName name="TabAmort2004" localSheetId="32">#REF!</definedName>
    <definedName name="TabAmort2004" localSheetId="26">#REF!</definedName>
    <definedName name="TabAmort2004" localSheetId="11">#REF!</definedName>
    <definedName name="TabAmort2004" localSheetId="20">#REF!</definedName>
    <definedName name="TabAmort2004" localSheetId="23">#REF!</definedName>
    <definedName name="TabAmort2004" localSheetId="21">#REF!</definedName>
    <definedName name="TabAmort2004" localSheetId="17">#REF!</definedName>
    <definedName name="TabAmort2004" localSheetId="12">#REF!</definedName>
    <definedName name="TabAmort2004" localSheetId="18">#REF!</definedName>
    <definedName name="TabAmort2004" localSheetId="19">#REF!</definedName>
    <definedName name="TabAmort2004">#REF!</definedName>
    <definedName name="TabAssumptionsImports" localSheetId="24">#REF!</definedName>
    <definedName name="TabAssumptionsImports" localSheetId="31">#REF!</definedName>
    <definedName name="TabAssumptionsImports" localSheetId="32">#REF!</definedName>
    <definedName name="TabAssumptionsImports" localSheetId="26">#REF!</definedName>
    <definedName name="TabAssumptionsImports" localSheetId="11">#REF!</definedName>
    <definedName name="TabAssumptionsImports" localSheetId="20">#REF!</definedName>
    <definedName name="TabAssumptionsImports" localSheetId="23">#REF!</definedName>
    <definedName name="TabAssumptionsImports" localSheetId="21">#REF!</definedName>
    <definedName name="TabAssumptionsImports" localSheetId="17">#REF!</definedName>
    <definedName name="TabAssumptionsImports" localSheetId="12">#REF!</definedName>
    <definedName name="TabAssumptionsImports" localSheetId="18">#REF!</definedName>
    <definedName name="TabAssumptionsImports" localSheetId="19">#REF!</definedName>
    <definedName name="TabAssumptionsImports">#REF!</definedName>
    <definedName name="TabCapAccount" localSheetId="24">#REF!</definedName>
    <definedName name="TabCapAccount" localSheetId="26">#REF!</definedName>
    <definedName name="TabCapAccount" localSheetId="20">#REF!</definedName>
    <definedName name="TabCapAccount" localSheetId="23">#REF!</definedName>
    <definedName name="TabCapAccount" localSheetId="21">#REF!</definedName>
    <definedName name="TabCapAccount" localSheetId="17">#REF!</definedName>
    <definedName name="TabCapAccount">#REF!</definedName>
    <definedName name="Tabdebt_historic" localSheetId="24">#REF!</definedName>
    <definedName name="Tabdebt_historic" localSheetId="26">#REF!</definedName>
    <definedName name="Tabdebt_historic" localSheetId="20">#REF!</definedName>
    <definedName name="Tabdebt_historic" localSheetId="23">#REF!</definedName>
    <definedName name="Tabdebt_historic" localSheetId="21">#REF!</definedName>
    <definedName name="Tabdebt_historic" localSheetId="17">#REF!</definedName>
    <definedName name="Tabdebt_historic">#REF!</definedName>
    <definedName name="Tabdebtflow" localSheetId="24">#REF!</definedName>
    <definedName name="Tabdebtflow" localSheetId="26">#REF!</definedName>
    <definedName name="Tabdebtflow" localSheetId="20">#REF!</definedName>
    <definedName name="Tabdebtflow" localSheetId="23">#REF!</definedName>
    <definedName name="Tabdebtflow" localSheetId="21">#REF!</definedName>
    <definedName name="Tabdebtflow" localSheetId="17">#REF!</definedName>
    <definedName name="Tabdebtflow">#REF!</definedName>
    <definedName name="TabExports" localSheetId="24">#REF!</definedName>
    <definedName name="TabExports" localSheetId="26">#REF!</definedName>
    <definedName name="TabExports" localSheetId="20">#REF!</definedName>
    <definedName name="TabExports" localSheetId="23">#REF!</definedName>
    <definedName name="TabExports" localSheetId="21">#REF!</definedName>
    <definedName name="TabExports" localSheetId="17">#REF!</definedName>
    <definedName name="TabExports">#REF!</definedName>
    <definedName name="TabFcredit2007" localSheetId="24">#REF!</definedName>
    <definedName name="TabFcredit2007" localSheetId="26">#REF!</definedName>
    <definedName name="TabFcredit2007" localSheetId="20">#REF!</definedName>
    <definedName name="TabFcredit2007" localSheetId="23">#REF!</definedName>
    <definedName name="TabFcredit2007" localSheetId="21">#REF!</definedName>
    <definedName name="TabFcredit2007" localSheetId="17">#REF!</definedName>
    <definedName name="TabFcredit2007">#REF!</definedName>
    <definedName name="TabFcredit2010" localSheetId="24">#REF!</definedName>
    <definedName name="TabFcredit2010" localSheetId="26">#REF!</definedName>
    <definedName name="TabFcredit2010" localSheetId="20">#REF!</definedName>
    <definedName name="TabFcredit2010" localSheetId="23">#REF!</definedName>
    <definedName name="TabFcredit2010" localSheetId="21">#REF!</definedName>
    <definedName name="TabFcredit2010" localSheetId="17">#REF!</definedName>
    <definedName name="TabFcredit2010">#REF!</definedName>
    <definedName name="TabGas_arrears_to_Russia" localSheetId="24">#REF!</definedName>
    <definedName name="TabGas_arrears_to_Russia" localSheetId="26">#REF!</definedName>
    <definedName name="TabGas_arrears_to_Russia" localSheetId="20">#REF!</definedName>
    <definedName name="TabGas_arrears_to_Russia" localSheetId="23">#REF!</definedName>
    <definedName name="TabGas_arrears_to_Russia" localSheetId="21">#REF!</definedName>
    <definedName name="TabGas_arrears_to_Russia" localSheetId="17">#REF!</definedName>
    <definedName name="TabGas_arrears_to_Russia">#REF!</definedName>
    <definedName name="TabImportdetail" localSheetId="24">#REF!</definedName>
    <definedName name="TabImportdetail" localSheetId="26">#REF!</definedName>
    <definedName name="TabImportdetail" localSheetId="20">#REF!</definedName>
    <definedName name="TabImportdetail" localSheetId="23">#REF!</definedName>
    <definedName name="TabImportdetail" localSheetId="21">#REF!</definedName>
    <definedName name="TabImportdetail" localSheetId="17">#REF!</definedName>
    <definedName name="TabImportdetail">#REF!</definedName>
    <definedName name="TabImports" localSheetId="24">#REF!</definedName>
    <definedName name="TabImports" localSheetId="26">#REF!</definedName>
    <definedName name="TabImports" localSheetId="20">#REF!</definedName>
    <definedName name="TabImports" localSheetId="23">#REF!</definedName>
    <definedName name="TabImports" localSheetId="21">#REF!</definedName>
    <definedName name="TabImports" localSheetId="17">#REF!</definedName>
    <definedName name="TabImports">#REF!</definedName>
    <definedName name="TABL31" localSheetId="24">'[7]2013'!#REF!</definedName>
    <definedName name="TABL31" localSheetId="26">'[7]2013'!#REF!</definedName>
    <definedName name="TABL31" localSheetId="20">'[7]2013'!#REF!</definedName>
    <definedName name="TABL31" localSheetId="23">'[7]2013'!#REF!</definedName>
    <definedName name="TABL31" localSheetId="21">'[7]2013'!#REF!</definedName>
    <definedName name="TABL31" localSheetId="17">'[7]2013'!#REF!</definedName>
    <definedName name="TABL31">'[7]2013'!#REF!</definedName>
    <definedName name="Table" localSheetId="24">#REF!</definedName>
    <definedName name="Table" localSheetId="31">#REF!</definedName>
    <definedName name="Table" localSheetId="32">#REF!</definedName>
    <definedName name="Table" localSheetId="26">#REF!</definedName>
    <definedName name="Table" localSheetId="11">#REF!</definedName>
    <definedName name="Table" localSheetId="20">#REF!</definedName>
    <definedName name="Table" localSheetId="23">#REF!</definedName>
    <definedName name="Table" localSheetId="21">#REF!</definedName>
    <definedName name="Table" localSheetId="17">#REF!</definedName>
    <definedName name="Table" localSheetId="12">#REF!</definedName>
    <definedName name="Table" localSheetId="18">#REF!</definedName>
    <definedName name="Table" localSheetId="19">#REF!</definedName>
    <definedName name="Table">#REF!</definedName>
    <definedName name="Table_2____Moldova___General_Government_Budget_1995_98__Mdl_millions__1" localSheetId="24">#REF!</definedName>
    <definedName name="Table_2____Moldova___General_Government_Budget_1995_98__Mdl_millions__1" localSheetId="31">#REF!</definedName>
    <definedName name="Table_2____Moldova___General_Government_Budget_1995_98__Mdl_millions__1" localSheetId="32">#REF!</definedName>
    <definedName name="Table_2____Moldova___General_Government_Budget_1995_98__Mdl_millions__1" localSheetId="26">#REF!</definedName>
    <definedName name="Table_2____Moldova___General_Government_Budget_1995_98__Mdl_millions__1" localSheetId="11">#REF!</definedName>
    <definedName name="Table_2____Moldova___General_Government_Budget_1995_98__Mdl_millions__1" localSheetId="20">#REF!</definedName>
    <definedName name="Table_2____Moldova___General_Government_Budget_1995_98__Mdl_millions__1" localSheetId="23">#REF!</definedName>
    <definedName name="Table_2____Moldova___General_Government_Budget_1995_98__Mdl_millions__1" localSheetId="21">#REF!</definedName>
    <definedName name="Table_2____Moldova___General_Government_Budget_1995_98__Mdl_millions__1" localSheetId="17">#REF!</definedName>
    <definedName name="Table_2____Moldova___General_Government_Budget_1995_98__Mdl_millions__1" localSheetId="12">#REF!</definedName>
    <definedName name="Table_2____Moldova___General_Government_Budget_1995_98__Mdl_millions__1" localSheetId="18">#REF!</definedName>
    <definedName name="Table_2____Moldova___General_Government_Budget_1995_98__Mdl_millions__1" localSheetId="19">#REF!</definedName>
    <definedName name="Table_2____Moldova___General_Government_Budget_1995_98__Mdl_millions__1">#REF!</definedName>
    <definedName name="Table_3._Moldova__Balance_of_Payments__1994_98" localSheetId="24">#REF!</definedName>
    <definedName name="Table_3._Moldova__Balance_of_Payments__1994_98" localSheetId="31">#REF!</definedName>
    <definedName name="Table_3._Moldova__Balance_of_Payments__1994_98" localSheetId="32">#REF!</definedName>
    <definedName name="Table_3._Moldova__Balance_of_Payments__1994_98" localSheetId="26">#REF!</definedName>
    <definedName name="Table_3._Moldova__Balance_of_Payments__1994_98" localSheetId="11">#REF!</definedName>
    <definedName name="Table_3._Moldova__Balance_of_Payments__1994_98" localSheetId="20">#REF!</definedName>
    <definedName name="Table_3._Moldova__Balance_of_Payments__1994_98" localSheetId="23">#REF!</definedName>
    <definedName name="Table_3._Moldova__Balance_of_Payments__1994_98" localSheetId="21">#REF!</definedName>
    <definedName name="Table_3._Moldova__Balance_of_Payments__1994_98" localSheetId="17">#REF!</definedName>
    <definedName name="Table_3._Moldova__Balance_of_Payments__1994_98" localSheetId="12">#REF!</definedName>
    <definedName name="Table_3._Moldova__Balance_of_Payments__1994_98" localSheetId="18">#REF!</definedName>
    <definedName name="Table_3._Moldova__Balance_of_Payments__1994_98" localSheetId="19">#REF!</definedName>
    <definedName name="Table_3._Moldova__Balance_of_Payments__1994_98">#REF!</definedName>
    <definedName name="Table_4.__Moldova____Monetary_Survey_and_Projections__1994_98_1" localSheetId="24">#REF!</definedName>
    <definedName name="Table_4.__Moldova____Monetary_Survey_and_Projections__1994_98_1" localSheetId="26">#REF!</definedName>
    <definedName name="Table_4.__Moldova____Monetary_Survey_and_Projections__1994_98_1" localSheetId="20">#REF!</definedName>
    <definedName name="Table_4.__Moldova____Monetary_Survey_and_Projections__1994_98_1" localSheetId="23">#REF!</definedName>
    <definedName name="Table_4.__Moldova____Monetary_Survey_and_Projections__1994_98_1" localSheetId="21">#REF!</definedName>
    <definedName name="Table_4.__Moldova____Monetary_Survey_and_Projections__1994_98_1" localSheetId="17">#REF!</definedName>
    <definedName name="Table_4.__Moldova____Monetary_Survey_and_Projections__1994_98_1">#REF!</definedName>
    <definedName name="Table_6.__Moldova__Balance_of_Payments__1994_98" localSheetId="24">#REF!</definedName>
    <definedName name="Table_6.__Moldova__Balance_of_Payments__1994_98" localSheetId="26">#REF!</definedName>
    <definedName name="Table_6.__Moldova__Balance_of_Payments__1994_98" localSheetId="20">#REF!</definedName>
    <definedName name="Table_6.__Moldova__Balance_of_Payments__1994_98" localSheetId="23">#REF!</definedName>
    <definedName name="Table_6.__Moldova__Balance_of_Payments__1994_98" localSheetId="21">#REF!</definedName>
    <definedName name="Table_6.__Moldova__Balance_of_Payments__1994_98" localSheetId="17">#REF!</definedName>
    <definedName name="Table_6.__Moldova__Balance_of_Payments__1994_98">#REF!</definedName>
    <definedName name="Table129" localSheetId="24">#REF!</definedName>
    <definedName name="Table129" localSheetId="26">#REF!</definedName>
    <definedName name="Table129" localSheetId="20">#REF!</definedName>
    <definedName name="Table129" localSheetId="23">#REF!</definedName>
    <definedName name="Table129" localSheetId="21">#REF!</definedName>
    <definedName name="Table129" localSheetId="17">#REF!</definedName>
    <definedName name="Table129">#REF!</definedName>
    <definedName name="table130" localSheetId="24">#REF!</definedName>
    <definedName name="table130" localSheetId="26">#REF!</definedName>
    <definedName name="table130" localSheetId="20">#REF!</definedName>
    <definedName name="table130" localSheetId="23">#REF!</definedName>
    <definedName name="table130" localSheetId="21">#REF!</definedName>
    <definedName name="table130" localSheetId="17">#REF!</definedName>
    <definedName name="table130">#REF!</definedName>
    <definedName name="Table135" localSheetId="24">#REF!,[8]Contents!$A$87:$H$247</definedName>
    <definedName name="Table135" localSheetId="31">#REF!,[8]Contents!$A$87:$H$247</definedName>
    <definedName name="Table135" localSheetId="32">#REF!,[8]Contents!$A$87:$H$247</definedName>
    <definedName name="Table135" localSheetId="26">#REF!,[8]Contents!$A$87:$H$247</definedName>
    <definedName name="Table135" localSheetId="11">#REF!,[8]Contents!$A$87:$H$247</definedName>
    <definedName name="Table135" localSheetId="20">#REF!,[8]Contents!$A$87:$H$247</definedName>
    <definedName name="Table135" localSheetId="23">#REF!,[8]Contents!$A$87:$H$247</definedName>
    <definedName name="Table135" localSheetId="21">#REF!,[8]Contents!$A$87:$H$247</definedName>
    <definedName name="Table135" localSheetId="17">#REF!,[8]Contents!$A$87:$H$247</definedName>
    <definedName name="Table135" localSheetId="12">#REF!,[8]Contents!$A$87:$H$247</definedName>
    <definedName name="Table135" localSheetId="18">#REF!,[8]Contents!$A$87:$H$247</definedName>
    <definedName name="Table135" localSheetId="19">#REF!,[8]Contents!$A$87:$H$247</definedName>
    <definedName name="Table135">#REF!,[8]Contents!$A$87:$H$247</definedName>
    <definedName name="Table16_2000" localSheetId="24">#REF!</definedName>
    <definedName name="Table16_2000" localSheetId="31">#REF!</definedName>
    <definedName name="Table16_2000" localSheetId="32">#REF!</definedName>
    <definedName name="Table16_2000" localSheetId="26">#REF!</definedName>
    <definedName name="Table16_2000" localSheetId="11">#REF!</definedName>
    <definedName name="Table16_2000" localSheetId="20">#REF!</definedName>
    <definedName name="Table16_2000" localSheetId="23">#REF!</definedName>
    <definedName name="Table16_2000" localSheetId="21">#REF!</definedName>
    <definedName name="Table16_2000" localSheetId="17">#REF!</definedName>
    <definedName name="Table16_2000" localSheetId="12">#REF!</definedName>
    <definedName name="Table16_2000" localSheetId="18">#REF!</definedName>
    <definedName name="Table16_2000" localSheetId="19">#REF!</definedName>
    <definedName name="Table16_2000">#REF!</definedName>
    <definedName name="Table17" localSheetId="24">#REF!</definedName>
    <definedName name="Table17" localSheetId="31">#REF!</definedName>
    <definedName name="Table17" localSheetId="32">#REF!</definedName>
    <definedName name="Table17" localSheetId="26">#REF!</definedName>
    <definedName name="Table17" localSheetId="11">#REF!</definedName>
    <definedName name="Table17" localSheetId="20">#REF!</definedName>
    <definedName name="Table17" localSheetId="23">#REF!</definedName>
    <definedName name="Table17" localSheetId="21">#REF!</definedName>
    <definedName name="Table17" localSheetId="17">#REF!</definedName>
    <definedName name="Table17" localSheetId="12">#REF!</definedName>
    <definedName name="Table17" localSheetId="18">#REF!</definedName>
    <definedName name="Table17" localSheetId="19">#REF!</definedName>
    <definedName name="Table17">#REF!</definedName>
    <definedName name="Table19" localSheetId="24">#REF!</definedName>
    <definedName name="Table19" localSheetId="31">#REF!</definedName>
    <definedName name="Table19" localSheetId="32">#REF!</definedName>
    <definedName name="Table19" localSheetId="26">#REF!</definedName>
    <definedName name="Table19" localSheetId="11">#REF!</definedName>
    <definedName name="Table19" localSheetId="20">#REF!</definedName>
    <definedName name="Table19" localSheetId="23">#REF!</definedName>
    <definedName name="Table19" localSheetId="21">#REF!</definedName>
    <definedName name="Table19" localSheetId="17">#REF!</definedName>
    <definedName name="Table19" localSheetId="12">#REF!</definedName>
    <definedName name="Table19" localSheetId="18">#REF!</definedName>
    <definedName name="Table19" localSheetId="19">#REF!</definedName>
    <definedName name="Table19">#REF!</definedName>
    <definedName name="Table20" localSheetId="24">#REF!</definedName>
    <definedName name="Table20" localSheetId="26">#REF!</definedName>
    <definedName name="Table20" localSheetId="20">#REF!</definedName>
    <definedName name="Table20" localSheetId="23">#REF!</definedName>
    <definedName name="Table20" localSheetId="21">#REF!</definedName>
    <definedName name="Table20" localSheetId="17">#REF!</definedName>
    <definedName name="Table20">#REF!</definedName>
    <definedName name="Table21" localSheetId="24">#REF!,[9]Contents!$A$87:$H$247</definedName>
    <definedName name="Table21" localSheetId="31">#REF!,[9]Contents!$A$87:$H$247</definedName>
    <definedName name="Table21" localSheetId="32">#REF!,[9]Contents!$A$87:$H$247</definedName>
    <definedName name="Table21" localSheetId="26">#REF!,[9]Contents!$A$87:$H$247</definedName>
    <definedName name="Table21" localSheetId="11">#REF!,[9]Contents!$A$87:$H$247</definedName>
    <definedName name="Table21" localSheetId="20">#REF!,[9]Contents!$A$87:$H$247</definedName>
    <definedName name="Table21" localSheetId="23">#REF!,[9]Contents!$A$87:$H$247</definedName>
    <definedName name="Table21" localSheetId="21">#REF!,[9]Contents!$A$87:$H$247</definedName>
    <definedName name="Table21" localSheetId="17">#REF!,[9]Contents!$A$87:$H$247</definedName>
    <definedName name="Table21" localSheetId="12">#REF!,[9]Contents!$A$87:$H$247</definedName>
    <definedName name="Table21" localSheetId="18">#REF!,[9]Contents!$A$87:$H$247</definedName>
    <definedName name="Table21" localSheetId="19">#REF!,[9]Contents!$A$87:$H$247</definedName>
    <definedName name="Table21">#REF!,[9]Contents!$A$87:$H$247</definedName>
    <definedName name="Table22" localSheetId="24">#REF!</definedName>
    <definedName name="Table22" localSheetId="31">#REF!</definedName>
    <definedName name="Table22" localSheetId="32">#REF!</definedName>
    <definedName name="Table22" localSheetId="26">#REF!</definedName>
    <definedName name="Table22" localSheetId="11">#REF!</definedName>
    <definedName name="Table22" localSheetId="20">#REF!</definedName>
    <definedName name="Table22" localSheetId="23">#REF!</definedName>
    <definedName name="Table22" localSheetId="21">#REF!</definedName>
    <definedName name="Table22" localSheetId="17">#REF!</definedName>
    <definedName name="Table22" localSheetId="12">#REF!</definedName>
    <definedName name="Table22" localSheetId="18">#REF!</definedName>
    <definedName name="Table22" localSheetId="19">#REF!</definedName>
    <definedName name="Table22">#REF!</definedName>
    <definedName name="Table23" localSheetId="24">#REF!</definedName>
    <definedName name="Table23" localSheetId="31">#REF!</definedName>
    <definedName name="Table23" localSheetId="32">#REF!</definedName>
    <definedName name="Table23" localSheetId="26">#REF!</definedName>
    <definedName name="Table23" localSheetId="11">#REF!</definedName>
    <definedName name="Table23" localSheetId="20">#REF!</definedName>
    <definedName name="Table23" localSheetId="23">#REF!</definedName>
    <definedName name="Table23" localSheetId="21">#REF!</definedName>
    <definedName name="Table23" localSheetId="17">#REF!</definedName>
    <definedName name="Table23" localSheetId="12">#REF!</definedName>
    <definedName name="Table23" localSheetId="18">#REF!</definedName>
    <definedName name="Table23" localSheetId="19">#REF!</definedName>
    <definedName name="Table23">#REF!</definedName>
    <definedName name="Table24" localSheetId="24">#REF!</definedName>
    <definedName name="Table24" localSheetId="31">#REF!</definedName>
    <definedName name="Table24" localSheetId="32">#REF!</definedName>
    <definedName name="Table24" localSheetId="26">#REF!</definedName>
    <definedName name="Table24" localSheetId="11">#REF!</definedName>
    <definedName name="Table24" localSheetId="20">#REF!</definedName>
    <definedName name="Table24" localSheetId="23">#REF!</definedName>
    <definedName name="Table24" localSheetId="21">#REF!</definedName>
    <definedName name="Table24" localSheetId="17">#REF!</definedName>
    <definedName name="Table24" localSheetId="12">#REF!</definedName>
    <definedName name="Table24" localSheetId="18">#REF!</definedName>
    <definedName name="Table24" localSheetId="19">#REF!</definedName>
    <definedName name="Table24">#REF!</definedName>
    <definedName name="Table25" localSheetId="24">#REF!</definedName>
    <definedName name="Table25" localSheetId="26">#REF!</definedName>
    <definedName name="Table25" localSheetId="20">#REF!</definedName>
    <definedName name="Table25" localSheetId="23">#REF!</definedName>
    <definedName name="Table25" localSheetId="21">#REF!</definedName>
    <definedName name="Table25" localSheetId="17">#REF!</definedName>
    <definedName name="Table25">#REF!</definedName>
    <definedName name="Table26" localSheetId="24">#REF!</definedName>
    <definedName name="Table26" localSheetId="26">#REF!</definedName>
    <definedName name="Table26" localSheetId="20">#REF!</definedName>
    <definedName name="Table26" localSheetId="23">#REF!</definedName>
    <definedName name="Table26" localSheetId="21">#REF!</definedName>
    <definedName name="Table26" localSheetId="17">#REF!</definedName>
    <definedName name="Table26">#REF!</definedName>
    <definedName name="Table27" localSheetId="24">#REF!</definedName>
    <definedName name="Table27" localSheetId="26">#REF!</definedName>
    <definedName name="Table27" localSheetId="20">#REF!</definedName>
    <definedName name="Table27" localSheetId="23">#REF!</definedName>
    <definedName name="Table27" localSheetId="21">#REF!</definedName>
    <definedName name="Table27" localSheetId="17">#REF!</definedName>
    <definedName name="Table27">#REF!</definedName>
    <definedName name="Table28" localSheetId="24">#REF!</definedName>
    <definedName name="Table28" localSheetId="26">#REF!</definedName>
    <definedName name="Table28" localSheetId="20">#REF!</definedName>
    <definedName name="Table28" localSheetId="23">#REF!</definedName>
    <definedName name="Table28" localSheetId="21">#REF!</definedName>
    <definedName name="Table28" localSheetId="17">#REF!</definedName>
    <definedName name="Table28">#REF!</definedName>
    <definedName name="Table29" localSheetId="24">#REF!</definedName>
    <definedName name="Table29" localSheetId="26">#REF!</definedName>
    <definedName name="Table29" localSheetId="20">#REF!</definedName>
    <definedName name="Table29" localSheetId="23">#REF!</definedName>
    <definedName name="Table29" localSheetId="21">#REF!</definedName>
    <definedName name="Table29" localSheetId="17">#REF!</definedName>
    <definedName name="Table29">#REF!</definedName>
    <definedName name="Table30" localSheetId="24">#REF!</definedName>
    <definedName name="Table30" localSheetId="26">#REF!</definedName>
    <definedName name="Table30" localSheetId="20">#REF!</definedName>
    <definedName name="Table30" localSheetId="23">#REF!</definedName>
    <definedName name="Table30" localSheetId="21">#REF!</definedName>
    <definedName name="Table30" localSheetId="17">#REF!</definedName>
    <definedName name="Table30">#REF!</definedName>
    <definedName name="Table31" localSheetId="24">#REF!</definedName>
    <definedName name="Table31" localSheetId="26">#REF!</definedName>
    <definedName name="Table31" localSheetId="20">#REF!</definedName>
    <definedName name="Table31" localSheetId="23">#REF!</definedName>
    <definedName name="Table31" localSheetId="21">#REF!</definedName>
    <definedName name="Table31" localSheetId="17">#REF!</definedName>
    <definedName name="Table31">#REF!</definedName>
    <definedName name="Table32" localSheetId="24">#REF!</definedName>
    <definedName name="Table32" localSheetId="26">#REF!</definedName>
    <definedName name="Table32" localSheetId="20">#REF!</definedName>
    <definedName name="Table32" localSheetId="23">#REF!</definedName>
    <definedName name="Table32" localSheetId="21">#REF!</definedName>
    <definedName name="Table32" localSheetId="17">#REF!</definedName>
    <definedName name="Table32">#REF!</definedName>
    <definedName name="Table33" localSheetId="24">#REF!</definedName>
    <definedName name="Table33" localSheetId="26">#REF!</definedName>
    <definedName name="Table33" localSheetId="20">#REF!</definedName>
    <definedName name="Table33" localSheetId="23">#REF!</definedName>
    <definedName name="Table33" localSheetId="21">#REF!</definedName>
    <definedName name="Table33" localSheetId="17">#REF!</definedName>
    <definedName name="Table33">#REF!</definedName>
    <definedName name="Table330" localSheetId="24">#REF!</definedName>
    <definedName name="Table330" localSheetId="26">#REF!</definedName>
    <definedName name="Table330" localSheetId="20">#REF!</definedName>
    <definedName name="Table330" localSheetId="23">#REF!</definedName>
    <definedName name="Table330" localSheetId="21">#REF!</definedName>
    <definedName name="Table330" localSheetId="17">#REF!</definedName>
    <definedName name="Table330">#REF!</definedName>
    <definedName name="Table336" localSheetId="24">#REF!</definedName>
    <definedName name="Table336" localSheetId="26">#REF!</definedName>
    <definedName name="Table336" localSheetId="20">#REF!</definedName>
    <definedName name="Table336" localSheetId="23">#REF!</definedName>
    <definedName name="Table336" localSheetId="21">#REF!</definedName>
    <definedName name="Table336" localSheetId="17">#REF!</definedName>
    <definedName name="Table336">#REF!</definedName>
    <definedName name="Table34" localSheetId="24">#REF!</definedName>
    <definedName name="Table34" localSheetId="26">#REF!</definedName>
    <definedName name="Table34" localSheetId="20">#REF!</definedName>
    <definedName name="Table34" localSheetId="23">#REF!</definedName>
    <definedName name="Table34" localSheetId="21">#REF!</definedName>
    <definedName name="Table34" localSheetId="17">#REF!</definedName>
    <definedName name="Table34">#REF!</definedName>
    <definedName name="Table35" localSheetId="24">#REF!</definedName>
    <definedName name="Table35" localSheetId="26">#REF!</definedName>
    <definedName name="Table35" localSheetId="20">#REF!</definedName>
    <definedName name="Table35" localSheetId="23">#REF!</definedName>
    <definedName name="Table35" localSheetId="21">#REF!</definedName>
    <definedName name="Table35" localSheetId="17">#REF!</definedName>
    <definedName name="Table35">#REF!</definedName>
    <definedName name="Table36" localSheetId="24">#REF!</definedName>
    <definedName name="Table36" localSheetId="26">#REF!</definedName>
    <definedName name="Table36" localSheetId="20">#REF!</definedName>
    <definedName name="Table36" localSheetId="23">#REF!</definedName>
    <definedName name="Table36" localSheetId="21">#REF!</definedName>
    <definedName name="Table36" localSheetId="17">#REF!</definedName>
    <definedName name="Table36">#REF!</definedName>
    <definedName name="Table37" localSheetId="24">#REF!</definedName>
    <definedName name="Table37" localSheetId="26">#REF!</definedName>
    <definedName name="Table37" localSheetId="20">#REF!</definedName>
    <definedName name="Table37" localSheetId="23">#REF!</definedName>
    <definedName name="Table37" localSheetId="21">#REF!</definedName>
    <definedName name="Table37" localSheetId="17">#REF!</definedName>
    <definedName name="Table37">#REF!</definedName>
    <definedName name="Table38" localSheetId="24">#REF!</definedName>
    <definedName name="Table38" localSheetId="26">#REF!</definedName>
    <definedName name="Table38" localSheetId="20">#REF!</definedName>
    <definedName name="Table38" localSheetId="23">#REF!</definedName>
    <definedName name="Table38" localSheetId="21">#REF!</definedName>
    <definedName name="Table38" localSheetId="17">#REF!</definedName>
    <definedName name="Table38">#REF!</definedName>
    <definedName name="Table39" localSheetId="24">#REF!</definedName>
    <definedName name="Table39" localSheetId="26">#REF!</definedName>
    <definedName name="Table39" localSheetId="20">#REF!</definedName>
    <definedName name="Table39" localSheetId="23">#REF!</definedName>
    <definedName name="Table39" localSheetId="21">#REF!</definedName>
    <definedName name="Table39" localSheetId="17">#REF!</definedName>
    <definedName name="Table39">#REF!</definedName>
    <definedName name="Table40" localSheetId="24">#REF!</definedName>
    <definedName name="Table40" localSheetId="26">#REF!</definedName>
    <definedName name="Table40" localSheetId="20">#REF!</definedName>
    <definedName name="Table40" localSheetId="23">#REF!</definedName>
    <definedName name="Table40" localSheetId="21">#REF!</definedName>
    <definedName name="Table40" localSheetId="17">#REF!</definedName>
    <definedName name="Table40">#REF!</definedName>
    <definedName name="Table41" localSheetId="24">#REF!</definedName>
    <definedName name="Table41" localSheetId="26">#REF!</definedName>
    <definedName name="Table41" localSheetId="20">#REF!</definedName>
    <definedName name="Table41" localSheetId="23">#REF!</definedName>
    <definedName name="Table41" localSheetId="21">#REF!</definedName>
    <definedName name="Table41" localSheetId="17">#REF!</definedName>
    <definedName name="Table41">#REF!</definedName>
    <definedName name="Table42" localSheetId="24">#REF!</definedName>
    <definedName name="Table42" localSheetId="26">#REF!</definedName>
    <definedName name="Table42" localSheetId="20">#REF!</definedName>
    <definedName name="Table42" localSheetId="23">#REF!</definedName>
    <definedName name="Table42" localSheetId="21">#REF!</definedName>
    <definedName name="Table42" localSheetId="17">#REF!</definedName>
    <definedName name="Table42">#REF!</definedName>
    <definedName name="Table43" localSheetId="24">#REF!</definedName>
    <definedName name="Table43" localSheetId="26">#REF!</definedName>
    <definedName name="Table43" localSheetId="20">#REF!</definedName>
    <definedName name="Table43" localSheetId="23">#REF!</definedName>
    <definedName name="Table43" localSheetId="21">#REF!</definedName>
    <definedName name="Table43" localSheetId="17">#REF!</definedName>
    <definedName name="Table43">#REF!</definedName>
    <definedName name="Table44" localSheetId="24">#REF!</definedName>
    <definedName name="Table44" localSheetId="26">#REF!</definedName>
    <definedName name="Table44" localSheetId="20">#REF!</definedName>
    <definedName name="Table44" localSheetId="23">#REF!</definedName>
    <definedName name="Table44" localSheetId="21">#REF!</definedName>
    <definedName name="Table44" localSheetId="17">#REF!</definedName>
    <definedName name="Table44">#REF!</definedName>
    <definedName name="TabMTBOP2006" localSheetId="24">#REF!</definedName>
    <definedName name="TabMTBOP2006" localSheetId="26">#REF!</definedName>
    <definedName name="TabMTBOP2006" localSheetId="20">#REF!</definedName>
    <definedName name="TabMTBOP2006" localSheetId="23">#REF!</definedName>
    <definedName name="TabMTBOP2006" localSheetId="21">#REF!</definedName>
    <definedName name="TabMTBOP2006" localSheetId="17">#REF!</definedName>
    <definedName name="TabMTBOP2006">#REF!</definedName>
    <definedName name="TabMTbop2010" localSheetId="24">#REF!</definedName>
    <definedName name="TabMTbop2010" localSheetId="26">#REF!</definedName>
    <definedName name="TabMTbop2010" localSheetId="20">#REF!</definedName>
    <definedName name="TabMTbop2010" localSheetId="23">#REF!</definedName>
    <definedName name="TabMTbop2010" localSheetId="21">#REF!</definedName>
    <definedName name="TabMTbop2010" localSheetId="17">#REF!</definedName>
    <definedName name="TabMTbop2010">#REF!</definedName>
    <definedName name="TabMTdebt" localSheetId="24">#REF!</definedName>
    <definedName name="TabMTdebt" localSheetId="26">#REF!</definedName>
    <definedName name="TabMTdebt" localSheetId="20">#REF!</definedName>
    <definedName name="TabMTdebt" localSheetId="23">#REF!</definedName>
    <definedName name="TabMTdebt" localSheetId="21">#REF!</definedName>
    <definedName name="TabMTdebt" localSheetId="17">#REF!</definedName>
    <definedName name="TabMTdebt">#REF!</definedName>
    <definedName name="TabNonfactorServices_and_Income" localSheetId="24">#REF!</definedName>
    <definedName name="TabNonfactorServices_and_Income" localSheetId="26">#REF!</definedName>
    <definedName name="TabNonfactorServices_and_Income" localSheetId="20">#REF!</definedName>
    <definedName name="TabNonfactorServices_and_Income" localSheetId="23">#REF!</definedName>
    <definedName name="TabNonfactorServices_and_Income" localSheetId="21">#REF!</definedName>
    <definedName name="TabNonfactorServices_and_Income" localSheetId="17">#REF!</definedName>
    <definedName name="TabNonfactorServices_and_Income">#REF!</definedName>
    <definedName name="TabOutMon" localSheetId="24">#REF!</definedName>
    <definedName name="TabOutMon" localSheetId="26">#REF!</definedName>
    <definedName name="TabOutMon" localSheetId="20">#REF!</definedName>
    <definedName name="TabOutMon" localSheetId="23">#REF!</definedName>
    <definedName name="TabOutMon" localSheetId="21">#REF!</definedName>
    <definedName name="TabOutMon" localSheetId="17">#REF!</definedName>
    <definedName name="TabOutMon">#REF!</definedName>
    <definedName name="TabsimplifiedBOP" localSheetId="24">#REF!</definedName>
    <definedName name="TabsimplifiedBOP" localSheetId="26">#REF!</definedName>
    <definedName name="TabsimplifiedBOP" localSheetId="20">#REF!</definedName>
    <definedName name="TabsimplifiedBOP" localSheetId="23">#REF!</definedName>
    <definedName name="TabsimplifiedBOP" localSheetId="21">#REF!</definedName>
    <definedName name="TabsimplifiedBOP" localSheetId="17">#REF!</definedName>
    <definedName name="TabsimplifiedBOP">#REF!</definedName>
    <definedName name="TaxArrears" localSheetId="24">#REF!</definedName>
    <definedName name="TaxArrears" localSheetId="26">#REF!</definedName>
    <definedName name="TaxArrears" localSheetId="20">#REF!</definedName>
    <definedName name="TaxArrears" localSheetId="23">#REF!</definedName>
    <definedName name="TaxArrears" localSheetId="21">#REF!</definedName>
    <definedName name="TaxArrears" localSheetId="17">#REF!</definedName>
    <definedName name="TaxArrears">#REF!</definedName>
    <definedName name="teset" localSheetId="31" hidden="1">{#N/A,#N/A,FALSE,"SimInp1";#N/A,#N/A,FALSE,"SimInp2";#N/A,#N/A,FALSE,"SimOut1";#N/A,#N/A,FALSE,"SimOut2";#N/A,#N/A,FALSE,"SimOut3";#N/A,#N/A,FALSE,"SimOut4";#N/A,#N/A,FALSE,"SimOut5"}</definedName>
    <definedName name="teset" localSheetId="32" hidden="1">{#N/A,#N/A,FALSE,"SimInp1";#N/A,#N/A,FALSE,"SimInp2";#N/A,#N/A,FALSE,"SimOut1";#N/A,#N/A,FALSE,"SimOut2";#N/A,#N/A,FALSE,"SimOut3";#N/A,#N/A,FALSE,"SimOut4";#N/A,#N/A,FALSE,"SimOut5"}</definedName>
    <definedName name="teset" localSheetId="11" hidden="1">{#N/A,#N/A,FALSE,"SimInp1";#N/A,#N/A,FALSE,"SimInp2";#N/A,#N/A,FALSE,"SimOut1";#N/A,#N/A,FALSE,"SimOut2";#N/A,#N/A,FALSE,"SimOut3";#N/A,#N/A,FALSE,"SimOut4";#N/A,#N/A,FALSE,"SimOut5"}</definedName>
    <definedName name="teset" localSheetId="12" hidden="1">{#N/A,#N/A,FALSE,"SimInp1";#N/A,#N/A,FALSE,"SimInp2";#N/A,#N/A,FALSE,"SimOut1";#N/A,#N/A,FALSE,"SimOut2";#N/A,#N/A,FALSE,"SimOut3";#N/A,#N/A,FALSE,"SimOut4";#N/A,#N/A,FALSE,"SimOut5"}</definedName>
    <definedName name="teset" localSheetId="18" hidden="1">{#N/A,#N/A,FALSE,"SimInp1";#N/A,#N/A,FALSE,"SimInp2";#N/A,#N/A,FALSE,"SimOut1";#N/A,#N/A,FALSE,"SimOut2";#N/A,#N/A,FALSE,"SimOut3";#N/A,#N/A,FALSE,"SimOut4";#N/A,#N/A,FALSE,"SimOut5"}</definedName>
    <definedName name="teset" localSheetId="19" hidden="1">{#N/A,#N/A,FALSE,"SimInp1";#N/A,#N/A,FALSE,"SimInp2";#N/A,#N/A,FALSE,"SimOut1";#N/A,#N/A,FALSE,"SimOut2";#N/A,#N/A,FALSE,"SimOut3";#N/A,#N/A,FALSE,"SimOut4";#N/A,#N/A,FALSE,"SimOut5"}</definedName>
    <definedName name="teset" hidden="1">{#N/A,#N/A,FALSE,"SimInp1";#N/A,#N/A,FALSE,"SimInp2";#N/A,#N/A,FALSE,"SimOut1";#N/A,#N/A,FALSE,"SimOut2";#N/A,#N/A,FALSE,"SimOut3";#N/A,#N/A,FALSE,"SimOut4";#N/A,#N/A,FALSE,"SimOut5"}</definedName>
    <definedName name="Test" localSheetId="24">#REF!</definedName>
    <definedName name="Test" localSheetId="31">#REF!</definedName>
    <definedName name="Test" localSheetId="32">#REF!</definedName>
    <definedName name="Test" localSheetId="26">#REF!</definedName>
    <definedName name="Test" localSheetId="11">#REF!</definedName>
    <definedName name="Test" localSheetId="20">#REF!</definedName>
    <definedName name="Test" localSheetId="23">#REF!</definedName>
    <definedName name="Test" localSheetId="21">#REF!</definedName>
    <definedName name="Test" localSheetId="17">#REF!</definedName>
    <definedName name="Test" localSheetId="12">#REF!</definedName>
    <definedName name="Test" localSheetId="18">#REF!</definedName>
    <definedName name="Test" localSheetId="19">#REF!</definedName>
    <definedName name="Test">#REF!</definedName>
    <definedName name="Test1" localSheetId="24">#REF!</definedName>
    <definedName name="Test1" localSheetId="31">#REF!</definedName>
    <definedName name="Test1" localSheetId="32">#REF!</definedName>
    <definedName name="Test1" localSheetId="26">#REF!</definedName>
    <definedName name="Test1" localSheetId="11">#REF!</definedName>
    <definedName name="Test1" localSheetId="20">#REF!</definedName>
    <definedName name="Test1" localSheetId="23">#REF!</definedName>
    <definedName name="Test1" localSheetId="21">#REF!</definedName>
    <definedName name="Test1" localSheetId="17">#REF!</definedName>
    <definedName name="Test1" localSheetId="12">#REF!</definedName>
    <definedName name="Test1" localSheetId="18">#REF!</definedName>
    <definedName name="Test1" localSheetId="19">#REF!</definedName>
    <definedName name="Test1">#REF!</definedName>
    <definedName name="tgz" localSheetId="31" hidden="1">{"'előző év december'!$A$2:$CP$214"}</definedName>
    <definedName name="tgz" localSheetId="32" hidden="1">{"'előző év december'!$A$2:$CP$214"}</definedName>
    <definedName name="tgz" localSheetId="11" hidden="1">{"'előző év december'!$A$2:$CP$214"}</definedName>
    <definedName name="tgz" localSheetId="12" hidden="1">{"'előző év december'!$A$2:$CP$214"}</definedName>
    <definedName name="tgz" localSheetId="18" hidden="1">{"'előző év december'!$A$2:$CP$214"}</definedName>
    <definedName name="tgz" localSheetId="19" hidden="1">{"'előző év december'!$A$2:$CP$214"}</definedName>
    <definedName name="tgz" hidden="1">{"'előző év december'!$A$2:$CP$214"}</definedName>
    <definedName name="tmp" localSheetId="31" hidden="1">{#N/A,#N/A,FALSE,"NBU rates 1999"}</definedName>
    <definedName name="tmp" localSheetId="32" hidden="1">{#N/A,#N/A,FALSE,"NBU rates 1999"}</definedName>
    <definedName name="tmp" localSheetId="11" hidden="1">{#N/A,#N/A,FALSE,"NBU rates 1999"}</definedName>
    <definedName name="tmp" localSheetId="12" hidden="1">{#N/A,#N/A,FALSE,"NBU rates 1999"}</definedName>
    <definedName name="tmp" localSheetId="18" hidden="1">{#N/A,#N/A,FALSE,"NBU rates 1999"}</definedName>
    <definedName name="tmp" localSheetId="19" hidden="1">{#N/A,#N/A,FALSE,"NBU rates 1999"}</definedName>
    <definedName name="tmp" hidden="1">{#N/A,#N/A,FALSE,"NBU rates 1999"}</definedName>
    <definedName name="tmp_2" localSheetId="31" hidden="1">{#N/A,#N/A,FALSE,"NBU rates 1999"}</definedName>
    <definedName name="tmp_2" localSheetId="32" hidden="1">{#N/A,#N/A,FALSE,"NBU rates 1999"}</definedName>
    <definedName name="tmp_2" localSheetId="11" hidden="1">{#N/A,#N/A,FALSE,"NBU rates 1999"}</definedName>
    <definedName name="tmp_2" localSheetId="12" hidden="1">{#N/A,#N/A,FALSE,"NBU rates 1999"}</definedName>
    <definedName name="tmp_2" localSheetId="18" hidden="1">{#N/A,#N/A,FALSE,"NBU rates 1999"}</definedName>
    <definedName name="tmp_2" localSheetId="19" hidden="1">{#N/A,#N/A,FALSE,"NBU rates 1999"}</definedName>
    <definedName name="tmp_2" hidden="1">{#N/A,#N/A,FALSE,"NBU rates 1999"}</definedName>
    <definedName name="tmp_3" localSheetId="31" hidden="1">{#N/A,#N/A,FALSE,"NBU rates 1999"}</definedName>
    <definedName name="tmp_3" localSheetId="32" hidden="1">{#N/A,#N/A,FALSE,"NBU rates 1999"}</definedName>
    <definedName name="tmp_3" localSheetId="11" hidden="1">{#N/A,#N/A,FALSE,"NBU rates 1999"}</definedName>
    <definedName name="tmp_3" localSheetId="12" hidden="1">{#N/A,#N/A,FALSE,"NBU rates 1999"}</definedName>
    <definedName name="tmp_3" localSheetId="18" hidden="1">{#N/A,#N/A,FALSE,"NBU rates 1999"}</definedName>
    <definedName name="tmp_3" localSheetId="19" hidden="1">{#N/A,#N/A,FALSE,"NBU rates 1999"}</definedName>
    <definedName name="tmp_3" hidden="1">{#N/A,#N/A,FALSE,"NBU rates 1999"}</definedName>
    <definedName name="tmp_4" localSheetId="31" hidden="1">{#N/A,#N/A,FALSE,"NBU rates 1999"}</definedName>
    <definedName name="tmp_4" localSheetId="32" hidden="1">{#N/A,#N/A,FALSE,"NBU rates 1999"}</definedName>
    <definedName name="tmp_4" localSheetId="11" hidden="1">{#N/A,#N/A,FALSE,"NBU rates 1999"}</definedName>
    <definedName name="tmp_4" localSheetId="12" hidden="1">{#N/A,#N/A,FALSE,"NBU rates 1999"}</definedName>
    <definedName name="tmp_4" localSheetId="18" hidden="1">{#N/A,#N/A,FALSE,"NBU rates 1999"}</definedName>
    <definedName name="tmp_4" localSheetId="19" hidden="1">{#N/A,#N/A,FALSE,"NBU rates 1999"}</definedName>
    <definedName name="tmp_4" hidden="1">{#N/A,#N/A,FALSE,"NBU rates 1999"}</definedName>
    <definedName name="Trade_balance" localSheetId="24">#REF!</definedName>
    <definedName name="Trade_balance" localSheetId="31">#REF!</definedName>
    <definedName name="Trade_balance" localSheetId="32">#REF!</definedName>
    <definedName name="Trade_balance" localSheetId="26">#REF!</definedName>
    <definedName name="Trade_balance" localSheetId="11">#REF!</definedName>
    <definedName name="Trade_balance" localSheetId="20">#REF!</definedName>
    <definedName name="Trade_balance" localSheetId="23">#REF!</definedName>
    <definedName name="Trade_balance" localSheetId="21">#REF!</definedName>
    <definedName name="Trade_balance" localSheetId="17">#REF!</definedName>
    <definedName name="Trade_balance" localSheetId="12">#REF!</definedName>
    <definedName name="Trade_balance" localSheetId="18">#REF!</definedName>
    <definedName name="Trade_balance" localSheetId="19">#REF!</definedName>
    <definedName name="Trade_balance">#REF!</definedName>
    <definedName name="trade_figure" localSheetId="24">#REF!</definedName>
    <definedName name="trade_figure" localSheetId="31">#REF!</definedName>
    <definedName name="trade_figure" localSheetId="32">#REF!</definedName>
    <definedName name="trade_figure" localSheetId="26">#REF!</definedName>
    <definedName name="trade_figure" localSheetId="11">#REF!</definedName>
    <definedName name="trade_figure" localSheetId="20">#REF!</definedName>
    <definedName name="trade_figure" localSheetId="23">#REF!</definedName>
    <definedName name="trade_figure" localSheetId="21">#REF!</definedName>
    <definedName name="trade_figure" localSheetId="17">#REF!</definedName>
    <definedName name="trade_figure" localSheetId="12">#REF!</definedName>
    <definedName name="trade_figure" localSheetId="18">#REF!</definedName>
    <definedName name="trade_figure" localSheetId="19">#REF!</definedName>
    <definedName name="trade_figure">#REF!</definedName>
    <definedName name="tre" localSheetId="31" hidden="1">{"'előző év december'!$A$2:$CP$214"}</definedName>
    <definedName name="tre" localSheetId="32" hidden="1">{"'előző év december'!$A$2:$CP$214"}</definedName>
    <definedName name="tre" localSheetId="11" hidden="1">{"'előző év december'!$A$2:$CP$214"}</definedName>
    <definedName name="tre" localSheetId="12" hidden="1">{"'előző év december'!$A$2:$CP$214"}</definedName>
    <definedName name="tre" localSheetId="18" hidden="1">{"'előző év december'!$A$2:$CP$214"}</definedName>
    <definedName name="tre" localSheetId="19" hidden="1">{"'előző év december'!$A$2:$CP$214"}</definedName>
    <definedName name="tre" hidden="1">{"'előző év december'!$A$2:$CP$214"}</definedName>
    <definedName name="trois" localSheetId="31" hidden="1">{"résultats",#N/A,FALSE,"résultats SFS";"indicateurs",#N/A,FALSE,"résultats SFS";"commentaires",#N/A,FALSE,"commentaires SFS";"graphiques",#N/A,FALSE,"graphiques SFS"}</definedName>
    <definedName name="trois" localSheetId="32" hidden="1">{"résultats",#N/A,FALSE,"résultats SFS";"indicateurs",#N/A,FALSE,"résultats SFS";"commentaires",#N/A,FALSE,"commentaires SFS";"graphiques",#N/A,FALSE,"graphiques SFS"}</definedName>
    <definedName name="trois" localSheetId="11" hidden="1">{"résultats",#N/A,FALSE,"résultats SFS";"indicateurs",#N/A,FALSE,"résultats SFS";"commentaires",#N/A,FALSE,"commentaires SFS";"graphiques",#N/A,FALSE,"graphiques SFS"}</definedName>
    <definedName name="trois" localSheetId="12" hidden="1">{"résultats",#N/A,FALSE,"résultats SFS";"indicateurs",#N/A,FALSE,"résultats SFS";"commentaires",#N/A,FALSE,"commentaires SFS";"graphiques",#N/A,FALSE,"graphiques SFS"}</definedName>
    <definedName name="trois" localSheetId="18" hidden="1">{"résultats",#N/A,FALSE,"résultats SFS";"indicateurs",#N/A,FALSE,"résultats SFS";"commentaires",#N/A,FALSE,"commentaires SFS";"graphiques",#N/A,FALSE,"graphiques SFS"}</definedName>
    <definedName name="trois" localSheetId="19" hidden="1">{"résultats",#N/A,FALSE,"résultats SFS";"indicateurs",#N/A,FALSE,"résultats SFS";"commentaires",#N/A,FALSE,"commentaires SFS";"graphiques",#N/A,FALSE,"graphiques SFS"}</definedName>
    <definedName name="trois" hidden="1">{"résultats",#N/A,FALSE,"résultats SFS";"indicateurs",#N/A,FALSE,"résultats SFS";"commentaires",#N/A,FALSE,"commentaires SFS";"graphiques",#N/A,FALSE,"graphiques SFS"}</definedName>
    <definedName name="uè" localSheetId="31" hidden="1">{"résultats",#N/A,FALSE,"résultats SFS";"indicateurs",#N/A,FALSE,"résultats SFS";"commentaires",#N/A,FALSE,"commentaires SFS";"graphiques",#N/A,FALSE,"graphiques SFS"}</definedName>
    <definedName name="uè" localSheetId="32" hidden="1">{"résultats",#N/A,FALSE,"résultats SFS";"indicateurs",#N/A,FALSE,"résultats SFS";"commentaires",#N/A,FALSE,"commentaires SFS";"graphiques",#N/A,FALSE,"graphiques SFS"}</definedName>
    <definedName name="uè" localSheetId="11" hidden="1">{"résultats",#N/A,FALSE,"résultats SFS";"indicateurs",#N/A,FALSE,"résultats SFS";"commentaires",#N/A,FALSE,"commentaires SFS";"graphiques",#N/A,FALSE,"graphiques SFS"}</definedName>
    <definedName name="uè" localSheetId="12" hidden="1">{"résultats",#N/A,FALSE,"résultats SFS";"indicateurs",#N/A,FALSE,"résultats SFS";"commentaires",#N/A,FALSE,"commentaires SFS";"graphiques",#N/A,FALSE,"graphiques SFS"}</definedName>
    <definedName name="uè" localSheetId="18" hidden="1">{"résultats",#N/A,FALSE,"résultats SFS";"indicateurs",#N/A,FALSE,"résultats SFS";"commentaires",#N/A,FALSE,"commentaires SFS";"graphiques",#N/A,FALSE,"graphiques SFS"}</definedName>
    <definedName name="uè" localSheetId="19" hidden="1">{"résultats",#N/A,FALSE,"résultats SFS";"indicateurs",#N/A,FALSE,"résultats SFS";"commentaires",#N/A,FALSE,"commentaires SFS";"graphiques",#N/A,FALSE,"graphiques SFS"}</definedName>
    <definedName name="uè" hidden="1">{"résultats",#N/A,FALSE,"résultats SFS";"indicateurs",#N/A,FALSE,"résultats SFS";"commentaires",#N/A,FALSE,"commentaires SFS";"graphiques",#N/A,FALSE,"graphiques SFS"}</definedName>
    <definedName name="Uploaded_Currency">[3]Control!$F$17</definedName>
    <definedName name="Uploaded_Scale">[3]Control!$F$18</definedName>
    <definedName name="Vaga" localSheetId="31" hidden="1">{#N/A,#N/A,FALSE,"т02бд"}</definedName>
    <definedName name="Vaga" localSheetId="32" hidden="1">{#N/A,#N/A,FALSE,"т02бд"}</definedName>
    <definedName name="Vaga" localSheetId="11" hidden="1">{#N/A,#N/A,FALSE,"т02бд"}</definedName>
    <definedName name="Vaga" localSheetId="12" hidden="1">{#N/A,#N/A,FALSE,"т02бд"}</definedName>
    <definedName name="Vaga" localSheetId="18" hidden="1">{#N/A,#N/A,FALSE,"т02бд"}</definedName>
    <definedName name="Vaga" localSheetId="19" hidden="1">{#N/A,#N/A,FALSE,"т02бд"}</definedName>
    <definedName name="Vaga" hidden="1">{#N/A,#N/A,FALSE,"т02бд"}</definedName>
    <definedName name="VAGA_NAT" localSheetId="31" hidden="1">{#N/A,#N/A,FALSE,"т02бд"}</definedName>
    <definedName name="VAGA_NAT" localSheetId="32" hidden="1">{#N/A,#N/A,FALSE,"т02бд"}</definedName>
    <definedName name="VAGA_NAT" localSheetId="11" hidden="1">{#N/A,#N/A,FALSE,"т02бд"}</definedName>
    <definedName name="VAGA_NAT" localSheetId="12" hidden="1">{#N/A,#N/A,FALSE,"т02бд"}</definedName>
    <definedName name="VAGA_NAT" localSheetId="18" hidden="1">{#N/A,#N/A,FALSE,"т02бд"}</definedName>
    <definedName name="VAGA_NAT" localSheetId="19" hidden="1">{#N/A,#N/A,FALSE,"т02бд"}</definedName>
    <definedName name="VAGA_NAT" hidden="1">{#N/A,#N/A,FALSE,"т02бд"}</definedName>
    <definedName name="vb" localSheetId="31" hidden="1">{"'előző év december'!$A$2:$CP$214"}</definedName>
    <definedName name="vb" localSheetId="32" hidden="1">{"'előző év december'!$A$2:$CP$214"}</definedName>
    <definedName name="vb" localSheetId="11" hidden="1">{"'előző év december'!$A$2:$CP$214"}</definedName>
    <definedName name="vb" localSheetId="12" hidden="1">{"'előző év december'!$A$2:$CP$214"}</definedName>
    <definedName name="vb" localSheetId="18" hidden="1">{"'előző év december'!$A$2:$CP$214"}</definedName>
    <definedName name="vb" localSheetId="19" hidden="1">{"'előző év december'!$A$2:$CP$214"}</definedName>
    <definedName name="vb" hidden="1">{"'előző év december'!$A$2:$CP$214"}</definedName>
    <definedName name="vc" localSheetId="31" hidden="1">{"'előző év december'!$A$2:$CP$214"}</definedName>
    <definedName name="vc" localSheetId="32" hidden="1">{"'előző év december'!$A$2:$CP$214"}</definedName>
    <definedName name="vc" localSheetId="11" hidden="1">{"'előző év december'!$A$2:$CP$214"}</definedName>
    <definedName name="vc" localSheetId="12" hidden="1">{"'előző év december'!$A$2:$CP$214"}</definedName>
    <definedName name="vc" localSheetId="18" hidden="1">{"'előző év december'!$A$2:$CP$214"}</definedName>
    <definedName name="vc" localSheetId="19" hidden="1">{"'előző év december'!$A$2:$CP$214"}</definedName>
    <definedName name="vc" hidden="1">{"'előző év december'!$A$2:$CP$214"}</definedName>
    <definedName name="vvvv" localSheetId="31" hidden="1">{#N/A,#N/A,FALSE,"т02бд"}</definedName>
    <definedName name="vvvv" localSheetId="32" hidden="1">{#N/A,#N/A,FALSE,"т02бд"}</definedName>
    <definedName name="vvvv" localSheetId="11" hidden="1">{#N/A,#N/A,FALSE,"т02бд"}</definedName>
    <definedName name="vvvv" localSheetId="12" hidden="1">{#N/A,#N/A,FALSE,"т02бд"}</definedName>
    <definedName name="vvvv" localSheetId="18" hidden="1">{#N/A,#N/A,FALSE,"т02бд"}</definedName>
    <definedName name="vvvv" localSheetId="19" hidden="1">{#N/A,#N/A,FALSE,"т02бд"}</definedName>
    <definedName name="vvvv" hidden="1">{#N/A,#N/A,FALSE,"т02бд"}</definedName>
    <definedName name="w" localSheetId="31" hidden="1">{"'előző év december'!$A$2:$CP$214"}</definedName>
    <definedName name="w" localSheetId="32" hidden="1">{"'előző év december'!$A$2:$CP$214"}</definedName>
    <definedName name="w" localSheetId="11" hidden="1">{"'előző év december'!$A$2:$CP$214"}</definedName>
    <definedName name="w" localSheetId="12" hidden="1">{"'előző év december'!$A$2:$CP$214"}</definedName>
    <definedName name="w" localSheetId="18" hidden="1">{"'előző év december'!$A$2:$CP$214"}</definedName>
    <definedName name="w" localSheetId="19" hidden="1">{"'előző év december'!$A$2:$CP$214"}</definedName>
    <definedName name="w" hidden="1">{"'előző év december'!$A$2:$CP$214"}</definedName>
    <definedName name="we" localSheetId="31" hidden="1">{"'előző év december'!$A$2:$CP$214"}</definedName>
    <definedName name="we" localSheetId="32" hidden="1">{"'előző év december'!$A$2:$CP$214"}</definedName>
    <definedName name="we" localSheetId="11" hidden="1">{"'előző év december'!$A$2:$CP$214"}</definedName>
    <definedName name="we" localSheetId="12" hidden="1">{"'előző év december'!$A$2:$CP$214"}</definedName>
    <definedName name="we" localSheetId="18" hidden="1">{"'előző év december'!$A$2:$CP$214"}</definedName>
    <definedName name="we" localSheetId="19" hidden="1">{"'előző év december'!$A$2:$CP$214"}</definedName>
    <definedName name="we" hidden="1">{"'előző év december'!$A$2:$CP$214"}</definedName>
    <definedName name="wee" localSheetId="31" hidden="1">{"'előző év december'!$A$2:$CP$214"}</definedName>
    <definedName name="wee" localSheetId="32" hidden="1">{"'előző év december'!$A$2:$CP$214"}</definedName>
    <definedName name="wee" localSheetId="11" hidden="1">{"'előző év december'!$A$2:$CP$214"}</definedName>
    <definedName name="wee" localSheetId="12" hidden="1">{"'előző év december'!$A$2:$CP$214"}</definedName>
    <definedName name="wee" localSheetId="18" hidden="1">{"'előző év december'!$A$2:$CP$214"}</definedName>
    <definedName name="wee" localSheetId="19" hidden="1">{"'előző év december'!$A$2:$CP$214"}</definedName>
    <definedName name="wee" hidden="1">{"'előző év december'!$A$2:$CP$214"}</definedName>
    <definedName name="werwe" localSheetId="31" hidden="1">{"'előző év december'!$A$2:$CP$214"}</definedName>
    <definedName name="werwe" localSheetId="32" hidden="1">{"'előző év december'!$A$2:$CP$214"}</definedName>
    <definedName name="werwe" localSheetId="11" hidden="1">{"'előző év december'!$A$2:$CP$214"}</definedName>
    <definedName name="werwe" localSheetId="12" hidden="1">{"'előző év december'!$A$2:$CP$214"}</definedName>
    <definedName name="werwe" localSheetId="18" hidden="1">{"'előző év december'!$A$2:$CP$214"}</definedName>
    <definedName name="werwe" localSheetId="19" hidden="1">{"'előző év december'!$A$2:$CP$214"}</definedName>
    <definedName name="werwe" hidden="1">{"'előző év december'!$A$2:$CP$214"}</definedName>
    <definedName name="werwer" localSheetId="31" hidden="1">{"'előző év december'!$A$2:$CP$214"}</definedName>
    <definedName name="werwer" localSheetId="32" hidden="1">{"'előző év december'!$A$2:$CP$214"}</definedName>
    <definedName name="werwer" localSheetId="11" hidden="1">{"'előző év december'!$A$2:$CP$214"}</definedName>
    <definedName name="werwer" localSheetId="12" hidden="1">{"'előző év december'!$A$2:$CP$214"}</definedName>
    <definedName name="werwer" localSheetId="18" hidden="1">{"'előző év december'!$A$2:$CP$214"}</definedName>
    <definedName name="werwer" localSheetId="19" hidden="1">{"'előző év december'!$A$2:$CP$214"}</definedName>
    <definedName name="werwer" hidden="1">{"'előző év december'!$A$2:$CP$214"}</definedName>
    <definedName name="WorkArea" localSheetId="24">#REF!</definedName>
    <definedName name="WorkArea" localSheetId="11">#REF!</definedName>
    <definedName name="WorkArea" localSheetId="20">#REF!</definedName>
    <definedName name="WorkArea" localSheetId="23">#REF!</definedName>
    <definedName name="WorkArea" localSheetId="21">#REF!</definedName>
    <definedName name="WorkArea" localSheetId="17">#REF!</definedName>
    <definedName name="WorkArea">#REF!</definedName>
    <definedName name="WR.édition" localSheetId="31" hidden="1">{"résultats",#N/A,FALSE,"résultats SFS";"indicateurs",#N/A,FALSE,"résultats SFS";"commentaires",#N/A,FALSE,"commentaires SFS";"graphiques",#N/A,FALSE,"graphiques SFS"}</definedName>
    <definedName name="WR.édition" localSheetId="32" hidden="1">{"résultats",#N/A,FALSE,"résultats SFS";"indicateurs",#N/A,FALSE,"résultats SFS";"commentaires",#N/A,FALSE,"commentaires SFS";"graphiques",#N/A,FALSE,"graphiques SFS"}</definedName>
    <definedName name="WR.édition" localSheetId="11" hidden="1">{"résultats",#N/A,FALSE,"résultats SFS";"indicateurs",#N/A,FALSE,"résultats SFS";"commentaires",#N/A,FALSE,"commentaires SFS";"graphiques",#N/A,FALSE,"graphiques SFS"}</definedName>
    <definedName name="WR.édition" localSheetId="12" hidden="1">{"résultats",#N/A,FALSE,"résultats SFS";"indicateurs",#N/A,FALSE,"résultats SFS";"commentaires",#N/A,FALSE,"commentaires SFS";"graphiques",#N/A,FALSE,"graphiques SFS"}</definedName>
    <definedName name="WR.édition" localSheetId="18" hidden="1">{"résultats",#N/A,FALSE,"résultats SFS";"indicateurs",#N/A,FALSE,"résultats SFS";"commentaires",#N/A,FALSE,"commentaires SFS";"graphiques",#N/A,FALSE,"graphiques SFS"}</definedName>
    <definedName name="WR.édition" localSheetId="19" hidden="1">{"résultats",#N/A,FALSE,"résultats SFS";"indicateurs",#N/A,FALSE,"résultats SFS";"commentaires",#N/A,FALSE,"commentaires SFS";"graphiques",#N/A,FALSE,"graphiques SFS"}</definedName>
    <definedName name="WR.édition" hidden="1">{"résultats",#N/A,FALSE,"résultats SFS";"indicateurs",#N/A,FALSE,"résultats SFS";"commentaires",#N/A,FALSE,"commentaires SFS";"graphiques",#N/A,FALSE,"graphiques SFS"}</definedName>
    <definedName name="wrn.04." localSheetId="31" hidden="1">{#N/A,#N/A,FALSE,"т02бд"}</definedName>
    <definedName name="wrn.04." localSheetId="32" hidden="1">{#N/A,#N/A,FALSE,"т02бд"}</definedName>
    <definedName name="wrn.04." localSheetId="11" hidden="1">{#N/A,#N/A,FALSE,"т02бд"}</definedName>
    <definedName name="wrn.04." localSheetId="12" hidden="1">{#N/A,#N/A,FALSE,"т02бд"}</definedName>
    <definedName name="wrn.04." localSheetId="18" hidden="1">{#N/A,#N/A,FALSE,"т02бд"}</definedName>
    <definedName name="wrn.04." localSheetId="19" hidden="1">{#N/A,#N/A,FALSE,"т02бд"}</definedName>
    <definedName name="wrn.04." hidden="1">{#N/A,#N/A,FALSE,"т02бд"}</definedName>
    <definedName name="wrn.05" localSheetId="31" hidden="1">{#N/A,#N/A,FALSE,"т02бд"}</definedName>
    <definedName name="wrn.05" localSheetId="32" hidden="1">{#N/A,#N/A,FALSE,"т02бд"}</definedName>
    <definedName name="wrn.05" localSheetId="11" hidden="1">{#N/A,#N/A,FALSE,"т02бд"}</definedName>
    <definedName name="wrn.05" localSheetId="12" hidden="1">{#N/A,#N/A,FALSE,"т02бд"}</definedName>
    <definedName name="wrn.05" localSheetId="18" hidden="1">{#N/A,#N/A,FALSE,"т02бд"}</definedName>
    <definedName name="wrn.05" localSheetId="19" hidden="1">{#N/A,#N/A,FALSE,"т02бд"}</definedName>
    <definedName name="wrn.05" hidden="1">{#N/A,#N/A,FALSE,"т02бд"}</definedName>
    <definedName name="wrn.Book" localSheetId="31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wrn.Book" localSheetId="32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wrn.Book" localSheetId="11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wrn.Book" localSheetId="12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wrn.Book" localSheetId="18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wrn.Book" localSheetId="19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wrn.Book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wrn.Book._.Forecast." localSheetId="31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wrn.Book._.Forecast." localSheetId="32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wrn.Book._.Forecast." localSheetId="11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wrn.Book._.Forecast." localSheetId="12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wrn.Book._.Forecast." localSheetId="18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wrn.Book._.Forecast." localSheetId="19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wrn.Book._.Forecast." hidden="1">{"titre",#N/A,TRUE,"Titre";"Synthèse",#N/A,TRUE,"Titre";"Synthèse Europe",#N/A,TRUE,"Titre";"Synthèse Amériques",#N/A,TRUE,"Titre";"Synthèse Asie + Total",#N/A,TRUE,"Titre";"budget Europe",#N/A,TRUE,"Titre";"budget Ameriques",#N/A,TRUE,"Titre";"budget Asie + Total",#N/A,TRUE,"Titre";"Couts Europe",#N/A,TRUE,"Titre";"Couts Ameriques",#N/A,TRUE,"Titre";"Ratio Europe",#N/A,TRUE,"Titre";"Couts Asie + Total",#N/A,TRUE,"Titre";"Ratio Ameriques",#N/A,TRUE,"Titre";"Ratio Asie + Total",#N/A,TRUE,"Titre";"CWA Europe",#N/A,TRUE,"Titre";"CWA Ameriques",#N/A,TRUE,"Titre";"CWA Asie + Total",#N/A,TRUE,"Titre";"provision",#N/A,TRUE,"Titre";"ROPE_RONE",#N/A,TRUE,"Titre";"Headcount",#N/A,TRUE,"Titre";"X-selling",#N/A,TRUE,"Titre"}</definedName>
    <definedName name="wrn.BOP_MIDTERM." localSheetId="31" hidden="1">{"BOP_TAB",#N/A,FALSE,"N";"MIDTERM_TAB",#N/A,FALSE,"O"}</definedName>
    <definedName name="wrn.BOP_MIDTERM." localSheetId="32" hidden="1">{"BOP_TAB",#N/A,FALSE,"N";"MIDTERM_TAB",#N/A,FALSE,"O"}</definedName>
    <definedName name="wrn.BOP_MIDTERM." localSheetId="11" hidden="1">{"BOP_TAB",#N/A,FALSE,"N";"MIDTERM_TAB",#N/A,FALSE,"O"}</definedName>
    <definedName name="wrn.BOP_MIDTERM." localSheetId="12" hidden="1">{"BOP_TAB",#N/A,FALSE,"N";"MIDTERM_TAB",#N/A,FALSE,"O"}</definedName>
    <definedName name="wrn.BOP_MIDTERM." localSheetId="18" hidden="1">{"BOP_TAB",#N/A,FALSE,"N";"MIDTERM_TAB",#N/A,FALSE,"O"}</definedName>
    <definedName name="wrn.BOP_MIDTERM." localSheetId="19" hidden="1">{"BOP_TAB",#N/A,FALSE,"N";"MIDTERM_TAB",#N/A,FALSE,"O"}</definedName>
    <definedName name="wrn.BOP_MIDTERM." hidden="1">{"BOP_TAB",#N/A,FALSE,"N";"MIDTERM_TAB",#N/A,FALSE,"O"}</definedName>
    <definedName name="wrn.cadran." localSheetId="31" hidden="1">{"cadran",#N/A,FALSE,"résultats BFI"}</definedName>
    <definedName name="wrn.cadran." localSheetId="32" hidden="1">{"cadran",#N/A,FALSE,"résultats BFI"}</definedName>
    <definedName name="wrn.cadran." localSheetId="11" hidden="1">{"cadran",#N/A,FALSE,"résultats BFI"}</definedName>
    <definedName name="wrn.cadran." localSheetId="12" hidden="1">{"cadran",#N/A,FALSE,"résultats BFI"}</definedName>
    <definedName name="wrn.cadran." localSheetId="18" hidden="1">{"cadran",#N/A,FALSE,"résultats BFI"}</definedName>
    <definedName name="wrn.cadran." localSheetId="19" hidden="1">{"cadran",#N/A,FALSE,"résultats BFI"}</definedName>
    <definedName name="wrn.cadran." hidden="1">{"cadran",#N/A,FALSE,"résultats BFI"}</definedName>
    <definedName name="wrn.combfi." localSheetId="31" hidden="1">{#N/A,#N/A,FALSE,"commentaires BFI"}</definedName>
    <definedName name="wrn.combfi." localSheetId="32" hidden="1">{#N/A,#N/A,FALSE,"commentaires BFI"}</definedName>
    <definedName name="wrn.combfi." localSheetId="11" hidden="1">{#N/A,#N/A,FALSE,"commentaires BFI"}</definedName>
    <definedName name="wrn.combfi." localSheetId="12" hidden="1">{#N/A,#N/A,FALSE,"commentaires BFI"}</definedName>
    <definedName name="wrn.combfi." localSheetId="18" hidden="1">{#N/A,#N/A,FALSE,"commentaires BFI"}</definedName>
    <definedName name="wrn.combfi." localSheetId="19" hidden="1">{#N/A,#N/A,FALSE,"commentaires BFI"}</definedName>
    <definedName name="wrn.combfi." hidden="1">{#N/A,#N/A,FALSE,"commentaires BFI"}</definedName>
    <definedName name="wrn.édition." localSheetId="31" hidden="1">{"résultats",#N/A,FALSE,"résultats SFS";"indicateurs",#N/A,FALSE,"résultats SFS";"commentaires",#N/A,FALSE,"commentaires SFS";"graphiques",#N/A,FALSE,"graphiques SFS"}</definedName>
    <definedName name="wrn.édition." localSheetId="32" hidden="1">{"résultats",#N/A,FALSE,"résultats SFS";"indicateurs",#N/A,FALSE,"résultats SFS";"commentaires",#N/A,FALSE,"commentaires SFS";"graphiques",#N/A,FALSE,"graphiques SFS"}</definedName>
    <definedName name="wrn.édition." localSheetId="11" hidden="1">{"résultats",#N/A,FALSE,"résultats SFS";"indicateurs",#N/A,FALSE,"résultats SFS";"commentaires",#N/A,FALSE,"commentaires SFS";"graphiques",#N/A,FALSE,"graphiques SFS"}</definedName>
    <definedName name="wrn.édition." localSheetId="12" hidden="1">{"résultats",#N/A,FALSE,"résultats SFS";"indicateurs",#N/A,FALSE,"résultats SFS";"commentaires",#N/A,FALSE,"commentaires SFS";"graphiques",#N/A,FALSE,"graphiques SFS"}</definedName>
    <definedName name="wrn.édition." localSheetId="18" hidden="1">{"résultats",#N/A,FALSE,"résultats SFS";"indicateurs",#N/A,FALSE,"résultats SFS";"commentaires",#N/A,FALSE,"commentaires SFS";"graphiques",#N/A,FALSE,"graphiques SFS"}</definedName>
    <definedName name="wrn.édition." localSheetId="19" hidden="1">{"résultats",#N/A,FALSE,"résultats SFS";"indicateurs",#N/A,FALSE,"résultats SFS";"commentaires",#N/A,FALSE,"commentaires SFS";"graphiques",#N/A,FALSE,"graphiques SFS"}</definedName>
    <definedName name="wrn.édition." hidden="1">{"résultats",#N/A,FALSE,"résultats SFS";"indicateurs",#N/A,FALSE,"résultats SFS";"commentaires",#N/A,FALSE,"commentaires SFS";"graphiques",#N/A,FALSE,"graphiques SFS"}</definedName>
    <definedName name="wrn.ex." localSheetId="31" hidden="1">{#N/A,#N/A,FALSE,"NBU rates 1999"}</definedName>
    <definedName name="wrn.ex." localSheetId="32" hidden="1">{#N/A,#N/A,FALSE,"NBU rates 1999"}</definedName>
    <definedName name="wrn.ex." localSheetId="11" hidden="1">{#N/A,#N/A,FALSE,"NBU rates 1999"}</definedName>
    <definedName name="wrn.ex." localSheetId="12" hidden="1">{#N/A,#N/A,FALSE,"NBU rates 1999"}</definedName>
    <definedName name="wrn.ex." localSheetId="18" hidden="1">{#N/A,#N/A,FALSE,"NBU rates 1999"}</definedName>
    <definedName name="wrn.ex." localSheetId="19" hidden="1">{#N/A,#N/A,FALSE,"NBU rates 1999"}</definedName>
    <definedName name="wrn.ex." hidden="1">{#N/A,#N/A,FALSE,"NBU rates 1999"}</definedName>
    <definedName name="wrn.ex._2" localSheetId="31" hidden="1">{#N/A,#N/A,FALSE,"NBU rates 1999"}</definedName>
    <definedName name="wrn.ex._2" localSheetId="32" hidden="1">{#N/A,#N/A,FALSE,"NBU rates 1999"}</definedName>
    <definedName name="wrn.ex._2" localSheetId="11" hidden="1">{#N/A,#N/A,FALSE,"NBU rates 1999"}</definedName>
    <definedName name="wrn.ex._2" localSheetId="12" hidden="1">{#N/A,#N/A,FALSE,"NBU rates 1999"}</definedName>
    <definedName name="wrn.ex._2" localSheetId="18" hidden="1">{#N/A,#N/A,FALSE,"NBU rates 1999"}</definedName>
    <definedName name="wrn.ex._2" localSheetId="19" hidden="1">{#N/A,#N/A,FALSE,"NBU rates 1999"}</definedName>
    <definedName name="wrn.ex._2" hidden="1">{#N/A,#N/A,FALSE,"NBU rates 1999"}</definedName>
    <definedName name="wrn.ex._3" localSheetId="31" hidden="1">{#N/A,#N/A,FALSE,"NBU rates 1999"}</definedName>
    <definedName name="wrn.ex._3" localSheetId="32" hidden="1">{#N/A,#N/A,FALSE,"NBU rates 1999"}</definedName>
    <definedName name="wrn.ex._3" localSheetId="11" hidden="1">{#N/A,#N/A,FALSE,"NBU rates 1999"}</definedName>
    <definedName name="wrn.ex._3" localSheetId="12" hidden="1">{#N/A,#N/A,FALSE,"NBU rates 1999"}</definedName>
    <definedName name="wrn.ex._3" localSheetId="18" hidden="1">{#N/A,#N/A,FALSE,"NBU rates 1999"}</definedName>
    <definedName name="wrn.ex._3" localSheetId="19" hidden="1">{#N/A,#N/A,FALSE,"NBU rates 1999"}</definedName>
    <definedName name="wrn.ex._3" hidden="1">{#N/A,#N/A,FALSE,"NBU rates 1999"}</definedName>
    <definedName name="wrn.ex._4" localSheetId="31" hidden="1">{#N/A,#N/A,FALSE,"NBU rates 1999"}</definedName>
    <definedName name="wrn.ex._4" localSheetId="32" hidden="1">{#N/A,#N/A,FALSE,"NBU rates 1999"}</definedName>
    <definedName name="wrn.ex._4" localSheetId="11" hidden="1">{#N/A,#N/A,FALSE,"NBU rates 1999"}</definedName>
    <definedName name="wrn.ex._4" localSheetId="12" hidden="1">{#N/A,#N/A,FALSE,"NBU rates 1999"}</definedName>
    <definedName name="wrn.ex._4" localSheetId="18" hidden="1">{#N/A,#N/A,FALSE,"NBU rates 1999"}</definedName>
    <definedName name="wrn.ex._4" localSheetId="19" hidden="1">{#N/A,#N/A,FALSE,"NBU rates 1999"}</definedName>
    <definedName name="wrn.ex._4" hidden="1">{#N/A,#N/A,FALSE,"NBU rates 1999"}</definedName>
    <definedName name="wrn.Input._.and._.output._.tables." localSheetId="31" hidden="1">{#N/A,#N/A,FALSE,"SimInp1";#N/A,#N/A,FALSE,"SimInp2";#N/A,#N/A,FALSE,"SimOut1";#N/A,#N/A,FALSE,"SimOut2";#N/A,#N/A,FALSE,"SimOut3";#N/A,#N/A,FALSE,"SimOut4";#N/A,#N/A,FALSE,"SimOut5"}</definedName>
    <definedName name="wrn.Input._.and._.output._.tables." localSheetId="32" hidden="1">{#N/A,#N/A,FALSE,"SimInp1";#N/A,#N/A,FALSE,"SimInp2";#N/A,#N/A,FALSE,"SimOut1";#N/A,#N/A,FALSE,"SimOut2";#N/A,#N/A,FALSE,"SimOut3";#N/A,#N/A,FALSE,"SimOut4";#N/A,#N/A,FALSE,"SimOut5"}</definedName>
    <definedName name="wrn.Input._.and._.output._.tables." localSheetId="11" hidden="1">{#N/A,#N/A,FALSE,"SimInp1";#N/A,#N/A,FALSE,"SimInp2";#N/A,#N/A,FALSE,"SimOut1";#N/A,#N/A,FALSE,"SimOut2";#N/A,#N/A,FALSE,"SimOut3";#N/A,#N/A,FALSE,"SimOut4";#N/A,#N/A,FALSE,"SimOut5"}</definedName>
    <definedName name="wrn.Input._.and._.output._.tables." localSheetId="12" hidden="1">{#N/A,#N/A,FALSE,"SimInp1";#N/A,#N/A,FALSE,"SimInp2";#N/A,#N/A,FALSE,"SimOut1";#N/A,#N/A,FALSE,"SimOut2";#N/A,#N/A,FALSE,"SimOut3";#N/A,#N/A,FALSE,"SimOut4";#N/A,#N/A,FALSE,"SimOut5"}</definedName>
    <definedName name="wrn.Input._.and._.output._.tables." localSheetId="18" hidden="1">{#N/A,#N/A,FALSE,"SimInp1";#N/A,#N/A,FALSE,"SimInp2";#N/A,#N/A,FALSE,"SimOut1";#N/A,#N/A,FALSE,"SimOut2";#N/A,#N/A,FALSE,"SimOut3";#N/A,#N/A,FALSE,"SimOut4";#N/A,#N/A,FALSE,"SimOut5"}</definedName>
    <definedName name="wrn.Input._.and._.output._.tables." localSheetId="19" hidden="1">{#N/A,#N/A,FALSE,"SimInp1";#N/A,#N/A,FALSE,"SimInp2";#N/A,#N/A,FALSE,"SimOut1";#N/A,#N/A,FALSE,"SimOut2";#N/A,#N/A,FALSE,"SimOut3";#N/A,#N/A,FALSE,"SimOut4";#N/A,#N/A,FALSE,"SimOut5"}</definedName>
    <definedName name="wrn.Input._.and._.output._.tables." hidden="1">{#N/A,#N/A,FALSE,"SimInp1";#N/A,#N/A,FALSE,"SimInp2";#N/A,#N/A,FALSE,"SimOut1";#N/A,#N/A,FALSE,"SimOut2";#N/A,#N/A,FALSE,"SimOut3";#N/A,#N/A,FALSE,"SimOut4";#N/A,#N/A,FALSE,"SimOut5"}</definedName>
    <definedName name="wrn.MDABOP." localSheetId="31" hidden="1">{"BOP_TAB",#N/A,FALSE,"N";"MIDTERM_TAB",#N/A,FALSE,"O";"FUND_CRED",#N/A,FALSE,"P";"DEBT_TAB1",#N/A,FALSE,"Q";"DEBT_TAB2",#N/A,FALSE,"Q";"FORFIN_TAB1",#N/A,FALSE,"R";"FORFIN_TAB2",#N/A,FALSE,"R";"BOP_ANALY",#N/A,FALSE,"U"}</definedName>
    <definedName name="wrn.MDABOP." localSheetId="32" hidden="1">{"BOP_TAB",#N/A,FALSE,"N";"MIDTERM_TAB",#N/A,FALSE,"O";"FUND_CRED",#N/A,FALSE,"P";"DEBT_TAB1",#N/A,FALSE,"Q";"DEBT_TAB2",#N/A,FALSE,"Q";"FORFIN_TAB1",#N/A,FALSE,"R";"FORFIN_TAB2",#N/A,FALSE,"R";"BOP_ANALY",#N/A,FALSE,"U"}</definedName>
    <definedName name="wrn.MDABOP." localSheetId="11" hidden="1">{"BOP_TAB",#N/A,FALSE,"N";"MIDTERM_TAB",#N/A,FALSE,"O";"FUND_CRED",#N/A,FALSE,"P";"DEBT_TAB1",#N/A,FALSE,"Q";"DEBT_TAB2",#N/A,FALSE,"Q";"FORFIN_TAB1",#N/A,FALSE,"R";"FORFIN_TAB2",#N/A,FALSE,"R";"BOP_ANALY",#N/A,FALSE,"U"}</definedName>
    <definedName name="wrn.MDABOP." localSheetId="12" hidden="1">{"BOP_TAB",#N/A,FALSE,"N";"MIDTERM_TAB",#N/A,FALSE,"O";"FUND_CRED",#N/A,FALSE,"P";"DEBT_TAB1",#N/A,FALSE,"Q";"DEBT_TAB2",#N/A,FALSE,"Q";"FORFIN_TAB1",#N/A,FALSE,"R";"FORFIN_TAB2",#N/A,FALSE,"R";"BOP_ANALY",#N/A,FALSE,"U"}</definedName>
    <definedName name="wrn.MDABOP." localSheetId="18" hidden="1">{"BOP_TAB",#N/A,FALSE,"N";"MIDTERM_TAB",#N/A,FALSE,"O";"FUND_CRED",#N/A,FALSE,"P";"DEBT_TAB1",#N/A,FALSE,"Q";"DEBT_TAB2",#N/A,FALSE,"Q";"FORFIN_TAB1",#N/A,FALSE,"R";"FORFIN_TAB2",#N/A,FALSE,"R";"BOP_ANALY",#N/A,FALSE,"U"}</definedName>
    <definedName name="wrn.MDABOP." localSheetId="19" hidden="1">{"BOP_TAB",#N/A,FALSE,"N";"MIDTERM_TAB",#N/A,FALSE,"O";"FUND_CRED",#N/A,FALSE,"P";"DEBT_TAB1",#N/A,FALSE,"Q";"DEBT_TAB2",#N/A,FALSE,"Q";"FORFIN_TAB1",#N/A,FALSE,"R";"FORFIN_TAB2",#N/A,FALSE,"R";"BOP_ANALY",#N/A,FALSE,"U"}</definedName>
    <definedName name="wrn.MDABOP." hidden="1">{"BOP_TAB",#N/A,FALSE,"N";"MIDTERM_TAB",#N/A,FALSE,"O";"FUND_CRED",#N/A,FALSE,"P";"DEBT_TAB1",#N/A,FALSE,"Q";"DEBT_TAB2",#N/A,FALSE,"Q";"FORFIN_TAB1",#N/A,FALSE,"R";"FORFIN_TAB2",#N/A,FALSE,"R";"BOP_ANALY",#N/A,FALSE,"U"}</definedName>
    <definedName name="wrn.MONA." localSheetId="31" hidden="1">{"MONA",#N/A,FALSE,"S"}</definedName>
    <definedName name="wrn.MONA." localSheetId="32" hidden="1">{"MONA",#N/A,FALSE,"S"}</definedName>
    <definedName name="wrn.MONA." localSheetId="11" hidden="1">{"MONA",#N/A,FALSE,"S"}</definedName>
    <definedName name="wrn.MONA." localSheetId="12" hidden="1">{"MONA",#N/A,FALSE,"S"}</definedName>
    <definedName name="wrn.MONA." localSheetId="18" hidden="1">{"MONA",#N/A,FALSE,"S"}</definedName>
    <definedName name="wrn.MONA." localSheetId="19" hidden="1">{"MONA",#N/A,FALSE,"S"}</definedName>
    <definedName name="wrn.MONA." hidden="1">{"MONA",#N/A,FALSE,"S"}</definedName>
    <definedName name="wrn.Output._.tables." localSheetId="31" hidden="1">{#N/A,#N/A,FALSE,"I";#N/A,#N/A,FALSE,"J";#N/A,#N/A,FALSE,"K";#N/A,#N/A,FALSE,"L";#N/A,#N/A,FALSE,"M";#N/A,#N/A,FALSE,"N";#N/A,#N/A,FALSE,"O"}</definedName>
    <definedName name="wrn.Output._.tables." localSheetId="32" hidden="1">{#N/A,#N/A,FALSE,"I";#N/A,#N/A,FALSE,"J";#N/A,#N/A,FALSE,"K";#N/A,#N/A,FALSE,"L";#N/A,#N/A,FALSE,"M";#N/A,#N/A,FALSE,"N";#N/A,#N/A,FALSE,"O"}</definedName>
    <definedName name="wrn.Output._.tables." localSheetId="11" hidden="1">{#N/A,#N/A,FALSE,"I";#N/A,#N/A,FALSE,"J";#N/A,#N/A,FALSE,"K";#N/A,#N/A,FALSE,"L";#N/A,#N/A,FALSE,"M";#N/A,#N/A,FALSE,"N";#N/A,#N/A,FALSE,"O"}</definedName>
    <definedName name="wrn.Output._.tables." localSheetId="12" hidden="1">{#N/A,#N/A,FALSE,"I";#N/A,#N/A,FALSE,"J";#N/A,#N/A,FALSE,"K";#N/A,#N/A,FALSE,"L";#N/A,#N/A,FALSE,"M";#N/A,#N/A,FALSE,"N";#N/A,#N/A,FALSE,"O"}</definedName>
    <definedName name="wrn.Output._.tables." localSheetId="18" hidden="1">{#N/A,#N/A,FALSE,"I";#N/A,#N/A,FALSE,"J";#N/A,#N/A,FALSE,"K";#N/A,#N/A,FALSE,"L";#N/A,#N/A,FALSE,"M";#N/A,#N/A,FALSE,"N";#N/A,#N/A,FALSE,"O"}</definedName>
    <definedName name="wrn.Output._.tables." localSheetId="19" hidden="1">{#N/A,#N/A,FALSE,"I";#N/A,#N/A,FALSE,"J";#N/A,#N/A,FALSE,"K";#N/A,#N/A,FALSE,"L";#N/A,#N/A,FALSE,"M";#N/A,#N/A,FALSE,"N";#N/A,#N/A,FALSE,"O"}</definedName>
    <definedName name="wrn.Output._.tables." hidden="1">{#N/A,#N/A,FALSE,"I";#N/A,#N/A,FALSE,"J";#N/A,#N/A,FALSE,"K";#N/A,#N/A,FALSE,"L";#N/A,#N/A,FALSE,"M";#N/A,#N/A,FALSE,"N";#N/A,#N/A,FALSE,"O"}</definedName>
    <definedName name="wrn.Presentační._.sestava." localSheetId="31" hidden="1">{"Str.1",#N/A,FALSE,"Aktiva";"Str.2",#N/A,FALSE,"Aktiva";"Str.3",#N/A,FALSE,"Aktiva";"Str.4",#N/A,FALSE,"Aktiva";"Str.5",#N/A,FALSE,"Aktiva";"str1",#N/A,FALSE,"Pasíva";"str2",#N/A,FALSE,"Pasíva";"str3",#N/A,FALSE,"Pasíva";"str4",#N/A,FALSE,"Pasíva";#N/A,#N/A,FALSE,"Dopl. k pasívům";"str1",#N/A,FALSE,"Podrozvaha-aktiva";"str2",#N/A,FALSE,"Podrozvaha-aktiva";"str1",#N/A,FALSE,"Podrozvaha-pasíva";"str2",#N/A,FALSE,"Podrozvaha-pasíva";"str3",#N/A,FALSE,"Podrozvaha-pasíva"}</definedName>
    <definedName name="wrn.Presentační._.sestava." localSheetId="32" hidden="1">{"Str.1",#N/A,FALSE,"Aktiva";"Str.2",#N/A,FALSE,"Aktiva";"Str.3",#N/A,FALSE,"Aktiva";"Str.4",#N/A,FALSE,"Aktiva";"Str.5",#N/A,FALSE,"Aktiva";"str1",#N/A,FALSE,"Pasíva";"str2",#N/A,FALSE,"Pasíva";"str3",#N/A,FALSE,"Pasíva";"str4",#N/A,FALSE,"Pasíva";#N/A,#N/A,FALSE,"Dopl. k pasívům";"str1",#N/A,FALSE,"Podrozvaha-aktiva";"str2",#N/A,FALSE,"Podrozvaha-aktiva";"str1",#N/A,FALSE,"Podrozvaha-pasíva";"str2",#N/A,FALSE,"Podrozvaha-pasíva";"str3",#N/A,FALSE,"Podrozvaha-pasíva"}</definedName>
    <definedName name="wrn.Presentační._.sestava." localSheetId="11" hidden="1">{"Str.1",#N/A,FALSE,"Aktiva";"Str.2",#N/A,FALSE,"Aktiva";"Str.3",#N/A,FALSE,"Aktiva";"Str.4",#N/A,FALSE,"Aktiva";"Str.5",#N/A,FALSE,"Aktiva";"str1",#N/A,FALSE,"Pasíva";"str2",#N/A,FALSE,"Pasíva";"str3",#N/A,FALSE,"Pasíva";"str4",#N/A,FALSE,"Pasíva";#N/A,#N/A,FALSE,"Dopl. k pasívům";"str1",#N/A,FALSE,"Podrozvaha-aktiva";"str2",#N/A,FALSE,"Podrozvaha-aktiva";"str1",#N/A,FALSE,"Podrozvaha-pasíva";"str2",#N/A,FALSE,"Podrozvaha-pasíva";"str3",#N/A,FALSE,"Podrozvaha-pasíva"}</definedName>
    <definedName name="wrn.Presentační._.sestava." localSheetId="12" hidden="1">{"Str.1",#N/A,FALSE,"Aktiva";"Str.2",#N/A,FALSE,"Aktiva";"Str.3",#N/A,FALSE,"Aktiva";"Str.4",#N/A,FALSE,"Aktiva";"Str.5",#N/A,FALSE,"Aktiva";"str1",#N/A,FALSE,"Pasíva";"str2",#N/A,FALSE,"Pasíva";"str3",#N/A,FALSE,"Pasíva";"str4",#N/A,FALSE,"Pasíva";#N/A,#N/A,FALSE,"Dopl. k pasívům";"str1",#N/A,FALSE,"Podrozvaha-aktiva";"str2",#N/A,FALSE,"Podrozvaha-aktiva";"str1",#N/A,FALSE,"Podrozvaha-pasíva";"str2",#N/A,FALSE,"Podrozvaha-pasíva";"str3",#N/A,FALSE,"Podrozvaha-pasíva"}</definedName>
    <definedName name="wrn.Presentační._.sestava." localSheetId="18" hidden="1">{"Str.1",#N/A,FALSE,"Aktiva";"Str.2",#N/A,FALSE,"Aktiva";"Str.3",#N/A,FALSE,"Aktiva";"Str.4",#N/A,FALSE,"Aktiva";"Str.5",#N/A,FALSE,"Aktiva";"str1",#N/A,FALSE,"Pasíva";"str2",#N/A,FALSE,"Pasíva";"str3",#N/A,FALSE,"Pasíva";"str4",#N/A,FALSE,"Pasíva";#N/A,#N/A,FALSE,"Dopl. k pasívům";"str1",#N/A,FALSE,"Podrozvaha-aktiva";"str2",#N/A,FALSE,"Podrozvaha-aktiva";"str1",#N/A,FALSE,"Podrozvaha-pasíva";"str2",#N/A,FALSE,"Podrozvaha-pasíva";"str3",#N/A,FALSE,"Podrozvaha-pasíva"}</definedName>
    <definedName name="wrn.Presentační._.sestava." localSheetId="19" hidden="1">{"Str.1",#N/A,FALSE,"Aktiva";"Str.2",#N/A,FALSE,"Aktiva";"Str.3",#N/A,FALSE,"Aktiva";"Str.4",#N/A,FALSE,"Aktiva";"Str.5",#N/A,FALSE,"Aktiva";"str1",#N/A,FALSE,"Pasíva";"str2",#N/A,FALSE,"Pasíva";"str3",#N/A,FALSE,"Pasíva";"str4",#N/A,FALSE,"Pasíva";#N/A,#N/A,FALSE,"Dopl. k pasívům";"str1",#N/A,FALSE,"Podrozvaha-aktiva";"str2",#N/A,FALSE,"Podrozvaha-aktiva";"str1",#N/A,FALSE,"Podrozvaha-pasíva";"str2",#N/A,FALSE,"Podrozvaha-pasíva";"str3",#N/A,FALSE,"Podrozvaha-pasíva"}</definedName>
    <definedName name="wrn.Presentační._.sestava." hidden="1">{"Str.1",#N/A,FALSE,"Aktiva";"Str.2",#N/A,FALSE,"Aktiva";"Str.3",#N/A,FALSE,"Aktiva";"Str.4",#N/A,FALSE,"Aktiva";"Str.5",#N/A,FALSE,"Aktiva";"str1",#N/A,FALSE,"Pasíva";"str2",#N/A,FALSE,"Pasíva";"str3",#N/A,FALSE,"Pasíva";"str4",#N/A,FALSE,"Pasíva";#N/A,#N/A,FALSE,"Dopl. k pasívům";"str1",#N/A,FALSE,"Podrozvaha-aktiva";"str2",#N/A,FALSE,"Podrozvaha-aktiva";"str1",#N/A,FALSE,"Podrozvaha-pasíva";"str2",#N/A,FALSE,"Podrozvaha-pasíva";"str3",#N/A,FALSE,"Podrozvaha-pasíva"}</definedName>
    <definedName name="wrn.RISIFE40." localSheetId="31" hidden="1">{"ris40_10_01",#N/A,TRUE,"RIS40_10";"ris40_10_02",#N/A,TRUE,"RIS40_10";"ris40_20_01",#N/A,TRUE,"RIS40_20";"ris40_20_02",#N/A,TRUE,"RIS40_20";"ris40_20_03",#N/A,TRUE,"RIS40_20";"ris40_30_01",#N/A,TRUE,"RIS40_30";"ris40_30_02",#N/A,TRUE,"RIS40_30"}</definedName>
    <definedName name="wrn.RISIFE40." localSheetId="32" hidden="1">{"ris40_10_01",#N/A,TRUE,"RIS40_10";"ris40_10_02",#N/A,TRUE,"RIS40_10";"ris40_20_01",#N/A,TRUE,"RIS40_20";"ris40_20_02",#N/A,TRUE,"RIS40_20";"ris40_20_03",#N/A,TRUE,"RIS40_20";"ris40_30_01",#N/A,TRUE,"RIS40_30";"ris40_30_02",#N/A,TRUE,"RIS40_30"}</definedName>
    <definedName name="wrn.RISIFE40." localSheetId="11" hidden="1">{"ris40_10_01",#N/A,TRUE,"RIS40_10";"ris40_10_02",#N/A,TRUE,"RIS40_10";"ris40_20_01",#N/A,TRUE,"RIS40_20";"ris40_20_02",#N/A,TRUE,"RIS40_20";"ris40_20_03",#N/A,TRUE,"RIS40_20";"ris40_30_01",#N/A,TRUE,"RIS40_30";"ris40_30_02",#N/A,TRUE,"RIS40_30"}</definedName>
    <definedName name="wrn.RISIFE40." localSheetId="12" hidden="1">{"ris40_10_01",#N/A,TRUE,"RIS40_10";"ris40_10_02",#N/A,TRUE,"RIS40_10";"ris40_20_01",#N/A,TRUE,"RIS40_20";"ris40_20_02",#N/A,TRUE,"RIS40_20";"ris40_20_03",#N/A,TRUE,"RIS40_20";"ris40_30_01",#N/A,TRUE,"RIS40_30";"ris40_30_02",#N/A,TRUE,"RIS40_30"}</definedName>
    <definedName name="wrn.RISIFE40." localSheetId="18" hidden="1">{"ris40_10_01",#N/A,TRUE,"RIS40_10";"ris40_10_02",#N/A,TRUE,"RIS40_10";"ris40_20_01",#N/A,TRUE,"RIS40_20";"ris40_20_02",#N/A,TRUE,"RIS40_20";"ris40_20_03",#N/A,TRUE,"RIS40_20";"ris40_30_01",#N/A,TRUE,"RIS40_30";"ris40_30_02",#N/A,TRUE,"RIS40_30"}</definedName>
    <definedName name="wrn.RISIFE40." localSheetId="19" hidden="1">{"ris40_10_01",#N/A,TRUE,"RIS40_10";"ris40_10_02",#N/A,TRUE,"RIS40_10";"ris40_20_01",#N/A,TRUE,"RIS40_20";"ris40_20_02",#N/A,TRUE,"RIS40_20";"ris40_20_03",#N/A,TRUE,"RIS40_20";"ris40_30_01",#N/A,TRUE,"RIS40_30";"ris40_30_02",#N/A,TRUE,"RIS40_30"}</definedName>
    <definedName name="wrn.RISIFE40." hidden="1">{"ris40_10_01",#N/A,TRUE,"RIS40_10";"ris40_10_02",#N/A,TRUE,"RIS40_10";"ris40_20_01",#N/A,TRUE,"RIS40_20";"ris40_20_02",#N/A,TRUE,"RIS40_20";"ris40_20_03",#N/A,TRUE,"RIS40_20";"ris40_30_01",#N/A,TRUE,"RIS40_30";"ris40_30_02",#N/A,TRUE,"RIS40_30"}</definedName>
    <definedName name="wrn.Tab02." localSheetId="31" hidden="1">{#N/A,#N/A,TRUE,"Tab0201";#N/A,#N/A,TRUE,"Tab0202";#N/A,#N/A,TRUE,"Tab0203"}</definedName>
    <definedName name="wrn.Tab02." localSheetId="32" hidden="1">{#N/A,#N/A,TRUE,"Tab0201";#N/A,#N/A,TRUE,"Tab0202";#N/A,#N/A,TRUE,"Tab0203"}</definedName>
    <definedName name="wrn.Tab02." localSheetId="11" hidden="1">{#N/A,#N/A,TRUE,"Tab0201";#N/A,#N/A,TRUE,"Tab0202";#N/A,#N/A,TRUE,"Tab0203"}</definedName>
    <definedName name="wrn.Tab02." localSheetId="12" hidden="1">{#N/A,#N/A,TRUE,"Tab0201";#N/A,#N/A,TRUE,"Tab0202";#N/A,#N/A,TRUE,"Tab0203"}</definedName>
    <definedName name="wrn.Tab02." localSheetId="18" hidden="1">{#N/A,#N/A,TRUE,"Tab0201";#N/A,#N/A,TRUE,"Tab0202";#N/A,#N/A,TRUE,"Tab0203"}</definedName>
    <definedName name="wrn.Tab02." localSheetId="19" hidden="1">{#N/A,#N/A,TRUE,"Tab0201";#N/A,#N/A,TRUE,"Tab0202";#N/A,#N/A,TRUE,"Tab0203"}</definedName>
    <definedName name="wrn.Tab02." hidden="1">{#N/A,#N/A,TRUE,"Tab0201";#N/A,#N/A,TRUE,"Tab0202";#N/A,#N/A,TRUE,"Tab0203"}</definedName>
    <definedName name="wrn.tab05." localSheetId="31" hidden="1">{#N/A,#N/A,FALSE,"Tab0501";#N/A,#N/A,FALSE,"Tab0502";#N/A,#N/A,FALSE,"Tab0503";#N/A,#N/A,FALSE,"Tab0504";#N/A,#N/A,FALSE,"Tab0505"}</definedName>
    <definedName name="wrn.tab05." localSheetId="32" hidden="1">{#N/A,#N/A,FALSE,"Tab0501";#N/A,#N/A,FALSE,"Tab0502";#N/A,#N/A,FALSE,"Tab0503";#N/A,#N/A,FALSE,"Tab0504";#N/A,#N/A,FALSE,"Tab0505"}</definedName>
    <definedName name="wrn.tab05." localSheetId="11" hidden="1">{#N/A,#N/A,FALSE,"Tab0501";#N/A,#N/A,FALSE,"Tab0502";#N/A,#N/A,FALSE,"Tab0503";#N/A,#N/A,FALSE,"Tab0504";#N/A,#N/A,FALSE,"Tab0505"}</definedName>
    <definedName name="wrn.tab05." localSheetId="12" hidden="1">{#N/A,#N/A,FALSE,"Tab0501";#N/A,#N/A,FALSE,"Tab0502";#N/A,#N/A,FALSE,"Tab0503";#N/A,#N/A,FALSE,"Tab0504";#N/A,#N/A,FALSE,"Tab0505"}</definedName>
    <definedName name="wrn.tab05." localSheetId="18" hidden="1">{#N/A,#N/A,FALSE,"Tab0501";#N/A,#N/A,FALSE,"Tab0502";#N/A,#N/A,FALSE,"Tab0503";#N/A,#N/A,FALSE,"Tab0504";#N/A,#N/A,FALSE,"Tab0505"}</definedName>
    <definedName name="wrn.tab05." localSheetId="19" hidden="1">{#N/A,#N/A,FALSE,"Tab0501";#N/A,#N/A,FALSE,"Tab0502";#N/A,#N/A,FALSE,"Tab0503";#N/A,#N/A,FALSE,"Tab0504";#N/A,#N/A,FALSE,"Tab0505"}</definedName>
    <definedName name="wrn.tab05." hidden="1">{#N/A,#N/A,FALSE,"Tab0501";#N/A,#N/A,FALSE,"Tab0502";#N/A,#N/A,FALSE,"Tab0503";#N/A,#N/A,FALSE,"Tab0504";#N/A,#N/A,FALSE,"Tab0505"}</definedName>
    <definedName name="wrn.WEO." localSheetId="31" hidden="1">{"WEO",#N/A,FALSE,"T"}</definedName>
    <definedName name="wrn.WEO." localSheetId="32" hidden="1">{"WEO",#N/A,FALSE,"T"}</definedName>
    <definedName name="wrn.WEO." localSheetId="11" hidden="1">{"WEO",#N/A,FALSE,"T"}</definedName>
    <definedName name="wrn.WEO." localSheetId="12" hidden="1">{"WEO",#N/A,FALSE,"T"}</definedName>
    <definedName name="wrn.WEO." localSheetId="18" hidden="1">{"WEO",#N/A,FALSE,"T"}</definedName>
    <definedName name="wrn.WEO." localSheetId="19" hidden="1">{"WEO",#N/A,FALSE,"T"}</definedName>
    <definedName name="wrn.WEO." hidden="1">{"WEO",#N/A,FALSE,"T"}</definedName>
    <definedName name="wrn.д02." localSheetId="31" hidden="1">{#N/A,#N/A,FALSE,"т02бд"}</definedName>
    <definedName name="wrn.д02." localSheetId="32" hidden="1">{#N/A,#N/A,FALSE,"т02бд"}</definedName>
    <definedName name="wrn.д02." localSheetId="11" hidden="1">{#N/A,#N/A,FALSE,"т02бд"}</definedName>
    <definedName name="wrn.д02." localSheetId="12" hidden="1">{#N/A,#N/A,FALSE,"т02бд"}</definedName>
    <definedName name="wrn.д02." localSheetId="18" hidden="1">{#N/A,#N/A,FALSE,"т02бд"}</definedName>
    <definedName name="wrn.д02." localSheetId="19" hidden="1">{#N/A,#N/A,FALSE,"т02бд"}</definedName>
    <definedName name="wrn.д02." hidden="1">{#N/A,#N/A,FALSE,"т02бд"}</definedName>
    <definedName name="wrn.Інструкція." localSheetId="31" hidden="1">{#N/A,#N/A,FALSE,"Лист4"}</definedName>
    <definedName name="wrn.Інструкція." localSheetId="32" hidden="1">{#N/A,#N/A,FALSE,"Лист4"}</definedName>
    <definedName name="wrn.Інструкція." localSheetId="11" hidden="1">{#N/A,#N/A,FALSE,"Лист4"}</definedName>
    <definedName name="wrn.Інструкція." localSheetId="12" hidden="1">{#N/A,#N/A,FALSE,"Лист4"}</definedName>
    <definedName name="wrn.Інструкція." localSheetId="18" hidden="1">{#N/A,#N/A,FALSE,"Лист4"}</definedName>
    <definedName name="wrn.Інструкція." localSheetId="19" hidden="1">{#N/A,#N/A,FALSE,"Лист4"}</definedName>
    <definedName name="wrn.Інструкція." hidden="1">{#N/A,#N/A,FALSE,"Лист4"}</definedName>
    <definedName name="wrn.т171банки." localSheetId="31" hidden="1">{#N/A,#N/A,FALSE,"т17-1банки (2)"}</definedName>
    <definedName name="wrn.т171банки." localSheetId="32" hidden="1">{#N/A,#N/A,FALSE,"т17-1банки (2)"}</definedName>
    <definedName name="wrn.т171банки." localSheetId="11" hidden="1">{#N/A,#N/A,FALSE,"т17-1банки (2)"}</definedName>
    <definedName name="wrn.т171банки." localSheetId="12" hidden="1">{#N/A,#N/A,FALSE,"т17-1банки (2)"}</definedName>
    <definedName name="wrn.т171банки." localSheetId="18" hidden="1">{#N/A,#N/A,FALSE,"т17-1банки (2)"}</definedName>
    <definedName name="wrn.т171банки." localSheetId="19" hidden="1">{#N/A,#N/A,FALSE,"т17-1банки (2)"}</definedName>
    <definedName name="wrn.т171банки." hidden="1">{#N/A,#N/A,FALSE,"т17-1банки (2)"}</definedName>
    <definedName name="ww" localSheetId="31" hidden="1">{"'előző év december'!$A$2:$CP$214"}</definedName>
    <definedName name="ww" localSheetId="32" hidden="1">{"'előző év december'!$A$2:$CP$214"}</definedName>
    <definedName name="ww" localSheetId="11" hidden="1">{"'előző év december'!$A$2:$CP$214"}</definedName>
    <definedName name="ww" localSheetId="12" hidden="1">{"'előző év december'!$A$2:$CP$214"}</definedName>
    <definedName name="ww" localSheetId="18" hidden="1">{"'előző év december'!$A$2:$CP$214"}</definedName>
    <definedName name="ww" localSheetId="19" hidden="1">{"'előző év december'!$A$2:$CP$214"}</definedName>
    <definedName name="ww" hidden="1">{"'előző év december'!$A$2:$CP$214"}</definedName>
    <definedName name="www">[10]Control!$B$13</definedName>
    <definedName name="wwwwwwwwwwwwwwwwwwwww" localSheetId="31" hidden="1">{"'előző év december'!$A$2:$CP$214"}</definedName>
    <definedName name="wwwwwwwwwwwwwwwwwwwww" localSheetId="32" hidden="1">{"'előző év december'!$A$2:$CP$214"}</definedName>
    <definedName name="wwwwwwwwwwwwwwwwwwwww" localSheetId="11" hidden="1">{"'előző év december'!$A$2:$CP$214"}</definedName>
    <definedName name="wwwwwwwwwwwwwwwwwwwww" localSheetId="12" hidden="1">{"'előző év december'!$A$2:$CP$214"}</definedName>
    <definedName name="wwwwwwwwwwwwwwwwwwwww" localSheetId="18" hidden="1">{"'előző év december'!$A$2:$CP$214"}</definedName>
    <definedName name="wwwwwwwwwwwwwwwwwwwww" localSheetId="19" hidden="1">{"'előző év december'!$A$2:$CP$214"}</definedName>
    <definedName name="wwwwwwwwwwwwwwwwwwwww" hidden="1">{"'előző év december'!$A$2:$CP$214"}</definedName>
    <definedName name="wxw" localSheetId="31" hidden="1">{"résultats",#N/A,FALSE,"résultats SFS";"indicateurs",#N/A,FALSE,"résultats SFS";"commentaires",#N/A,FALSE,"commentaires SFS";"graphiques",#N/A,FALSE,"graphiques SFS"}</definedName>
    <definedName name="wxw" localSheetId="32" hidden="1">{"résultats",#N/A,FALSE,"résultats SFS";"indicateurs",#N/A,FALSE,"résultats SFS";"commentaires",#N/A,FALSE,"commentaires SFS";"graphiques",#N/A,FALSE,"graphiques SFS"}</definedName>
    <definedName name="wxw" localSheetId="11" hidden="1">{"résultats",#N/A,FALSE,"résultats SFS";"indicateurs",#N/A,FALSE,"résultats SFS";"commentaires",#N/A,FALSE,"commentaires SFS";"graphiques",#N/A,FALSE,"graphiques SFS"}</definedName>
    <definedName name="wxw" localSheetId="12" hidden="1">{"résultats",#N/A,FALSE,"résultats SFS";"indicateurs",#N/A,FALSE,"résultats SFS";"commentaires",#N/A,FALSE,"commentaires SFS";"graphiques",#N/A,FALSE,"graphiques SFS"}</definedName>
    <definedName name="wxw" localSheetId="18" hidden="1">{"résultats",#N/A,FALSE,"résultats SFS";"indicateurs",#N/A,FALSE,"résultats SFS";"commentaires",#N/A,FALSE,"commentaires SFS";"graphiques",#N/A,FALSE,"graphiques SFS"}</definedName>
    <definedName name="wxw" localSheetId="19" hidden="1">{"résultats",#N/A,FALSE,"résultats SFS";"indicateurs",#N/A,FALSE,"résultats SFS";"commentaires",#N/A,FALSE,"commentaires SFS";"graphiques",#N/A,FALSE,"graphiques SFS"}</definedName>
    <definedName name="wxw" hidden="1">{"résultats",#N/A,FALSE,"résultats SFS";"indicateurs",#N/A,FALSE,"résultats SFS";"commentaires",#N/A,FALSE,"commentaires SFS";"graphiques",#N/A,FALSE,"graphiques SFS"}</definedName>
    <definedName name="xxx" localSheetId="31" hidden="1">{"'előző év december'!$A$2:$CP$214"}</definedName>
    <definedName name="xxx" localSheetId="32" hidden="1">{"'előző év december'!$A$2:$CP$214"}</definedName>
    <definedName name="xxx" localSheetId="11" hidden="1">{"'előző év december'!$A$2:$CP$214"}</definedName>
    <definedName name="xxx" localSheetId="12" hidden="1">{"'előző év december'!$A$2:$CP$214"}</definedName>
    <definedName name="xxx" localSheetId="18" hidden="1">{"'előző év december'!$A$2:$CP$214"}</definedName>
    <definedName name="xxx" localSheetId="19" hidden="1">{"'előző év december'!$A$2:$CP$214"}</definedName>
    <definedName name="xxx" hidden="1">{"'előző év december'!$A$2:$CP$214"}</definedName>
    <definedName name="xxxxxxx" localSheetId="31" hidden="1">{"'előző év december'!$A$2:$CP$214"}</definedName>
    <definedName name="xxxxxxx" localSheetId="32" hidden="1">{"'előző év december'!$A$2:$CP$214"}</definedName>
    <definedName name="xxxxxxx" localSheetId="11" hidden="1">{"'előző év december'!$A$2:$CP$214"}</definedName>
    <definedName name="xxxxxxx" localSheetId="12" hidden="1">{"'előző év december'!$A$2:$CP$214"}</definedName>
    <definedName name="xxxxxxx" localSheetId="18" hidden="1">{"'előző év december'!$A$2:$CP$214"}</definedName>
    <definedName name="xxxxxxx" localSheetId="19" hidden="1">{"'előző év december'!$A$2:$CP$214"}</definedName>
    <definedName name="xxxxxxx" hidden="1">{"'előző év december'!$A$2:$CP$214"}</definedName>
    <definedName name="xzcb" localSheetId="31" hidden="1">{#N/A,#N/A,FALSE,"т04"}</definedName>
    <definedName name="xzcb" localSheetId="32" hidden="1">{#N/A,#N/A,FALSE,"т04"}</definedName>
    <definedName name="xzcb" localSheetId="11" hidden="1">{#N/A,#N/A,FALSE,"т04"}</definedName>
    <definedName name="xzcb" localSheetId="12" hidden="1">{#N/A,#N/A,FALSE,"т04"}</definedName>
    <definedName name="xzcb" localSheetId="18" hidden="1">{#N/A,#N/A,FALSE,"т04"}</definedName>
    <definedName name="xzcb" localSheetId="19" hidden="1">{#N/A,#N/A,FALSE,"т04"}</definedName>
    <definedName name="xzcb" hidden="1">{#N/A,#N/A,FALSE,"т04"}</definedName>
    <definedName name="y" localSheetId="24">#REF!</definedName>
    <definedName name="y" localSheetId="31">#REF!</definedName>
    <definedName name="y" localSheetId="32">#REF!</definedName>
    <definedName name="y" localSheetId="11">#REF!</definedName>
    <definedName name="y" localSheetId="20">#REF!</definedName>
    <definedName name="y" localSheetId="23">#REF!</definedName>
    <definedName name="y" localSheetId="21">#REF!</definedName>
    <definedName name="y" localSheetId="17">#REF!</definedName>
    <definedName name="y">#REF!</definedName>
    <definedName name="Year">[3]Control!$C$3</definedName>
    <definedName name="yuj" localSheetId="31" hidden="1">{#N/A,#N/A,FALSE,"т04"}</definedName>
    <definedName name="yuj" localSheetId="32" hidden="1">{#N/A,#N/A,FALSE,"т04"}</definedName>
    <definedName name="yuj" localSheetId="11" hidden="1">{#N/A,#N/A,FALSE,"т04"}</definedName>
    <definedName name="yuj" localSheetId="12" hidden="1">{#N/A,#N/A,FALSE,"т04"}</definedName>
    <definedName name="yuj" localSheetId="18" hidden="1">{#N/A,#N/A,FALSE,"т04"}</definedName>
    <definedName name="yuj" localSheetId="19" hidden="1">{#N/A,#N/A,FALSE,"т04"}</definedName>
    <definedName name="yuj" hidden="1">{#N/A,#N/A,FALSE,"т04"}</definedName>
    <definedName name="yygf" localSheetId="31" hidden="1">{"'előző év december'!$A$2:$CP$214"}</definedName>
    <definedName name="yygf" localSheetId="32" hidden="1">{"'előző év december'!$A$2:$CP$214"}</definedName>
    <definedName name="yygf" localSheetId="11" hidden="1">{"'előző év december'!$A$2:$CP$214"}</definedName>
    <definedName name="yygf" localSheetId="12" hidden="1">{"'előző év december'!$A$2:$CP$214"}</definedName>
    <definedName name="yygf" localSheetId="18" hidden="1">{"'előző év december'!$A$2:$CP$214"}</definedName>
    <definedName name="yygf" localSheetId="19" hidden="1">{"'előző év december'!$A$2:$CP$214"}</definedName>
    <definedName name="yygf" hidden="1">{"'előző év december'!$A$2:$CP$214"}</definedName>
    <definedName name="yyy" localSheetId="31" hidden="1">{"'előző év december'!$A$2:$CP$214"}</definedName>
    <definedName name="yyy" localSheetId="32" hidden="1">{"'előző év december'!$A$2:$CP$214"}</definedName>
    <definedName name="yyy" localSheetId="11" hidden="1">{"'előző év december'!$A$2:$CP$214"}</definedName>
    <definedName name="yyy" localSheetId="12" hidden="1">{"'előző év december'!$A$2:$CP$214"}</definedName>
    <definedName name="yyy" localSheetId="18" hidden="1">{"'előző év december'!$A$2:$CP$214"}</definedName>
    <definedName name="yyy" localSheetId="19" hidden="1">{"'előző év december'!$A$2:$CP$214"}</definedName>
    <definedName name="yyy" hidden="1">{"'előző év december'!$A$2:$CP$214"}</definedName>
    <definedName name="Z_95224721_0485_11D4_BFD1_00508B5F4DA4_.wvu.Cols" localSheetId="24" hidden="1">#REF!</definedName>
    <definedName name="Z_95224721_0485_11D4_BFD1_00508B5F4DA4_.wvu.Cols" localSheetId="26" hidden="1">#REF!</definedName>
    <definedName name="Z_95224721_0485_11D4_BFD1_00508B5F4DA4_.wvu.Cols" localSheetId="20" hidden="1">#REF!</definedName>
    <definedName name="Z_95224721_0485_11D4_BFD1_00508B5F4DA4_.wvu.Cols" localSheetId="23" hidden="1">#REF!</definedName>
    <definedName name="Z_95224721_0485_11D4_BFD1_00508B5F4DA4_.wvu.Cols" localSheetId="21" hidden="1">#REF!</definedName>
    <definedName name="Z_95224721_0485_11D4_BFD1_00508B5F4DA4_.wvu.Cols" localSheetId="17" hidden="1">#REF!</definedName>
    <definedName name="Z_95224721_0485_11D4_BFD1_00508B5F4DA4_.wvu.Cols" hidden="1">#REF!</definedName>
    <definedName name="Z_D3A71505_464F_11D3_8BF2_00A0C9C769DF_.wvu.Cols" localSheetId="24" hidden="1">#REF!,#REF!,#REF!,#REF!</definedName>
    <definedName name="Z_D3A71505_464F_11D3_8BF2_00A0C9C769DF_.wvu.Cols" localSheetId="31" hidden="1">#REF!,#REF!,#REF!,#REF!</definedName>
    <definedName name="Z_D3A71505_464F_11D3_8BF2_00A0C9C769DF_.wvu.Cols" localSheetId="32" hidden="1">#REF!,#REF!,#REF!,#REF!</definedName>
    <definedName name="Z_D3A71505_464F_11D3_8BF2_00A0C9C769DF_.wvu.Cols" localSheetId="26" hidden="1">#REF!,#REF!,#REF!,#REF!</definedName>
    <definedName name="Z_D3A71505_464F_11D3_8BF2_00A0C9C769DF_.wvu.Cols" localSheetId="11" hidden="1">#REF!,#REF!,#REF!,#REF!</definedName>
    <definedName name="Z_D3A71505_464F_11D3_8BF2_00A0C9C769DF_.wvu.Cols" localSheetId="20" hidden="1">#REF!,#REF!,#REF!,#REF!</definedName>
    <definedName name="Z_D3A71505_464F_11D3_8BF2_00A0C9C769DF_.wvu.Cols" localSheetId="23" hidden="1">#REF!,#REF!,#REF!,#REF!</definedName>
    <definedName name="Z_D3A71505_464F_11D3_8BF2_00A0C9C769DF_.wvu.Cols" localSheetId="21" hidden="1">#REF!,#REF!,#REF!,#REF!</definedName>
    <definedName name="Z_D3A71505_464F_11D3_8BF2_00A0C9C769DF_.wvu.Cols" localSheetId="17" hidden="1">#REF!,#REF!,#REF!,#REF!</definedName>
    <definedName name="Z_D3A71505_464F_11D3_8BF2_00A0C9C769DF_.wvu.Cols" localSheetId="12" hidden="1">#REF!,#REF!,#REF!,#REF!</definedName>
    <definedName name="Z_D3A71505_464F_11D3_8BF2_00A0C9C769DF_.wvu.Cols" localSheetId="18" hidden="1">#REF!,#REF!,#REF!,#REF!</definedName>
    <definedName name="Z_D3A71505_464F_11D3_8BF2_00A0C9C769DF_.wvu.Cols" localSheetId="19" hidden="1">#REF!,#REF!,#REF!,#REF!</definedName>
    <definedName name="Z_D3A71505_464F_11D3_8BF2_00A0C9C769DF_.wvu.Cols" hidden="1">#REF!,#REF!,#REF!,#REF!</definedName>
    <definedName name="Z_D3A71505_464F_11D3_8BF2_00A0C9C769DF_.wvu.FilterData" localSheetId="24" hidden="1">#REF!</definedName>
    <definedName name="Z_D3A71505_464F_11D3_8BF2_00A0C9C769DF_.wvu.FilterData" localSheetId="31" hidden="1">#REF!</definedName>
    <definedName name="Z_D3A71505_464F_11D3_8BF2_00A0C9C769DF_.wvu.FilterData" localSheetId="32" hidden="1">#REF!</definedName>
    <definedName name="Z_D3A71505_464F_11D3_8BF2_00A0C9C769DF_.wvu.FilterData" localSheetId="26" hidden="1">#REF!</definedName>
    <definedName name="Z_D3A71505_464F_11D3_8BF2_00A0C9C769DF_.wvu.FilterData" localSheetId="11" hidden="1">#REF!</definedName>
    <definedName name="Z_D3A71505_464F_11D3_8BF2_00A0C9C769DF_.wvu.FilterData" localSheetId="20" hidden="1">#REF!</definedName>
    <definedName name="Z_D3A71505_464F_11D3_8BF2_00A0C9C769DF_.wvu.FilterData" localSheetId="23" hidden="1">#REF!</definedName>
    <definedName name="Z_D3A71505_464F_11D3_8BF2_00A0C9C769DF_.wvu.FilterData" localSheetId="21" hidden="1">#REF!</definedName>
    <definedName name="Z_D3A71505_464F_11D3_8BF2_00A0C9C769DF_.wvu.FilterData" localSheetId="17" hidden="1">#REF!</definedName>
    <definedName name="Z_D3A71505_464F_11D3_8BF2_00A0C9C769DF_.wvu.FilterData" localSheetId="12" hidden="1">#REF!</definedName>
    <definedName name="Z_D3A71505_464F_11D3_8BF2_00A0C9C769DF_.wvu.FilterData" localSheetId="18" hidden="1">#REF!</definedName>
    <definedName name="Z_D3A71505_464F_11D3_8BF2_00A0C9C769DF_.wvu.FilterData" localSheetId="19" hidden="1">#REF!</definedName>
    <definedName name="Z_D3A71505_464F_11D3_8BF2_00A0C9C769DF_.wvu.FilterData" hidden="1">#REF!</definedName>
    <definedName name="Z_D3A71505_464F_11D3_8BF2_00A0C9C769DF_.wvu.Rows" localSheetId="24" hidden="1">#REF!</definedName>
    <definedName name="Z_D3A71505_464F_11D3_8BF2_00A0C9C769DF_.wvu.Rows" localSheetId="31" hidden="1">#REF!</definedName>
    <definedName name="Z_D3A71505_464F_11D3_8BF2_00A0C9C769DF_.wvu.Rows" localSheetId="32" hidden="1">#REF!</definedName>
    <definedName name="Z_D3A71505_464F_11D3_8BF2_00A0C9C769DF_.wvu.Rows" localSheetId="26" hidden="1">#REF!</definedName>
    <definedName name="Z_D3A71505_464F_11D3_8BF2_00A0C9C769DF_.wvu.Rows" localSheetId="11" hidden="1">#REF!</definedName>
    <definedName name="Z_D3A71505_464F_11D3_8BF2_00A0C9C769DF_.wvu.Rows" localSheetId="20" hidden="1">#REF!</definedName>
    <definedName name="Z_D3A71505_464F_11D3_8BF2_00A0C9C769DF_.wvu.Rows" localSheetId="23" hidden="1">#REF!</definedName>
    <definedName name="Z_D3A71505_464F_11D3_8BF2_00A0C9C769DF_.wvu.Rows" localSheetId="21" hidden="1">#REF!</definedName>
    <definedName name="Z_D3A71505_464F_11D3_8BF2_00A0C9C769DF_.wvu.Rows" localSheetId="17" hidden="1">#REF!</definedName>
    <definedName name="Z_D3A71505_464F_11D3_8BF2_00A0C9C769DF_.wvu.Rows" localSheetId="12" hidden="1">#REF!</definedName>
    <definedName name="Z_D3A71505_464F_11D3_8BF2_00A0C9C769DF_.wvu.Rows" localSheetId="18" hidden="1">#REF!</definedName>
    <definedName name="Z_D3A71505_464F_11D3_8BF2_00A0C9C769DF_.wvu.Rows" localSheetId="19" hidden="1">#REF!</definedName>
    <definedName name="Z_D3A71505_464F_11D3_8BF2_00A0C9C769DF_.wvu.Rows" hidden="1">#REF!</definedName>
    <definedName name="zDollarGDP">[11]ass!$A$7:$IV$7</definedName>
    <definedName name="zGDPgrowth" localSheetId="24">#REF!</definedName>
    <definedName name="zGDPgrowth" localSheetId="31">#REF!</definedName>
    <definedName name="zGDPgrowth" localSheetId="32">#REF!</definedName>
    <definedName name="zGDPgrowth" localSheetId="26">#REF!</definedName>
    <definedName name="zGDPgrowth" localSheetId="11">#REF!</definedName>
    <definedName name="zGDPgrowth" localSheetId="20">#REF!</definedName>
    <definedName name="zGDPgrowth" localSheetId="23">#REF!</definedName>
    <definedName name="zGDPgrowth" localSheetId="21">#REF!</definedName>
    <definedName name="zGDPgrowth" localSheetId="17">#REF!</definedName>
    <definedName name="zGDPgrowth" localSheetId="12">#REF!</definedName>
    <definedName name="zGDPgrowth" localSheetId="18">#REF!</definedName>
    <definedName name="zGDPgrowth" localSheetId="19">#REF!</definedName>
    <definedName name="zGDPgrowth">#REF!</definedName>
    <definedName name="zgxsd" localSheetId="31" hidden="1">{#N/A,#N/A,FALSE,"т02бд"}</definedName>
    <definedName name="zgxsd" localSheetId="32" hidden="1">{#N/A,#N/A,FALSE,"т02бд"}</definedName>
    <definedName name="zgxsd" localSheetId="11" hidden="1">{#N/A,#N/A,FALSE,"т02бд"}</definedName>
    <definedName name="zgxsd" localSheetId="12" hidden="1">{#N/A,#N/A,FALSE,"т02бд"}</definedName>
    <definedName name="zgxsd" localSheetId="18" hidden="1">{#N/A,#N/A,FALSE,"т02бд"}</definedName>
    <definedName name="zgxsd" localSheetId="19" hidden="1">{#N/A,#N/A,FALSE,"т02бд"}</definedName>
    <definedName name="zgxsd" hidden="1">{#N/A,#N/A,FALSE,"т02бд"}</definedName>
    <definedName name="zIGNFS" localSheetId="24">#REF!</definedName>
    <definedName name="zIGNFS" localSheetId="31">#REF!</definedName>
    <definedName name="zIGNFS" localSheetId="32">#REF!</definedName>
    <definedName name="zIGNFS" localSheetId="26">#REF!</definedName>
    <definedName name="zIGNFS" localSheetId="11">#REF!</definedName>
    <definedName name="zIGNFS" localSheetId="20">#REF!</definedName>
    <definedName name="zIGNFS" localSheetId="23">#REF!</definedName>
    <definedName name="zIGNFS" localSheetId="21">#REF!</definedName>
    <definedName name="zIGNFS" localSheetId="17">#REF!</definedName>
    <definedName name="zIGNFS" localSheetId="12">#REF!</definedName>
    <definedName name="zIGNFS" localSheetId="18">#REF!</definedName>
    <definedName name="zIGNFS" localSheetId="19">#REF!</definedName>
    <definedName name="zIGNFS">#REF!</definedName>
    <definedName name="zImports" localSheetId="24">#REF!</definedName>
    <definedName name="zImports" localSheetId="31">#REF!</definedName>
    <definedName name="zImports" localSheetId="32">#REF!</definedName>
    <definedName name="zImports" localSheetId="26">#REF!</definedName>
    <definedName name="zImports" localSheetId="11">#REF!</definedName>
    <definedName name="zImports" localSheetId="20">#REF!</definedName>
    <definedName name="zImports" localSheetId="23">#REF!</definedName>
    <definedName name="zImports" localSheetId="21">#REF!</definedName>
    <definedName name="zImports" localSheetId="17">#REF!</definedName>
    <definedName name="zImports" localSheetId="12">#REF!</definedName>
    <definedName name="zImports" localSheetId="18">#REF!</definedName>
    <definedName name="zImports" localSheetId="19">#REF!</definedName>
    <definedName name="zImports">#REF!</definedName>
    <definedName name="zLiborUS" localSheetId="24">#REF!</definedName>
    <definedName name="zLiborUS" localSheetId="31">#REF!</definedName>
    <definedName name="zLiborUS" localSheetId="32">#REF!</definedName>
    <definedName name="zLiborUS" localSheetId="26">#REF!</definedName>
    <definedName name="zLiborUS" localSheetId="11">#REF!</definedName>
    <definedName name="zLiborUS" localSheetId="20">#REF!</definedName>
    <definedName name="zLiborUS" localSheetId="23">#REF!</definedName>
    <definedName name="zLiborUS" localSheetId="21">#REF!</definedName>
    <definedName name="zLiborUS" localSheetId="17">#REF!</definedName>
    <definedName name="zLiborUS" localSheetId="12">#REF!</definedName>
    <definedName name="zLiborUS" localSheetId="18">#REF!</definedName>
    <definedName name="zLiborUS" localSheetId="19">#REF!</definedName>
    <definedName name="zLiborUS">#REF!</definedName>
    <definedName name="zReserves">[11]oth!$A$17:$IV$17</definedName>
    <definedName name="zRoWCPIchange" localSheetId="24">#REF!</definedName>
    <definedName name="zRoWCPIchange" localSheetId="31">#REF!</definedName>
    <definedName name="zRoWCPIchange" localSheetId="32">#REF!</definedName>
    <definedName name="zRoWCPIchange" localSheetId="26">#REF!</definedName>
    <definedName name="zRoWCPIchange" localSheetId="11">#REF!</definedName>
    <definedName name="zRoWCPIchange" localSheetId="20">#REF!</definedName>
    <definedName name="zRoWCPIchange" localSheetId="23">#REF!</definedName>
    <definedName name="zRoWCPIchange" localSheetId="21">#REF!</definedName>
    <definedName name="zRoWCPIchange" localSheetId="17">#REF!</definedName>
    <definedName name="zRoWCPIchange" localSheetId="12">#REF!</definedName>
    <definedName name="zRoWCPIchange" localSheetId="18">#REF!</definedName>
    <definedName name="zRoWCPIchange" localSheetId="19">#REF!</definedName>
    <definedName name="zRoWCPIchange">#REF!</definedName>
    <definedName name="zSDReRate">[11]ass!$A$24:$IV$24</definedName>
    <definedName name="ztr" localSheetId="31" hidden="1">{"'előző év december'!$A$2:$CP$214"}</definedName>
    <definedName name="ztr" localSheetId="32" hidden="1">{"'előző év december'!$A$2:$CP$214"}</definedName>
    <definedName name="ztr" localSheetId="11" hidden="1">{"'előző év december'!$A$2:$CP$214"}</definedName>
    <definedName name="ztr" localSheetId="12" hidden="1">{"'előző év december'!$A$2:$CP$214"}</definedName>
    <definedName name="ztr" localSheetId="18" hidden="1">{"'előző év december'!$A$2:$CP$214"}</definedName>
    <definedName name="ztr" localSheetId="19" hidden="1">{"'előző év december'!$A$2:$CP$214"}</definedName>
    <definedName name="ztr" hidden="1">{"'előző év december'!$A$2:$CP$214"}</definedName>
    <definedName name="zXGNFS" localSheetId="24">#REF!</definedName>
    <definedName name="zXGNFS" localSheetId="26">#REF!</definedName>
    <definedName name="zXGNFS" localSheetId="20">#REF!</definedName>
    <definedName name="zXGNFS" localSheetId="23">#REF!</definedName>
    <definedName name="zXGNFS" localSheetId="21">#REF!</definedName>
    <definedName name="zXGNFS" localSheetId="17">#REF!</definedName>
    <definedName name="zXGNFS">#REF!</definedName>
    <definedName name="zxz" localSheetId="31" hidden="1">{#N/A,#N/A,FALSE,"т02бд"}</definedName>
    <definedName name="zxz" localSheetId="32" hidden="1">{#N/A,#N/A,FALSE,"т02бд"}</definedName>
    <definedName name="zxz" localSheetId="11" hidden="1">{#N/A,#N/A,FALSE,"т02бд"}</definedName>
    <definedName name="zxz" localSheetId="12" hidden="1">{#N/A,#N/A,FALSE,"т02бд"}</definedName>
    <definedName name="zxz" localSheetId="18" hidden="1">{#N/A,#N/A,FALSE,"т02бд"}</definedName>
    <definedName name="zxz" localSheetId="19" hidden="1">{#N/A,#N/A,FALSE,"т02бд"}</definedName>
    <definedName name="zxz" hidden="1">{#N/A,#N/A,FALSE,"т02бд"}</definedName>
    <definedName name="zzz" localSheetId="31" hidden="1">{"'előző év december'!$A$2:$CP$214"}</definedName>
    <definedName name="zzz" localSheetId="32" hidden="1">{"'előző év december'!$A$2:$CP$214"}</definedName>
    <definedName name="zzz" localSheetId="11" hidden="1">{"'előző év december'!$A$2:$CP$214"}</definedName>
    <definedName name="zzz" localSheetId="12" hidden="1">{"'előző év december'!$A$2:$CP$214"}</definedName>
    <definedName name="zzz" localSheetId="18" hidden="1">{"'előző év december'!$A$2:$CP$214"}</definedName>
    <definedName name="zzz" localSheetId="19" hidden="1">{"'előző év december'!$A$2:$CP$214"}</definedName>
    <definedName name="zzz" hidden="1">{"'előző év december'!$A$2:$CP$214"}</definedName>
    <definedName name="а" localSheetId="31" hidden="1">{#N/A,#N/A,FALSE,"т02бд"}</definedName>
    <definedName name="а" localSheetId="32" hidden="1">{#N/A,#N/A,FALSE,"т02бд"}</definedName>
    <definedName name="а" localSheetId="11" hidden="1">{#N/A,#N/A,FALSE,"т02бд"}</definedName>
    <definedName name="а" localSheetId="12" hidden="1">{#N/A,#N/A,FALSE,"т02бд"}</definedName>
    <definedName name="а" localSheetId="18" hidden="1">{#N/A,#N/A,FALSE,"т02бд"}</definedName>
    <definedName name="а" localSheetId="19" hidden="1">{#N/A,#N/A,FALSE,"т02бд"}</definedName>
    <definedName name="а" hidden="1">{#N/A,#N/A,FALSE,"т02бд"}</definedName>
    <definedName name="аа" localSheetId="31" hidden="1">{#N/A,#N/A,FALSE,"Лист4"}</definedName>
    <definedName name="аа" localSheetId="32" hidden="1">{#N/A,#N/A,FALSE,"Лист4"}</definedName>
    <definedName name="аа" localSheetId="11" hidden="1">{#N/A,#N/A,FALSE,"Лист4"}</definedName>
    <definedName name="аа" localSheetId="12" hidden="1">{#N/A,#N/A,FALSE,"Лист4"}</definedName>
    <definedName name="аа" localSheetId="18" hidden="1">{#N/A,#N/A,FALSE,"Лист4"}</definedName>
    <definedName name="аа" localSheetId="19" hidden="1">{#N/A,#N/A,FALSE,"Лист4"}</definedName>
    <definedName name="аа" hidden="1">{#N/A,#N/A,FALSE,"Лист4"}</definedName>
    <definedName name="ааа" localSheetId="31" hidden="1">{#N/A,#N/A,FALSE,"т04"}</definedName>
    <definedName name="ааа" localSheetId="32" hidden="1">{#N/A,#N/A,FALSE,"т04"}</definedName>
    <definedName name="ааа" localSheetId="11" hidden="1">{#N/A,#N/A,FALSE,"т04"}</definedName>
    <definedName name="ааа" localSheetId="12" hidden="1">{#N/A,#N/A,FALSE,"т04"}</definedName>
    <definedName name="ааа" localSheetId="18" hidden="1">{#N/A,#N/A,FALSE,"т04"}</definedName>
    <definedName name="ааа" localSheetId="19" hidden="1">{#N/A,#N/A,FALSE,"т04"}</definedName>
    <definedName name="ааа" hidden="1">{#N/A,#N/A,FALSE,"т04"}</definedName>
    <definedName name="аааа" localSheetId="31" hidden="1">{#N/A,#N/A,FALSE,"Лист4"}</definedName>
    <definedName name="аааа" localSheetId="32" hidden="1">{#N/A,#N/A,FALSE,"Лист4"}</definedName>
    <definedName name="аааа" localSheetId="11" hidden="1">{#N/A,#N/A,FALSE,"Лист4"}</definedName>
    <definedName name="аааа" localSheetId="12" hidden="1">{#N/A,#N/A,FALSE,"Лист4"}</definedName>
    <definedName name="аааа" localSheetId="18" hidden="1">{#N/A,#N/A,FALSE,"Лист4"}</definedName>
    <definedName name="аааа" localSheetId="19" hidden="1">{#N/A,#N/A,FALSE,"Лист4"}</definedName>
    <definedName name="аааа" hidden="1">{#N/A,#N/A,FALSE,"Лист4"}</definedName>
    <definedName name="ааааа" localSheetId="31" hidden="1">{#N/A,#N/A,FALSE,"Лист4"}</definedName>
    <definedName name="ааааа" localSheetId="32" hidden="1">{#N/A,#N/A,FALSE,"Лист4"}</definedName>
    <definedName name="ааааа" localSheetId="11" hidden="1">{#N/A,#N/A,FALSE,"Лист4"}</definedName>
    <definedName name="ааааа" localSheetId="12" hidden="1">{#N/A,#N/A,FALSE,"Лист4"}</definedName>
    <definedName name="ааааа" localSheetId="18" hidden="1">{#N/A,#N/A,FALSE,"Лист4"}</definedName>
    <definedName name="ааааа" localSheetId="19" hidden="1">{#N/A,#N/A,FALSE,"Лист4"}</definedName>
    <definedName name="ааааа" hidden="1">{#N/A,#N/A,FALSE,"Лист4"}</definedName>
    <definedName name="ААААААААААААААААА" localSheetId="31" hidden="1">{"BOP_TAB",#N/A,FALSE,"N";"MIDTERM_TAB",#N/A,FALSE,"O";"FUND_CRED",#N/A,FALSE,"P";"DEBT_TAB1",#N/A,FALSE,"Q";"DEBT_TAB2",#N/A,FALSE,"Q";"FORFIN_TAB1",#N/A,FALSE,"R";"FORFIN_TAB2",#N/A,FALSE,"R";"BOP_ANALY",#N/A,FALSE,"U"}</definedName>
    <definedName name="ААААААААААААААААА" localSheetId="32" hidden="1">{"BOP_TAB",#N/A,FALSE,"N";"MIDTERM_TAB",#N/A,FALSE,"O";"FUND_CRED",#N/A,FALSE,"P";"DEBT_TAB1",#N/A,FALSE,"Q";"DEBT_TAB2",#N/A,FALSE,"Q";"FORFIN_TAB1",#N/A,FALSE,"R";"FORFIN_TAB2",#N/A,FALSE,"R";"BOP_ANALY",#N/A,FALSE,"U"}</definedName>
    <definedName name="ААААААААААААААААА" localSheetId="11" hidden="1">{"BOP_TAB",#N/A,FALSE,"N";"MIDTERM_TAB",#N/A,FALSE,"O";"FUND_CRED",#N/A,FALSE,"P";"DEBT_TAB1",#N/A,FALSE,"Q";"DEBT_TAB2",#N/A,FALSE,"Q";"FORFIN_TAB1",#N/A,FALSE,"R";"FORFIN_TAB2",#N/A,FALSE,"R";"BOP_ANALY",#N/A,FALSE,"U"}</definedName>
    <definedName name="ААААААААААААААААА" localSheetId="12" hidden="1">{"BOP_TAB",#N/A,FALSE,"N";"MIDTERM_TAB",#N/A,FALSE,"O";"FUND_CRED",#N/A,FALSE,"P";"DEBT_TAB1",#N/A,FALSE,"Q";"DEBT_TAB2",#N/A,FALSE,"Q";"FORFIN_TAB1",#N/A,FALSE,"R";"FORFIN_TAB2",#N/A,FALSE,"R";"BOP_ANALY",#N/A,FALSE,"U"}</definedName>
    <definedName name="ААААААААААААААААА" localSheetId="18" hidden="1">{"BOP_TAB",#N/A,FALSE,"N";"MIDTERM_TAB",#N/A,FALSE,"O";"FUND_CRED",#N/A,FALSE,"P";"DEBT_TAB1",#N/A,FALSE,"Q";"DEBT_TAB2",#N/A,FALSE,"Q";"FORFIN_TAB1",#N/A,FALSE,"R";"FORFIN_TAB2",#N/A,FALSE,"R";"BOP_ANALY",#N/A,FALSE,"U"}</definedName>
    <definedName name="ААААААААААААААААА" localSheetId="19" hidden="1">{"BOP_TAB",#N/A,FALSE,"N";"MIDTERM_TAB",#N/A,FALSE,"O";"FUND_CRED",#N/A,FALSE,"P";"DEBT_TAB1",#N/A,FALSE,"Q";"DEBT_TAB2",#N/A,FALSE,"Q";"FORFIN_TAB1",#N/A,FALSE,"R";"FORFIN_TAB2",#N/A,FALSE,"R";"BOP_ANALY",#N/A,FALSE,"U"}</definedName>
    <definedName name="ААААААААААААААААА" hidden="1">{"BOP_TAB",#N/A,FALSE,"N";"MIDTERM_TAB",#N/A,FALSE,"O";"FUND_CRED",#N/A,FALSE,"P";"DEBT_TAB1",#N/A,FALSE,"Q";"DEBT_TAB2",#N/A,FALSE,"Q";"FORFIN_TAB1",#N/A,FALSE,"R";"FORFIN_TAB2",#N/A,FALSE,"R";"BOP_ANALY",#N/A,FALSE,"U"}</definedName>
    <definedName name="ААААААААААААААААААААААААААААААААА" localSheetId="31" hidden="1">{"WEO",#N/A,FALSE,"T"}</definedName>
    <definedName name="ААААААААААААААААААААААААААААААААА" localSheetId="32" hidden="1">{"WEO",#N/A,FALSE,"T"}</definedName>
    <definedName name="ААААААААААААААААААААААААААААААААА" localSheetId="11" hidden="1">{"WEO",#N/A,FALSE,"T"}</definedName>
    <definedName name="ААААААААААААААААААААААААААААААААА" localSheetId="12" hidden="1">{"WEO",#N/A,FALSE,"T"}</definedName>
    <definedName name="ААААААААААААААААААААААААААААААААА" localSheetId="18" hidden="1">{"WEO",#N/A,FALSE,"T"}</definedName>
    <definedName name="ААААААААААААААААААААААААААААААААА" localSheetId="19" hidden="1">{"WEO",#N/A,FALSE,"T"}</definedName>
    <definedName name="ААААААААААААААААААААААААААААААААА" hidden="1">{"WEO",#N/A,FALSE,"T"}</definedName>
    <definedName name="аааг" localSheetId="31" hidden="1">{#N/A,#N/A,FALSE,"Лист4"}</definedName>
    <definedName name="аааг" localSheetId="32" hidden="1">{#N/A,#N/A,FALSE,"Лист4"}</definedName>
    <definedName name="аааг" localSheetId="11" hidden="1">{#N/A,#N/A,FALSE,"Лист4"}</definedName>
    <definedName name="аааг" localSheetId="12" hidden="1">{#N/A,#N/A,FALSE,"Лист4"}</definedName>
    <definedName name="аааг" localSheetId="18" hidden="1">{#N/A,#N/A,FALSE,"Лист4"}</definedName>
    <definedName name="аааг" localSheetId="19" hidden="1">{#N/A,#N/A,FALSE,"Лист4"}</definedName>
    <definedName name="аааг" hidden="1">{#N/A,#N/A,FALSE,"Лист4"}</definedName>
    <definedName name="ааао" localSheetId="31" hidden="1">{#N/A,#N/A,FALSE,"Лист4"}</definedName>
    <definedName name="ааао" localSheetId="32" hidden="1">{#N/A,#N/A,FALSE,"Лист4"}</definedName>
    <definedName name="ааао" localSheetId="11" hidden="1">{#N/A,#N/A,FALSE,"Лист4"}</definedName>
    <definedName name="ааао" localSheetId="12" hidden="1">{#N/A,#N/A,FALSE,"Лист4"}</definedName>
    <definedName name="ааао" localSheetId="18" hidden="1">{#N/A,#N/A,FALSE,"Лист4"}</definedName>
    <definedName name="ааао" localSheetId="19" hidden="1">{#N/A,#N/A,FALSE,"Лист4"}</definedName>
    <definedName name="ааао" hidden="1">{#N/A,#N/A,FALSE,"Лист4"}</definedName>
    <definedName name="аааоркк" localSheetId="31" hidden="1">{#N/A,#N/A,FALSE,"Лист4"}</definedName>
    <definedName name="аааоркк" localSheetId="32" hidden="1">{#N/A,#N/A,FALSE,"Лист4"}</definedName>
    <definedName name="аааоркк" localSheetId="11" hidden="1">{#N/A,#N/A,FALSE,"Лист4"}</definedName>
    <definedName name="аааоркк" localSheetId="12" hidden="1">{#N/A,#N/A,FALSE,"Лист4"}</definedName>
    <definedName name="аааоркк" localSheetId="18" hidden="1">{#N/A,#N/A,FALSE,"Лист4"}</definedName>
    <definedName name="аааоркк" localSheetId="19" hidden="1">{#N/A,#N/A,FALSE,"Лист4"}</definedName>
    <definedName name="аааоркк" hidden="1">{#N/A,#N/A,FALSE,"Лист4"}</definedName>
    <definedName name="аарр" localSheetId="31" hidden="1">{#N/A,#N/A,FALSE,"Лист4"}</definedName>
    <definedName name="аарр" localSheetId="32" hidden="1">{#N/A,#N/A,FALSE,"Лист4"}</definedName>
    <definedName name="аарр" localSheetId="11" hidden="1">{#N/A,#N/A,FALSE,"Лист4"}</definedName>
    <definedName name="аарр" localSheetId="12" hidden="1">{#N/A,#N/A,FALSE,"Лист4"}</definedName>
    <definedName name="аарр" localSheetId="18" hidden="1">{#N/A,#N/A,FALSE,"Лист4"}</definedName>
    <definedName name="аарр" localSheetId="19" hidden="1">{#N/A,#N/A,FALSE,"Лист4"}</definedName>
    <definedName name="аарр" hidden="1">{#N/A,#N/A,FALSE,"Лист4"}</definedName>
    <definedName name="амп" localSheetId="31" hidden="1">{#N/A,#N/A,FALSE,"Лист4"}</definedName>
    <definedName name="амп" localSheetId="32" hidden="1">{#N/A,#N/A,FALSE,"Лист4"}</definedName>
    <definedName name="амп" localSheetId="11" hidden="1">{#N/A,#N/A,FALSE,"Лист4"}</definedName>
    <definedName name="амп" localSheetId="12" hidden="1">{#N/A,#N/A,FALSE,"Лист4"}</definedName>
    <definedName name="амп" localSheetId="18" hidden="1">{#N/A,#N/A,FALSE,"Лист4"}</definedName>
    <definedName name="амп" localSheetId="19" hidden="1">{#N/A,#N/A,FALSE,"Лист4"}</definedName>
    <definedName name="амп" hidden="1">{#N/A,#N/A,FALSE,"Лист4"}</definedName>
    <definedName name="ап" localSheetId="31" hidden="1">{#N/A,#N/A,FALSE,"Лист4"}</definedName>
    <definedName name="ап" localSheetId="32" hidden="1">{#N/A,#N/A,FALSE,"Лист4"}</definedName>
    <definedName name="ап" localSheetId="11" hidden="1">{#N/A,#N/A,FALSE,"Лист4"}</definedName>
    <definedName name="ап" localSheetId="12" hidden="1">{#N/A,#N/A,FALSE,"Лист4"}</definedName>
    <definedName name="ап" localSheetId="18" hidden="1">{#N/A,#N/A,FALSE,"Лист4"}</definedName>
    <definedName name="ап" localSheetId="19" hidden="1">{#N/A,#N/A,FALSE,"Лист4"}</definedName>
    <definedName name="ап" hidden="1">{#N/A,#N/A,FALSE,"Лист4"}</definedName>
    <definedName name="апро" localSheetId="31" hidden="1">{#N/A,#N/A,FALSE,"Лист4"}</definedName>
    <definedName name="апро" localSheetId="32" hidden="1">{#N/A,#N/A,FALSE,"Лист4"}</definedName>
    <definedName name="апро" localSheetId="11" hidden="1">{#N/A,#N/A,FALSE,"Лист4"}</definedName>
    <definedName name="апро" localSheetId="12" hidden="1">{#N/A,#N/A,FALSE,"Лист4"}</definedName>
    <definedName name="апро" localSheetId="18" hidden="1">{#N/A,#N/A,FALSE,"Лист4"}</definedName>
    <definedName name="апро" localSheetId="19" hidden="1">{#N/A,#N/A,FALSE,"Лист4"}</definedName>
    <definedName name="апро" hidden="1">{#N/A,#N/A,FALSE,"Лист4"}</definedName>
    <definedName name="аунуну" localSheetId="31" hidden="1">{#N/A,#N/A,FALSE,"Лист4"}</definedName>
    <definedName name="аунуну" localSheetId="32" hidden="1">{#N/A,#N/A,FALSE,"Лист4"}</definedName>
    <definedName name="аунуну" localSheetId="11" hidden="1">{#N/A,#N/A,FALSE,"Лист4"}</definedName>
    <definedName name="аунуну" localSheetId="12" hidden="1">{#N/A,#N/A,FALSE,"Лист4"}</definedName>
    <definedName name="аунуну" localSheetId="18" hidden="1">{#N/A,#N/A,FALSE,"Лист4"}</definedName>
    <definedName name="аунуну" localSheetId="19" hidden="1">{#N/A,#N/A,FALSE,"Лист4"}</definedName>
    <definedName name="аунуну" hidden="1">{#N/A,#N/A,FALSE,"Лист4"}</definedName>
    <definedName name="_xlnm.Database" localSheetId="24">#REF!</definedName>
    <definedName name="_xlnm.Database" localSheetId="31">#REF!</definedName>
    <definedName name="_xlnm.Database" localSheetId="32">#REF!</definedName>
    <definedName name="_xlnm.Database" localSheetId="26">#REF!</definedName>
    <definedName name="_xlnm.Database" localSheetId="11">#REF!</definedName>
    <definedName name="_xlnm.Database" localSheetId="20">#REF!</definedName>
    <definedName name="_xlnm.Database" localSheetId="23">#REF!</definedName>
    <definedName name="_xlnm.Database" localSheetId="21">#REF!</definedName>
    <definedName name="_xlnm.Database" localSheetId="17">#REF!</definedName>
    <definedName name="_xlnm.Database" localSheetId="12">#REF!</definedName>
    <definedName name="_xlnm.Database" localSheetId="18">#REF!</definedName>
    <definedName name="_xlnm.Database" localSheetId="19">#REF!</definedName>
    <definedName name="_xlnm.Database">#REF!</definedName>
    <definedName name="бб" localSheetId="31" hidden="1">{#N/A,#N/A,FALSE,"Лист4"}</definedName>
    <definedName name="бб" localSheetId="32" hidden="1">{#N/A,#N/A,FALSE,"Лист4"}</definedName>
    <definedName name="бб" localSheetId="11" hidden="1">{#N/A,#N/A,FALSE,"Лист4"}</definedName>
    <definedName name="бб" localSheetId="12" hidden="1">{#N/A,#N/A,FALSE,"Лист4"}</definedName>
    <definedName name="бб" localSheetId="18" hidden="1">{#N/A,#N/A,FALSE,"Лист4"}</definedName>
    <definedName name="бб" localSheetId="19" hidden="1">{#N/A,#N/A,FALSE,"Лист4"}</definedName>
    <definedName name="бб" hidden="1">{#N/A,#N/A,FALSE,"Лист4"}</definedName>
    <definedName name="в" localSheetId="31" hidden="1">{#N/A,#N/A,FALSE,"т02бд"}</definedName>
    <definedName name="в" localSheetId="32" hidden="1">{#N/A,#N/A,FALSE,"т02бд"}</definedName>
    <definedName name="в" localSheetId="11" hidden="1">{#N/A,#N/A,FALSE,"т02бд"}</definedName>
    <definedName name="в" localSheetId="12" hidden="1">{#N/A,#N/A,FALSE,"т02бд"}</definedName>
    <definedName name="в" localSheetId="18" hidden="1">{#N/A,#N/A,FALSE,"т02бд"}</definedName>
    <definedName name="в" localSheetId="19" hidden="1">{#N/A,#N/A,FALSE,"т02бд"}</definedName>
    <definedName name="в" hidden="1">{#N/A,#N/A,FALSE,"т02бд"}</definedName>
    <definedName name="вававав" localSheetId="31" hidden="1">{#N/A,#N/A,FALSE,"т02бд"}</definedName>
    <definedName name="вававав" localSheetId="32" hidden="1">{#N/A,#N/A,FALSE,"т02бд"}</definedName>
    <definedName name="вававав" localSheetId="11" hidden="1">{#N/A,#N/A,FALSE,"т02бд"}</definedName>
    <definedName name="вававав" localSheetId="12" hidden="1">{#N/A,#N/A,FALSE,"т02бд"}</definedName>
    <definedName name="вававав" localSheetId="18" hidden="1">{#N/A,#N/A,FALSE,"т02бд"}</definedName>
    <definedName name="вававав" localSheetId="19" hidden="1">{#N/A,#N/A,FALSE,"т02бд"}</definedName>
    <definedName name="вававав" hidden="1">{#N/A,#N/A,FALSE,"т02бд"}</definedName>
    <definedName name="вап" localSheetId="31" hidden="1">{#N/A,#N/A,FALSE,"Лист4"}</definedName>
    <definedName name="вап" localSheetId="32" hidden="1">{#N/A,#N/A,FALSE,"Лист4"}</definedName>
    <definedName name="вап" localSheetId="11" hidden="1">{#N/A,#N/A,FALSE,"Лист4"}</definedName>
    <definedName name="вап" localSheetId="12" hidden="1">{#N/A,#N/A,FALSE,"Лист4"}</definedName>
    <definedName name="вап" localSheetId="18" hidden="1">{#N/A,#N/A,FALSE,"Лист4"}</definedName>
    <definedName name="вап" localSheetId="19" hidden="1">{#N/A,#N/A,FALSE,"Лист4"}</definedName>
    <definedName name="вап" hidden="1">{#N/A,#N/A,FALSE,"Лист4"}</definedName>
    <definedName name="вапа" localSheetId="31" hidden="1">{#N/A,#N/A,FALSE,"Лист4"}</definedName>
    <definedName name="вапа" localSheetId="32" hidden="1">{#N/A,#N/A,FALSE,"Лист4"}</definedName>
    <definedName name="вапа" localSheetId="11" hidden="1">{#N/A,#N/A,FALSE,"Лист4"}</definedName>
    <definedName name="вапа" localSheetId="12" hidden="1">{#N/A,#N/A,FALSE,"Лист4"}</definedName>
    <definedName name="вапа" localSheetId="18" hidden="1">{#N/A,#N/A,FALSE,"Лист4"}</definedName>
    <definedName name="вапа" localSheetId="19" hidden="1">{#N/A,#N/A,FALSE,"Лист4"}</definedName>
    <definedName name="вапа" hidden="1">{#N/A,#N/A,FALSE,"Лист4"}</definedName>
    <definedName name="вапро" localSheetId="31" hidden="1">{#N/A,#N/A,FALSE,"Лист4"}</definedName>
    <definedName name="вапро" localSheetId="32" hidden="1">{#N/A,#N/A,FALSE,"Лист4"}</definedName>
    <definedName name="вапро" localSheetId="11" hidden="1">{#N/A,#N/A,FALSE,"Лист4"}</definedName>
    <definedName name="вапро" localSheetId="12" hidden="1">{#N/A,#N/A,FALSE,"Лист4"}</definedName>
    <definedName name="вапро" localSheetId="18" hidden="1">{#N/A,#N/A,FALSE,"Лист4"}</definedName>
    <definedName name="вапро" localSheetId="19" hidden="1">{#N/A,#N/A,FALSE,"Лист4"}</definedName>
    <definedName name="вапро" hidden="1">{#N/A,#N/A,FALSE,"Лист4"}</definedName>
    <definedName name="вау" localSheetId="31" hidden="1">{#N/A,#N/A,FALSE,"Лист4"}</definedName>
    <definedName name="вау" localSheetId="32" hidden="1">{#N/A,#N/A,FALSE,"Лист4"}</definedName>
    <definedName name="вау" localSheetId="11" hidden="1">{#N/A,#N/A,FALSE,"Лист4"}</definedName>
    <definedName name="вау" localSheetId="12" hidden="1">{#N/A,#N/A,FALSE,"Лист4"}</definedName>
    <definedName name="вау" localSheetId="18" hidden="1">{#N/A,#N/A,FALSE,"Лист4"}</definedName>
    <definedName name="вау" localSheetId="19" hidden="1">{#N/A,#N/A,FALSE,"Лист4"}</definedName>
    <definedName name="вау" hidden="1">{#N/A,#N/A,FALSE,"Лист4"}</definedName>
    <definedName name="вв" localSheetId="31" hidden="1">{#N/A,#N/A,FALSE,"Лист4"}</definedName>
    <definedName name="вв" localSheetId="32" hidden="1">{#N/A,#N/A,FALSE,"Лист4"}</definedName>
    <definedName name="вв" localSheetId="11" hidden="1">{#N/A,#N/A,FALSE,"Лист4"}</definedName>
    <definedName name="вв" localSheetId="12" hidden="1">{#N/A,#N/A,FALSE,"Лист4"}</definedName>
    <definedName name="вв" localSheetId="18" hidden="1">{#N/A,#N/A,FALSE,"Лист4"}</definedName>
    <definedName name="вв" localSheetId="19" hidden="1">{#N/A,#N/A,FALSE,"Лист4"}</definedName>
    <definedName name="вв" hidden="1">{#N/A,#N/A,FALSE,"Лист4"}</definedName>
    <definedName name="вмр" localSheetId="31" hidden="1">{#N/A,#N/A,FALSE,"Лист4"}</definedName>
    <definedName name="вмр" localSheetId="32" hidden="1">{#N/A,#N/A,FALSE,"Лист4"}</definedName>
    <definedName name="вмр" localSheetId="11" hidden="1">{#N/A,#N/A,FALSE,"Лист4"}</definedName>
    <definedName name="вмр" localSheetId="12" hidden="1">{#N/A,#N/A,FALSE,"Лист4"}</definedName>
    <definedName name="вмр" localSheetId="18" hidden="1">{#N/A,#N/A,FALSE,"Лист4"}</definedName>
    <definedName name="вмр" localSheetId="19" hidden="1">{#N/A,#N/A,FALSE,"Лист4"}</definedName>
    <definedName name="вмр" hidden="1">{#N/A,#N/A,FALSE,"Лист4"}</definedName>
    <definedName name="вруу" localSheetId="31" hidden="1">{#N/A,#N/A,FALSE,"Лист4"}</definedName>
    <definedName name="вруу" localSheetId="32" hidden="1">{#N/A,#N/A,FALSE,"Лист4"}</definedName>
    <definedName name="вруу" localSheetId="11" hidden="1">{#N/A,#N/A,FALSE,"Лист4"}</definedName>
    <definedName name="вруу" localSheetId="12" hidden="1">{#N/A,#N/A,FALSE,"Лист4"}</definedName>
    <definedName name="вруу" localSheetId="18" hidden="1">{#N/A,#N/A,FALSE,"Лист4"}</definedName>
    <definedName name="вруу" localSheetId="19" hidden="1">{#N/A,#N/A,FALSE,"Лист4"}</definedName>
    <definedName name="вруу" hidden="1">{#N/A,#N/A,FALSE,"Лист4"}</definedName>
    <definedName name="врууунуууу" localSheetId="31" hidden="1">{#N/A,#N/A,FALSE,"Лист4"}</definedName>
    <definedName name="врууунуууу" localSheetId="32" hidden="1">{#N/A,#N/A,FALSE,"Лист4"}</definedName>
    <definedName name="врууунуууу" localSheetId="11" hidden="1">{#N/A,#N/A,FALSE,"Лист4"}</definedName>
    <definedName name="врууунуууу" localSheetId="12" hidden="1">{#N/A,#N/A,FALSE,"Лист4"}</definedName>
    <definedName name="врууунуууу" localSheetId="18" hidden="1">{#N/A,#N/A,FALSE,"Лист4"}</definedName>
    <definedName name="врууунуууу" localSheetId="19" hidden="1">{#N/A,#N/A,FALSE,"Лист4"}</definedName>
    <definedName name="врууунуууу" hidden="1">{#N/A,#N/A,FALSE,"Лист4"}</definedName>
    <definedName name="вфіп" localSheetId="31" hidden="1">{"BOP_TAB",#N/A,FALSE,"N";"MIDTERM_TAB",#N/A,FALSE,"O"}</definedName>
    <definedName name="вфіп" localSheetId="32" hidden="1">{"BOP_TAB",#N/A,FALSE,"N";"MIDTERM_TAB",#N/A,FALSE,"O"}</definedName>
    <definedName name="вфіп" localSheetId="11" hidden="1">{"BOP_TAB",#N/A,FALSE,"N";"MIDTERM_TAB",#N/A,FALSE,"O"}</definedName>
    <definedName name="вфіп" localSheetId="12" hidden="1">{"BOP_TAB",#N/A,FALSE,"N";"MIDTERM_TAB",#N/A,FALSE,"O"}</definedName>
    <definedName name="вфіп" localSheetId="18" hidden="1">{"BOP_TAB",#N/A,FALSE,"N";"MIDTERM_TAB",#N/A,FALSE,"O"}</definedName>
    <definedName name="вфіп" localSheetId="19" hidden="1">{"BOP_TAB",#N/A,FALSE,"N";"MIDTERM_TAB",#N/A,FALSE,"O"}</definedName>
    <definedName name="вфіп" hidden="1">{"BOP_TAB",#N/A,FALSE,"N";"MIDTERM_TAB",#N/A,FALSE,"O"}</definedName>
    <definedName name="г" localSheetId="24">#REF!</definedName>
    <definedName name="г" localSheetId="31">#REF!</definedName>
    <definedName name="г" localSheetId="32">#REF!</definedName>
    <definedName name="г" localSheetId="26">#REF!</definedName>
    <definedName name="г" localSheetId="11">#REF!</definedName>
    <definedName name="г" localSheetId="20">#REF!</definedName>
    <definedName name="г" localSheetId="23">#REF!</definedName>
    <definedName name="г" localSheetId="21">#REF!</definedName>
    <definedName name="г" localSheetId="17">#REF!</definedName>
    <definedName name="г">#REF!</definedName>
    <definedName name="гг" localSheetId="31" hidden="1">{#N/A,#N/A,FALSE,"Лист4"}</definedName>
    <definedName name="гг" localSheetId="32" hidden="1">{#N/A,#N/A,FALSE,"Лист4"}</definedName>
    <definedName name="гг" localSheetId="11" hidden="1">{#N/A,#N/A,FALSE,"Лист4"}</definedName>
    <definedName name="гг" localSheetId="12" hidden="1">{#N/A,#N/A,FALSE,"Лист4"}</definedName>
    <definedName name="гг" localSheetId="18" hidden="1">{#N/A,#N/A,FALSE,"Лист4"}</definedName>
    <definedName name="гг" localSheetId="19" hidden="1">{#N/A,#N/A,FALSE,"Лист4"}</definedName>
    <definedName name="гг" hidden="1">{#N/A,#N/A,FALSE,"Лист4"}</definedName>
    <definedName name="ггг" localSheetId="31" hidden="1">{#N/A,#N/A,FALSE,"Лист4"}</definedName>
    <definedName name="ггг" localSheetId="32" hidden="1">{#N/A,#N/A,FALSE,"Лист4"}</definedName>
    <definedName name="ггг" localSheetId="11" hidden="1">{#N/A,#N/A,FALSE,"Лист4"}</definedName>
    <definedName name="ггг" localSheetId="12" hidden="1">{#N/A,#N/A,FALSE,"Лист4"}</definedName>
    <definedName name="ггг" localSheetId="18" hidden="1">{#N/A,#N/A,FALSE,"Лист4"}</definedName>
    <definedName name="ггг" localSheetId="19" hidden="1">{#N/A,#N/A,FALSE,"Лист4"}</definedName>
    <definedName name="ггг" hidden="1">{#N/A,#N/A,FALSE,"Лист4"}</definedName>
    <definedName name="ггггг" localSheetId="31" hidden="1">{#N/A,#N/A,FALSE,"Лист4"}</definedName>
    <definedName name="ггггг" localSheetId="32" hidden="1">{#N/A,#N/A,FALSE,"Лист4"}</definedName>
    <definedName name="ггггг" localSheetId="11" hidden="1">{#N/A,#N/A,FALSE,"Лист4"}</definedName>
    <definedName name="ггггг" localSheetId="12" hidden="1">{#N/A,#N/A,FALSE,"Лист4"}</definedName>
    <definedName name="ггггг" localSheetId="18" hidden="1">{#N/A,#N/A,FALSE,"Лист4"}</definedName>
    <definedName name="ггггг" localSheetId="19" hidden="1">{#N/A,#N/A,FALSE,"Лист4"}</definedName>
    <definedName name="ггггг" hidden="1">{#N/A,#N/A,FALSE,"Лист4"}</definedName>
    <definedName name="гго" localSheetId="31" hidden="1">{#N/A,#N/A,FALSE,"Лист4"}</definedName>
    <definedName name="гго" localSheetId="32" hidden="1">{#N/A,#N/A,FALSE,"Лист4"}</definedName>
    <definedName name="гго" localSheetId="11" hidden="1">{#N/A,#N/A,FALSE,"Лист4"}</definedName>
    <definedName name="гго" localSheetId="12" hidden="1">{#N/A,#N/A,FALSE,"Лист4"}</definedName>
    <definedName name="гго" localSheetId="18" hidden="1">{#N/A,#N/A,FALSE,"Лист4"}</definedName>
    <definedName name="гго" localSheetId="19" hidden="1">{#N/A,#N/A,FALSE,"Лист4"}</definedName>
    <definedName name="гго" hidden="1">{#N/A,#N/A,FALSE,"Лист4"}</definedName>
    <definedName name="ггшшз" localSheetId="31" hidden="1">{#N/A,#N/A,FALSE,"Лист4"}</definedName>
    <definedName name="ггшшз" localSheetId="32" hidden="1">{#N/A,#N/A,FALSE,"Лист4"}</definedName>
    <definedName name="ггшшз" localSheetId="11" hidden="1">{#N/A,#N/A,FALSE,"Лист4"}</definedName>
    <definedName name="ггшшз" localSheetId="12" hidden="1">{#N/A,#N/A,FALSE,"Лист4"}</definedName>
    <definedName name="ггшшз" localSheetId="18" hidden="1">{#N/A,#N/A,FALSE,"Лист4"}</definedName>
    <definedName name="ггшшз" localSheetId="19" hidden="1">{#N/A,#N/A,FALSE,"Лист4"}</definedName>
    <definedName name="ггшшз" hidden="1">{#N/A,#N/A,FALSE,"Лист4"}</definedName>
    <definedName name="гр" localSheetId="31" hidden="1">{#N/A,#N/A,FALSE,"Лист4"}</definedName>
    <definedName name="гр" localSheetId="32" hidden="1">{#N/A,#N/A,FALSE,"Лист4"}</definedName>
    <definedName name="гр" localSheetId="11" hidden="1">{#N/A,#N/A,FALSE,"Лист4"}</definedName>
    <definedName name="гр" localSheetId="12" hidden="1">{#N/A,#N/A,FALSE,"Лист4"}</definedName>
    <definedName name="гр" localSheetId="18" hidden="1">{#N/A,#N/A,FALSE,"Лист4"}</definedName>
    <definedName name="гр" localSheetId="19" hidden="1">{#N/A,#N/A,FALSE,"Лист4"}</definedName>
    <definedName name="гр" hidden="1">{#N/A,#N/A,FALSE,"Лист4"}</definedName>
    <definedName name="ддд" localSheetId="31" hidden="1">{#N/A,#N/A,FALSE,"Лист4"}</definedName>
    <definedName name="ддд" localSheetId="32" hidden="1">{#N/A,#N/A,FALSE,"Лист4"}</definedName>
    <definedName name="ддд" localSheetId="11" hidden="1">{#N/A,#N/A,FALSE,"Лист4"}</definedName>
    <definedName name="ддд" localSheetId="12" hidden="1">{#N/A,#N/A,FALSE,"Лист4"}</definedName>
    <definedName name="ддд" localSheetId="18" hidden="1">{#N/A,#N/A,FALSE,"Лист4"}</definedName>
    <definedName name="ддд" localSheetId="19" hidden="1">{#N/A,#N/A,FALSE,"Лист4"}</definedName>
    <definedName name="ддд" hidden="1">{#N/A,#N/A,FALSE,"Лист4"}</definedName>
    <definedName name="ддддддддддддд" localSheetId="24">#REF!</definedName>
    <definedName name="ддддддддддддд" localSheetId="31">#REF!</definedName>
    <definedName name="ддддддддддддд" localSheetId="32">#REF!</definedName>
    <definedName name="ддддддддддддд" localSheetId="26">#REF!</definedName>
    <definedName name="ддддддддддддд" localSheetId="11">#REF!</definedName>
    <definedName name="ддддддддддддд" localSheetId="20">#REF!</definedName>
    <definedName name="ддддддддддддд" localSheetId="23">#REF!</definedName>
    <definedName name="ддддддддддддд" localSheetId="21">#REF!</definedName>
    <definedName name="ддддддддддддд" localSheetId="17">#REF!</definedName>
    <definedName name="ддддддддддддд">#REF!</definedName>
    <definedName name="е" localSheetId="31" hidden="1">{#N/A,#N/A,FALSE,"Лист4"}</definedName>
    <definedName name="е" localSheetId="32" hidden="1">{#N/A,#N/A,FALSE,"Лист4"}</definedName>
    <definedName name="е" localSheetId="11" hidden="1">{#N/A,#N/A,FALSE,"Лист4"}</definedName>
    <definedName name="е" localSheetId="12" hidden="1">{#N/A,#N/A,FALSE,"Лист4"}</definedName>
    <definedName name="е" localSheetId="18" hidden="1">{#N/A,#N/A,FALSE,"Лист4"}</definedName>
    <definedName name="е" localSheetId="19" hidden="1">{#N/A,#N/A,FALSE,"Лист4"}</definedName>
    <definedName name="е" hidden="1">{#N/A,#N/A,FALSE,"Лист4"}</definedName>
    <definedName name="ее" localSheetId="31" hidden="1">{#N/A,#N/A,FALSE,"Лист4"}</definedName>
    <definedName name="ее" localSheetId="32" hidden="1">{#N/A,#N/A,FALSE,"Лист4"}</definedName>
    <definedName name="ее" localSheetId="11" hidden="1">{#N/A,#N/A,FALSE,"Лист4"}</definedName>
    <definedName name="ее" localSheetId="12" hidden="1">{#N/A,#N/A,FALSE,"Лист4"}</definedName>
    <definedName name="ее" localSheetId="18" hidden="1">{#N/A,#N/A,FALSE,"Лист4"}</definedName>
    <definedName name="ее" localSheetId="19" hidden="1">{#N/A,#N/A,FALSE,"Лист4"}</definedName>
    <definedName name="ее" hidden="1">{#N/A,#N/A,FALSE,"Лист4"}</definedName>
    <definedName name="ееге" localSheetId="31" hidden="1">{#N/A,#N/A,FALSE,"Лист4"}</definedName>
    <definedName name="ееге" localSheetId="32" hidden="1">{#N/A,#N/A,FALSE,"Лист4"}</definedName>
    <definedName name="ееге" localSheetId="11" hidden="1">{#N/A,#N/A,FALSE,"Лист4"}</definedName>
    <definedName name="ееге" localSheetId="12" hidden="1">{#N/A,#N/A,FALSE,"Лист4"}</definedName>
    <definedName name="ееге" localSheetId="18" hidden="1">{#N/A,#N/A,FALSE,"Лист4"}</definedName>
    <definedName name="ееге" localSheetId="19" hidden="1">{#N/A,#N/A,FALSE,"Лист4"}</definedName>
    <definedName name="ееге" hidden="1">{#N/A,#N/A,FALSE,"Лист4"}</definedName>
    <definedName name="еегше" localSheetId="31" hidden="1">{#N/A,#N/A,FALSE,"Лист4"}</definedName>
    <definedName name="еегше" localSheetId="32" hidden="1">{#N/A,#N/A,FALSE,"Лист4"}</definedName>
    <definedName name="еегше" localSheetId="11" hidden="1">{#N/A,#N/A,FALSE,"Лист4"}</definedName>
    <definedName name="еегше" localSheetId="12" hidden="1">{#N/A,#N/A,FALSE,"Лист4"}</definedName>
    <definedName name="еегше" localSheetId="18" hidden="1">{#N/A,#N/A,FALSE,"Лист4"}</definedName>
    <definedName name="еегше" localSheetId="19" hidden="1">{#N/A,#N/A,FALSE,"Лист4"}</definedName>
    <definedName name="еегше" hidden="1">{#N/A,#N/A,FALSE,"Лист4"}</definedName>
    <definedName name="еее" localSheetId="31" hidden="1">{#N/A,#N/A,FALSE,"т02бд"}</definedName>
    <definedName name="еее" localSheetId="32" hidden="1">{#N/A,#N/A,FALSE,"т02бд"}</definedName>
    <definedName name="еее" localSheetId="11" hidden="1">{#N/A,#N/A,FALSE,"т02бд"}</definedName>
    <definedName name="еее" localSheetId="12" hidden="1">{#N/A,#N/A,FALSE,"т02бд"}</definedName>
    <definedName name="еее" localSheetId="18" hidden="1">{#N/A,#N/A,FALSE,"т02бд"}</definedName>
    <definedName name="еее" localSheetId="19" hidden="1">{#N/A,#N/A,FALSE,"т02бд"}</definedName>
    <definedName name="еее" hidden="1">{#N/A,#N/A,FALSE,"т02бд"}</definedName>
    <definedName name="ееее" localSheetId="31" hidden="1">{#N/A,#N/A,FALSE,"Лист4"}</definedName>
    <definedName name="ееее" localSheetId="32" hidden="1">{#N/A,#N/A,FALSE,"Лист4"}</definedName>
    <definedName name="ееее" localSheetId="11" hidden="1">{#N/A,#N/A,FALSE,"Лист4"}</definedName>
    <definedName name="ееее" localSheetId="12" hidden="1">{#N/A,#N/A,FALSE,"Лист4"}</definedName>
    <definedName name="ееее" localSheetId="18" hidden="1">{#N/A,#N/A,FALSE,"Лист4"}</definedName>
    <definedName name="ееее" localSheetId="19" hidden="1">{#N/A,#N/A,FALSE,"Лист4"}</definedName>
    <definedName name="ееее" hidden="1">{#N/A,#N/A,FALSE,"Лист4"}</definedName>
    <definedName name="ееекк" localSheetId="31" hidden="1">{#N/A,#N/A,FALSE,"Лист4"}</definedName>
    <definedName name="ееекк" localSheetId="32" hidden="1">{#N/A,#N/A,FALSE,"Лист4"}</definedName>
    <definedName name="ееекк" localSheetId="11" hidden="1">{#N/A,#N/A,FALSE,"Лист4"}</definedName>
    <definedName name="ееекк" localSheetId="12" hidden="1">{#N/A,#N/A,FALSE,"Лист4"}</definedName>
    <definedName name="ееекк" localSheetId="18" hidden="1">{#N/A,#N/A,FALSE,"Лист4"}</definedName>
    <definedName name="ееекк" localSheetId="19" hidden="1">{#N/A,#N/A,FALSE,"Лист4"}</definedName>
    <definedName name="ееекк" hidden="1">{#N/A,#N/A,FALSE,"Лист4"}</definedName>
    <definedName name="еепке" localSheetId="31" hidden="1">{#N/A,#N/A,FALSE,"Лист4"}</definedName>
    <definedName name="еепке" localSheetId="32" hidden="1">{#N/A,#N/A,FALSE,"Лист4"}</definedName>
    <definedName name="еепке" localSheetId="11" hidden="1">{#N/A,#N/A,FALSE,"Лист4"}</definedName>
    <definedName name="еепке" localSheetId="12" hidden="1">{#N/A,#N/A,FALSE,"Лист4"}</definedName>
    <definedName name="еепке" localSheetId="18" hidden="1">{#N/A,#N/A,FALSE,"Лист4"}</definedName>
    <definedName name="еепке" localSheetId="19" hidden="1">{#N/A,#N/A,FALSE,"Лист4"}</definedName>
    <definedName name="еепке" hidden="1">{#N/A,#N/A,FALSE,"Лист4"}</definedName>
    <definedName name="еешгег" localSheetId="31" hidden="1">{#N/A,#N/A,FALSE,"Лист4"}</definedName>
    <definedName name="еешгег" localSheetId="32" hidden="1">{#N/A,#N/A,FALSE,"Лист4"}</definedName>
    <definedName name="еешгег" localSheetId="11" hidden="1">{#N/A,#N/A,FALSE,"Лист4"}</definedName>
    <definedName name="еешгег" localSheetId="12" hidden="1">{#N/A,#N/A,FALSE,"Лист4"}</definedName>
    <definedName name="еешгег" localSheetId="18" hidden="1">{#N/A,#N/A,FALSE,"Лист4"}</definedName>
    <definedName name="еешгег" localSheetId="19" hidden="1">{#N/A,#N/A,FALSE,"Лист4"}</definedName>
    <definedName name="еешгег" hidden="1">{#N/A,#N/A,FALSE,"Лист4"}</definedName>
    <definedName name="екуц" localSheetId="31" hidden="1">{#N/A,#N/A,FALSE,"Лист4"}</definedName>
    <definedName name="екуц" localSheetId="32" hidden="1">{#N/A,#N/A,FALSE,"Лист4"}</definedName>
    <definedName name="екуц" localSheetId="11" hidden="1">{#N/A,#N/A,FALSE,"Лист4"}</definedName>
    <definedName name="екуц" localSheetId="12" hidden="1">{#N/A,#N/A,FALSE,"Лист4"}</definedName>
    <definedName name="екуц" localSheetId="18" hidden="1">{#N/A,#N/A,FALSE,"Лист4"}</definedName>
    <definedName name="екуц" localSheetId="19" hidden="1">{#N/A,#N/A,FALSE,"Лист4"}</definedName>
    <definedName name="екуц" hidden="1">{#N/A,#N/A,FALSE,"Лист4"}</definedName>
    <definedName name="енг" localSheetId="31" hidden="1">{#N/A,#N/A,FALSE,"Лист4"}</definedName>
    <definedName name="енг" localSheetId="32" hidden="1">{#N/A,#N/A,FALSE,"Лист4"}</definedName>
    <definedName name="енг" localSheetId="11" hidden="1">{#N/A,#N/A,FALSE,"Лист4"}</definedName>
    <definedName name="енг" localSheetId="12" hidden="1">{#N/A,#N/A,FALSE,"Лист4"}</definedName>
    <definedName name="енг" localSheetId="18" hidden="1">{#N/A,#N/A,FALSE,"Лист4"}</definedName>
    <definedName name="енг" localSheetId="19" hidden="1">{#N/A,#N/A,FALSE,"Лист4"}</definedName>
    <definedName name="енг" hidden="1">{#N/A,#N/A,FALSE,"Лист4"}</definedName>
    <definedName name="епи" localSheetId="31" hidden="1">{#N/A,#N/A,FALSE,"Лист4"}</definedName>
    <definedName name="епи" localSheetId="32" hidden="1">{#N/A,#N/A,FALSE,"Лист4"}</definedName>
    <definedName name="епи" localSheetId="11" hidden="1">{#N/A,#N/A,FALSE,"Лист4"}</definedName>
    <definedName name="епи" localSheetId="12" hidden="1">{#N/A,#N/A,FALSE,"Лист4"}</definedName>
    <definedName name="епи" localSheetId="18" hidden="1">{#N/A,#N/A,FALSE,"Лист4"}</definedName>
    <definedName name="епи" localSheetId="19" hidden="1">{#N/A,#N/A,FALSE,"Лист4"}</definedName>
    <definedName name="епи" hidden="1">{#N/A,#N/A,FALSE,"Лист4"}</definedName>
    <definedName name="еппп" localSheetId="31" hidden="1">{#N/A,#N/A,FALSE,"т02бд"}</definedName>
    <definedName name="еппп" localSheetId="32" hidden="1">{#N/A,#N/A,FALSE,"т02бд"}</definedName>
    <definedName name="еппп" localSheetId="11" hidden="1">{#N/A,#N/A,FALSE,"т02бд"}</definedName>
    <definedName name="еппп" localSheetId="12" hidden="1">{#N/A,#N/A,FALSE,"т02бд"}</definedName>
    <definedName name="еппп" localSheetId="18" hidden="1">{#N/A,#N/A,FALSE,"т02бд"}</definedName>
    <definedName name="еппп" localSheetId="19" hidden="1">{#N/A,#N/A,FALSE,"т02бд"}</definedName>
    <definedName name="еппп" hidden="1">{#N/A,#N/A,FALSE,"т02бд"}</definedName>
    <definedName name="ешгееуу" localSheetId="31" hidden="1">{#N/A,#N/A,FALSE,"Лист4"}</definedName>
    <definedName name="ешгееуу" localSheetId="32" hidden="1">{#N/A,#N/A,FALSE,"Лист4"}</definedName>
    <definedName name="ешгееуу" localSheetId="11" hidden="1">{#N/A,#N/A,FALSE,"Лист4"}</definedName>
    <definedName name="ешгееуу" localSheetId="12" hidden="1">{#N/A,#N/A,FALSE,"Лист4"}</definedName>
    <definedName name="ешгееуу" localSheetId="18" hidden="1">{#N/A,#N/A,FALSE,"Лист4"}</definedName>
    <definedName name="ешгееуу" localSheetId="19" hidden="1">{#N/A,#N/A,FALSE,"Лист4"}</definedName>
    <definedName name="ешгееуу" hidden="1">{#N/A,#N/A,FALSE,"Лист4"}</definedName>
    <definedName name="є" localSheetId="31" hidden="1">{#N/A,#N/A,FALSE,"Лист4"}</definedName>
    <definedName name="є" localSheetId="32" hidden="1">{#N/A,#N/A,FALSE,"Лист4"}</definedName>
    <definedName name="є" localSheetId="11" hidden="1">{#N/A,#N/A,FALSE,"Лист4"}</definedName>
    <definedName name="є" localSheetId="12" hidden="1">{#N/A,#N/A,FALSE,"Лист4"}</definedName>
    <definedName name="є" localSheetId="18" hidden="1">{#N/A,#N/A,FALSE,"Лист4"}</definedName>
    <definedName name="є" localSheetId="19" hidden="1">{#N/A,#N/A,FALSE,"Лист4"}</definedName>
    <definedName name="є" hidden="1">{#N/A,#N/A,FALSE,"Лист4"}</definedName>
    <definedName name="єєє" localSheetId="31" hidden="1">{#N/A,#N/A,FALSE,"Лист4"}</definedName>
    <definedName name="єєє" localSheetId="32" hidden="1">{#N/A,#N/A,FALSE,"Лист4"}</definedName>
    <definedName name="єєє" localSheetId="11" hidden="1">{#N/A,#N/A,FALSE,"Лист4"}</definedName>
    <definedName name="єєє" localSheetId="12" hidden="1">{#N/A,#N/A,FALSE,"Лист4"}</definedName>
    <definedName name="єєє" localSheetId="18" hidden="1">{#N/A,#N/A,FALSE,"Лист4"}</definedName>
    <definedName name="єєє" localSheetId="19" hidden="1">{#N/A,#N/A,FALSE,"Лист4"}</definedName>
    <definedName name="єєє" hidden="1">{#N/A,#N/A,FALSE,"Лист4"}</definedName>
    <definedName name="єєєєєє" localSheetId="31" hidden="1">{#N/A,#N/A,FALSE,"Лист4"}</definedName>
    <definedName name="єєєєєє" localSheetId="32" hidden="1">{#N/A,#N/A,FALSE,"Лист4"}</definedName>
    <definedName name="єєєєєє" localSheetId="11" hidden="1">{#N/A,#N/A,FALSE,"Лист4"}</definedName>
    <definedName name="єєєєєє" localSheetId="12" hidden="1">{#N/A,#N/A,FALSE,"Лист4"}</definedName>
    <definedName name="єєєєєє" localSheetId="18" hidden="1">{#N/A,#N/A,FALSE,"Лист4"}</definedName>
    <definedName name="єєєєєє" localSheetId="19" hidden="1">{#N/A,#N/A,FALSE,"Лист4"}</definedName>
    <definedName name="єєєєєє" hidden="1">{#N/A,#N/A,FALSE,"Лист4"}</definedName>
    <definedName name="єєєєєєє" localSheetId="31" hidden="1">{#N/A,#N/A,FALSE,"Лист4"}</definedName>
    <definedName name="єєєєєєє" localSheetId="32" hidden="1">{#N/A,#N/A,FALSE,"Лист4"}</definedName>
    <definedName name="єєєєєєє" localSheetId="11" hidden="1">{#N/A,#N/A,FALSE,"Лист4"}</definedName>
    <definedName name="єєєєєєє" localSheetId="12" hidden="1">{#N/A,#N/A,FALSE,"Лист4"}</definedName>
    <definedName name="єєєєєєє" localSheetId="18" hidden="1">{#N/A,#N/A,FALSE,"Лист4"}</definedName>
    <definedName name="єєєєєєє" localSheetId="19" hidden="1">{#N/A,#N/A,FALSE,"Лист4"}</definedName>
    <definedName name="єєєєєєє" hidden="1">{#N/A,#N/A,FALSE,"Лист4"}</definedName>
    <definedName name="єєєєєєє." localSheetId="31" hidden="1">{#N/A,#N/A,FALSE,"Лист4"}</definedName>
    <definedName name="єєєєєєє." localSheetId="32" hidden="1">{#N/A,#N/A,FALSE,"Лист4"}</definedName>
    <definedName name="єєєєєєє." localSheetId="11" hidden="1">{#N/A,#N/A,FALSE,"Лист4"}</definedName>
    <definedName name="єєєєєєє." localSheetId="12" hidden="1">{#N/A,#N/A,FALSE,"Лист4"}</definedName>
    <definedName name="єєєєєєє." localSheetId="18" hidden="1">{#N/A,#N/A,FALSE,"Лист4"}</definedName>
    <definedName name="єєєєєєє." localSheetId="19" hidden="1">{#N/A,#N/A,FALSE,"Лист4"}</definedName>
    <definedName name="єєєєєєє." hidden="1">{#N/A,#N/A,FALSE,"Лист4"}</definedName>
    <definedName name="єєєєєєєєєєєє" localSheetId="31" hidden="1">{#N/A,#N/A,FALSE,"Лист4"}</definedName>
    <definedName name="єєєєєєєєєєєє" localSheetId="32" hidden="1">{#N/A,#N/A,FALSE,"Лист4"}</definedName>
    <definedName name="єєєєєєєєєєєє" localSheetId="11" hidden="1">{#N/A,#N/A,FALSE,"Лист4"}</definedName>
    <definedName name="єєєєєєєєєєєє" localSheetId="12" hidden="1">{#N/A,#N/A,FALSE,"Лист4"}</definedName>
    <definedName name="єєєєєєєєєєєє" localSheetId="18" hidden="1">{#N/A,#N/A,FALSE,"Лист4"}</definedName>
    <definedName name="єєєєєєєєєєєє" localSheetId="19" hidden="1">{#N/A,#N/A,FALSE,"Лист4"}</definedName>
    <definedName name="єєєєєєєєєєєє" hidden="1">{#N/A,#N/A,FALSE,"Лист4"}</definedName>
    <definedName name="єж" localSheetId="31" hidden="1">{#N/A,#N/A,FALSE,"Лист4"}</definedName>
    <definedName name="єж" localSheetId="32" hidden="1">{#N/A,#N/A,FALSE,"Лист4"}</definedName>
    <definedName name="єж" localSheetId="11" hidden="1">{#N/A,#N/A,FALSE,"Лист4"}</definedName>
    <definedName name="єж" localSheetId="12" hidden="1">{#N/A,#N/A,FALSE,"Лист4"}</definedName>
    <definedName name="єж" localSheetId="18" hidden="1">{#N/A,#N/A,FALSE,"Лист4"}</definedName>
    <definedName name="єж" localSheetId="19" hidden="1">{#N/A,#N/A,FALSE,"Лист4"}</definedName>
    <definedName name="єж" hidden="1">{#N/A,#N/A,FALSE,"Лист4"}</definedName>
    <definedName name="ж" localSheetId="31" hidden="1">{#N/A,#N/A,FALSE,"т04"}</definedName>
    <definedName name="ж" localSheetId="32" hidden="1">{#N/A,#N/A,FALSE,"т04"}</definedName>
    <definedName name="ж" localSheetId="11" hidden="1">{#N/A,#N/A,FALSE,"т04"}</definedName>
    <definedName name="ж" localSheetId="12" hidden="1">{#N/A,#N/A,FALSE,"т04"}</definedName>
    <definedName name="ж" localSheetId="18" hidden="1">{#N/A,#N/A,FALSE,"т04"}</definedName>
    <definedName name="ж" localSheetId="19" hidden="1">{#N/A,#N/A,FALSE,"т04"}</definedName>
    <definedName name="ж" hidden="1">{#N/A,#N/A,FALSE,"т04"}</definedName>
    <definedName name="жж" localSheetId="31" hidden="1">{#N/A,#N/A,FALSE,"Лист4"}</definedName>
    <definedName name="жж" localSheetId="32" hidden="1">{#N/A,#N/A,FALSE,"Лист4"}</definedName>
    <definedName name="жж" localSheetId="11" hidden="1">{#N/A,#N/A,FALSE,"Лист4"}</definedName>
    <definedName name="жж" localSheetId="12" hidden="1">{#N/A,#N/A,FALSE,"Лист4"}</definedName>
    <definedName name="жж" localSheetId="18" hidden="1">{#N/A,#N/A,FALSE,"Лист4"}</definedName>
    <definedName name="жж" localSheetId="19" hidden="1">{#N/A,#N/A,FALSE,"Лист4"}</definedName>
    <definedName name="жж" hidden="1">{#N/A,#N/A,FALSE,"Лист4"}</definedName>
    <definedName name="житлове" localSheetId="31" hidden="1">{#N/A,#N/A,FALSE,"Лист4"}</definedName>
    <definedName name="житлове" localSheetId="32" hidden="1">{#N/A,#N/A,FALSE,"Лист4"}</definedName>
    <definedName name="житлове" localSheetId="11" hidden="1">{#N/A,#N/A,FALSE,"Лист4"}</definedName>
    <definedName name="житлове" localSheetId="12" hidden="1">{#N/A,#N/A,FALSE,"Лист4"}</definedName>
    <definedName name="житлове" localSheetId="18" hidden="1">{#N/A,#N/A,FALSE,"Лист4"}</definedName>
    <definedName name="житлове" localSheetId="19" hidden="1">{#N/A,#N/A,FALSE,"Лист4"}</definedName>
    <definedName name="житлове" hidden="1">{#N/A,#N/A,FALSE,"Лист4"}</definedName>
    <definedName name="здоровя" localSheetId="31" hidden="1">{#N/A,#N/A,FALSE,"Лист4"}</definedName>
    <definedName name="здоровя" localSheetId="32" hidden="1">{#N/A,#N/A,FALSE,"Лист4"}</definedName>
    <definedName name="здоровя" localSheetId="11" hidden="1">{#N/A,#N/A,FALSE,"Лист4"}</definedName>
    <definedName name="здоровя" localSheetId="12" hidden="1">{#N/A,#N/A,FALSE,"Лист4"}</definedName>
    <definedName name="здоровя" localSheetId="18" hidden="1">{#N/A,#N/A,FALSE,"Лист4"}</definedName>
    <definedName name="здоровя" localSheetId="19" hidden="1">{#N/A,#N/A,FALSE,"Лист4"}</definedName>
    <definedName name="здоровя" hidden="1">{#N/A,#N/A,FALSE,"Лист4"}</definedName>
    <definedName name="зз" localSheetId="31" hidden="1">{#N/A,#N/A,FALSE,"Лист4"}</definedName>
    <definedName name="зз" localSheetId="32" hidden="1">{#N/A,#N/A,FALSE,"Лист4"}</definedName>
    <definedName name="зз" localSheetId="11" hidden="1">{#N/A,#N/A,FALSE,"Лист4"}</definedName>
    <definedName name="зз" localSheetId="12" hidden="1">{#N/A,#N/A,FALSE,"Лист4"}</definedName>
    <definedName name="зз" localSheetId="18" hidden="1">{#N/A,#N/A,FALSE,"Лист4"}</definedName>
    <definedName name="зз" localSheetId="19" hidden="1">{#N/A,#N/A,FALSE,"Лист4"}</definedName>
    <definedName name="зз" hidden="1">{#N/A,#N/A,FALSE,"Лист4"}</definedName>
    <definedName name="ззз" localSheetId="31" hidden="1">{#N/A,#N/A,FALSE,"Лист4"}</definedName>
    <definedName name="ззз" localSheetId="32" hidden="1">{#N/A,#N/A,FALSE,"Лист4"}</definedName>
    <definedName name="ззз" localSheetId="11" hidden="1">{#N/A,#N/A,FALSE,"Лист4"}</definedName>
    <definedName name="ззз" localSheetId="12" hidden="1">{#N/A,#N/A,FALSE,"Лист4"}</definedName>
    <definedName name="ззз" localSheetId="18" hidden="1">{#N/A,#N/A,FALSE,"Лист4"}</definedName>
    <definedName name="ззз" localSheetId="19" hidden="1">{#N/A,#N/A,FALSE,"Лист4"}</definedName>
    <definedName name="ззз" hidden="1">{#N/A,#N/A,FALSE,"Лист4"}</definedName>
    <definedName name="зззз" localSheetId="31" hidden="1">{#N/A,#N/A,FALSE,"Лист4"}</definedName>
    <definedName name="зззз" localSheetId="32" hidden="1">{#N/A,#N/A,FALSE,"Лист4"}</definedName>
    <definedName name="зззз" localSheetId="11" hidden="1">{#N/A,#N/A,FALSE,"Лист4"}</definedName>
    <definedName name="зззз" localSheetId="12" hidden="1">{#N/A,#N/A,FALSE,"Лист4"}</definedName>
    <definedName name="зззз" localSheetId="18" hidden="1">{#N/A,#N/A,FALSE,"Лист4"}</definedName>
    <definedName name="зззз" localSheetId="19" hidden="1">{#N/A,#N/A,FALSE,"Лист4"}</definedName>
    <definedName name="зззз" hidden="1">{#N/A,#N/A,FALSE,"Лист4"}</definedName>
    <definedName name="ип" localSheetId="31" hidden="1">{#N/A,#N/A,FALSE,"Лист4"}</definedName>
    <definedName name="ип" localSheetId="32" hidden="1">{#N/A,#N/A,FALSE,"Лист4"}</definedName>
    <definedName name="ип" localSheetId="11" hidden="1">{#N/A,#N/A,FALSE,"Лист4"}</definedName>
    <definedName name="ип" localSheetId="12" hidden="1">{#N/A,#N/A,FALSE,"Лист4"}</definedName>
    <definedName name="ип" localSheetId="18" hidden="1">{#N/A,#N/A,FALSE,"Лист4"}</definedName>
    <definedName name="ип" localSheetId="19" hidden="1">{#N/A,#N/A,FALSE,"Лист4"}</definedName>
    <definedName name="ип" hidden="1">{#N/A,#N/A,FALSE,"Лист4"}</definedName>
    <definedName name="ить" localSheetId="31" hidden="1">{#N/A,#N/A,FALSE,"Лист4"}</definedName>
    <definedName name="ить" localSheetId="32" hidden="1">{#N/A,#N/A,FALSE,"Лист4"}</definedName>
    <definedName name="ить" localSheetId="11" hidden="1">{#N/A,#N/A,FALSE,"Лист4"}</definedName>
    <definedName name="ить" localSheetId="12" hidden="1">{#N/A,#N/A,FALSE,"Лист4"}</definedName>
    <definedName name="ить" localSheetId="18" hidden="1">{#N/A,#N/A,FALSE,"Лист4"}</definedName>
    <definedName name="ить" localSheetId="19" hidden="1">{#N/A,#N/A,FALSE,"Лист4"}</definedName>
    <definedName name="ить" hidden="1">{#N/A,#N/A,FALSE,"Лист4"}</definedName>
    <definedName name="і" localSheetId="31" hidden="1">{#N/A,#N/A,FALSE,"т02бд"}</definedName>
    <definedName name="і" localSheetId="32" hidden="1">{#N/A,#N/A,FALSE,"т02бд"}</definedName>
    <definedName name="і" localSheetId="11" hidden="1">{#N/A,#N/A,FALSE,"т02бд"}</definedName>
    <definedName name="і" localSheetId="12" hidden="1">{#N/A,#N/A,FALSE,"т02бд"}</definedName>
    <definedName name="і" localSheetId="18" hidden="1">{#N/A,#N/A,FALSE,"т02бд"}</definedName>
    <definedName name="і" localSheetId="19" hidden="1">{#N/A,#N/A,FALSE,"т02бд"}</definedName>
    <definedName name="і" hidden="1">{#N/A,#N/A,FALSE,"т02бд"}</definedName>
    <definedName name="іваа" localSheetId="31" hidden="1">{#N/A,#N/A,FALSE,"Лист4"}</definedName>
    <definedName name="іваа" localSheetId="32" hidden="1">{#N/A,#N/A,FALSE,"Лист4"}</definedName>
    <definedName name="іваа" localSheetId="11" hidden="1">{#N/A,#N/A,FALSE,"Лист4"}</definedName>
    <definedName name="іваа" localSheetId="12" hidden="1">{#N/A,#N/A,FALSE,"Лист4"}</definedName>
    <definedName name="іваа" localSheetId="18" hidden="1">{#N/A,#N/A,FALSE,"Лист4"}</definedName>
    <definedName name="іваа" localSheetId="19" hidden="1">{#N/A,#N/A,FALSE,"Лист4"}</definedName>
    <definedName name="іваа" hidden="1">{#N/A,#N/A,FALSE,"Лист4"}</definedName>
    <definedName name="івап" localSheetId="31" hidden="1">{#N/A,#N/A,FALSE,"Лист4"}</definedName>
    <definedName name="івап" localSheetId="32" hidden="1">{#N/A,#N/A,FALSE,"Лист4"}</definedName>
    <definedName name="івап" localSheetId="11" hidden="1">{#N/A,#N/A,FALSE,"Лист4"}</definedName>
    <definedName name="івап" localSheetId="12" hidden="1">{#N/A,#N/A,FALSE,"Лист4"}</definedName>
    <definedName name="івап" localSheetId="18" hidden="1">{#N/A,#N/A,FALSE,"Лист4"}</definedName>
    <definedName name="івап" localSheetId="19" hidden="1">{#N/A,#N/A,FALSE,"Лист4"}</definedName>
    <definedName name="івап" hidden="1">{#N/A,#N/A,FALSE,"Лист4"}</definedName>
    <definedName name="івпа" localSheetId="31" hidden="1">{#N/A,#N/A,FALSE,"Лист4"}</definedName>
    <definedName name="івпа" localSheetId="32" hidden="1">{#N/A,#N/A,FALSE,"Лист4"}</definedName>
    <definedName name="івпа" localSheetId="11" hidden="1">{#N/A,#N/A,FALSE,"Лист4"}</definedName>
    <definedName name="івпа" localSheetId="12" hidden="1">{#N/A,#N/A,FALSE,"Лист4"}</definedName>
    <definedName name="івпа" localSheetId="18" hidden="1">{#N/A,#N/A,FALSE,"Лист4"}</definedName>
    <definedName name="івпа" localSheetId="19" hidden="1">{#N/A,#N/A,FALSE,"Лист4"}</definedName>
    <definedName name="івпа" hidden="1">{#N/A,#N/A,FALSE,"Лист4"}</definedName>
    <definedName name="іі" localSheetId="31" hidden="1">{#N/A,#N/A,FALSE,"Лист4"}</definedName>
    <definedName name="іі" localSheetId="32" hidden="1">{#N/A,#N/A,FALSE,"Лист4"}</definedName>
    <definedName name="іі" localSheetId="11" hidden="1">{#N/A,#N/A,FALSE,"Лист4"}</definedName>
    <definedName name="іі" localSheetId="12" hidden="1">{#N/A,#N/A,FALSE,"Лист4"}</definedName>
    <definedName name="іі" localSheetId="18" hidden="1">{#N/A,#N/A,FALSE,"Лист4"}</definedName>
    <definedName name="іі" localSheetId="19" hidden="1">{#N/A,#N/A,FALSE,"Лист4"}</definedName>
    <definedName name="іі" hidden="1">{#N/A,#N/A,FALSE,"Лист4"}</definedName>
    <definedName name="ііі" localSheetId="31" hidden="1">{#N/A,#N/A,FALSE,"Лист4"}</definedName>
    <definedName name="ііі" localSheetId="32" hidden="1">{#N/A,#N/A,FALSE,"Лист4"}</definedName>
    <definedName name="ііі" localSheetId="11" hidden="1">{#N/A,#N/A,FALSE,"Лист4"}</definedName>
    <definedName name="ііі" localSheetId="12" hidden="1">{#N/A,#N/A,FALSE,"Лист4"}</definedName>
    <definedName name="ііі" localSheetId="18" hidden="1">{#N/A,#N/A,FALSE,"Лист4"}</definedName>
    <definedName name="ііі" localSheetId="19" hidden="1">{#N/A,#N/A,FALSE,"Лист4"}</definedName>
    <definedName name="ііі" hidden="1">{#N/A,#N/A,FALSE,"Лист4"}</definedName>
    <definedName name="іііі" localSheetId="31" hidden="1">{#N/A,#N/A,FALSE,"Лист4"}</definedName>
    <definedName name="іііі" localSheetId="32" hidden="1">{#N/A,#N/A,FALSE,"Лист4"}</definedName>
    <definedName name="іііі" localSheetId="11" hidden="1">{#N/A,#N/A,FALSE,"Лист4"}</definedName>
    <definedName name="іііі" localSheetId="12" hidden="1">{#N/A,#N/A,FALSE,"Лист4"}</definedName>
    <definedName name="іііі" localSheetId="18" hidden="1">{#N/A,#N/A,FALSE,"Лист4"}</definedName>
    <definedName name="іііі" localSheetId="19" hidden="1">{#N/A,#N/A,FALSE,"Лист4"}</definedName>
    <definedName name="іііі" hidden="1">{#N/A,#N/A,FALSE,"Лист4"}</definedName>
    <definedName name="ін" localSheetId="31" hidden="1">{#N/A,#N/A,FALSE,"Лист4"}</definedName>
    <definedName name="ін" localSheetId="32" hidden="1">{#N/A,#N/A,FALSE,"Лист4"}</definedName>
    <definedName name="ін" localSheetId="11" hidden="1">{#N/A,#N/A,FALSE,"Лист4"}</definedName>
    <definedName name="ін" localSheetId="12" hidden="1">{#N/A,#N/A,FALSE,"Лист4"}</definedName>
    <definedName name="ін" localSheetId="18" hidden="1">{#N/A,#N/A,FALSE,"Лист4"}</definedName>
    <definedName name="ін" localSheetId="19" hidden="1">{#N/A,#N/A,FALSE,"Лист4"}</definedName>
    <definedName name="ін" hidden="1">{#N/A,#N/A,FALSE,"Лист4"}</definedName>
    <definedName name="інші" localSheetId="31" hidden="1">{#N/A,#N/A,FALSE,"Лист4"}</definedName>
    <definedName name="інші" localSheetId="32" hidden="1">{#N/A,#N/A,FALSE,"Лист4"}</definedName>
    <definedName name="інші" localSheetId="11" hidden="1">{#N/A,#N/A,FALSE,"Лист4"}</definedName>
    <definedName name="інші" localSheetId="12" hidden="1">{#N/A,#N/A,FALSE,"Лист4"}</definedName>
    <definedName name="інші" localSheetId="18" hidden="1">{#N/A,#N/A,FALSE,"Лист4"}</definedName>
    <definedName name="інші" localSheetId="19" hidden="1">{#N/A,#N/A,FALSE,"Лист4"}</definedName>
    <definedName name="інші" hidden="1">{#N/A,#N/A,FALSE,"Лист4"}</definedName>
    <definedName name="іук" localSheetId="31" hidden="1">{#N/A,#N/A,FALSE,"Лист4"}</definedName>
    <definedName name="іук" localSheetId="32" hidden="1">{#N/A,#N/A,FALSE,"Лист4"}</definedName>
    <definedName name="іук" localSheetId="11" hidden="1">{#N/A,#N/A,FALSE,"Лист4"}</definedName>
    <definedName name="іук" localSheetId="12" hidden="1">{#N/A,#N/A,FALSE,"Лист4"}</definedName>
    <definedName name="іук" localSheetId="18" hidden="1">{#N/A,#N/A,FALSE,"Лист4"}</definedName>
    <definedName name="іук" localSheetId="19" hidden="1">{#N/A,#N/A,FALSE,"Лист4"}</definedName>
    <definedName name="іук" hidden="1">{#N/A,#N/A,FALSE,"Лист4"}</definedName>
    <definedName name="їжд" localSheetId="31" hidden="1">{#N/A,#N/A,FALSE,"Лист4"}</definedName>
    <definedName name="їжд" localSheetId="32" hidden="1">{#N/A,#N/A,FALSE,"Лист4"}</definedName>
    <definedName name="їжд" localSheetId="11" hidden="1">{#N/A,#N/A,FALSE,"Лист4"}</definedName>
    <definedName name="їжд" localSheetId="12" hidden="1">{#N/A,#N/A,FALSE,"Лист4"}</definedName>
    <definedName name="їжд" localSheetId="18" hidden="1">{#N/A,#N/A,FALSE,"Лист4"}</definedName>
    <definedName name="їжд" localSheetId="19" hidden="1">{#N/A,#N/A,FALSE,"Лист4"}</definedName>
    <definedName name="їжд" hidden="1">{#N/A,#N/A,FALSE,"Лист4"}</definedName>
    <definedName name="й" localSheetId="31" hidden="1">{#N/A,#N/A,FALSE,"т02бд"}</definedName>
    <definedName name="й" localSheetId="32" hidden="1">{#N/A,#N/A,FALSE,"т02бд"}</definedName>
    <definedName name="й" localSheetId="11" hidden="1">{#N/A,#N/A,FALSE,"т02бд"}</definedName>
    <definedName name="й" localSheetId="12" hidden="1">{#N/A,#N/A,FALSE,"т02бд"}</definedName>
    <definedName name="й" localSheetId="18" hidden="1">{#N/A,#N/A,FALSE,"т02бд"}</definedName>
    <definedName name="й" localSheetId="19" hidden="1">{#N/A,#N/A,FALSE,"т02бд"}</definedName>
    <definedName name="й" hidden="1">{#N/A,#N/A,FALSE,"т02бд"}</definedName>
    <definedName name="йив" localSheetId="31" hidden="1">{#N/A,#N/A,FALSE,"т02бд"}</definedName>
    <definedName name="йив" localSheetId="32" hidden="1">{#N/A,#N/A,FALSE,"т02бд"}</definedName>
    <definedName name="йив" localSheetId="11" hidden="1">{#N/A,#N/A,FALSE,"т02бд"}</definedName>
    <definedName name="йив" localSheetId="12" hidden="1">{#N/A,#N/A,FALSE,"т02бд"}</definedName>
    <definedName name="йив" localSheetId="18" hidden="1">{#N/A,#N/A,FALSE,"т02бд"}</definedName>
    <definedName name="йив" localSheetId="19" hidden="1">{#N/A,#N/A,FALSE,"т02бд"}</definedName>
    <definedName name="йив" hidden="1">{#N/A,#N/A,FALSE,"т02бд"}</definedName>
    <definedName name="ййй" localSheetId="31" hidden="1">{#N/A,#N/A,FALSE,"Лист4"}</definedName>
    <definedName name="ййй" localSheetId="32" hidden="1">{#N/A,#N/A,FALSE,"Лист4"}</definedName>
    <definedName name="ййй" localSheetId="11" hidden="1">{#N/A,#N/A,FALSE,"Лист4"}</definedName>
    <definedName name="ййй" localSheetId="12" hidden="1">{#N/A,#N/A,FALSE,"Лист4"}</definedName>
    <definedName name="ййй" localSheetId="18" hidden="1">{#N/A,#N/A,FALSE,"Лист4"}</definedName>
    <definedName name="ййй" localSheetId="19" hidden="1">{#N/A,#N/A,FALSE,"Лист4"}</definedName>
    <definedName name="ййй" hidden="1">{#N/A,#N/A,FALSE,"Лист4"}</definedName>
    <definedName name="йййй" localSheetId="31" hidden="1">{#N/A,#N/A,FALSE,"Лист4"}</definedName>
    <definedName name="йййй" localSheetId="32" hidden="1">{#N/A,#N/A,FALSE,"Лист4"}</definedName>
    <definedName name="йййй" localSheetId="11" hidden="1">{#N/A,#N/A,FALSE,"Лист4"}</definedName>
    <definedName name="йййй" localSheetId="12" hidden="1">{#N/A,#N/A,FALSE,"Лист4"}</definedName>
    <definedName name="йййй" localSheetId="18" hidden="1">{#N/A,#N/A,FALSE,"Лист4"}</definedName>
    <definedName name="йййй" localSheetId="19" hidden="1">{#N/A,#N/A,FALSE,"Лист4"}</definedName>
    <definedName name="йййй" hidden="1">{#N/A,#N/A,FALSE,"Лист4"}</definedName>
    <definedName name="квефі" localSheetId="31" hidden="1">{#N/A,#N/A,FALSE,"I";#N/A,#N/A,FALSE,"J";#N/A,#N/A,FALSE,"K";#N/A,#N/A,FALSE,"L";#N/A,#N/A,FALSE,"M";#N/A,#N/A,FALSE,"N";#N/A,#N/A,FALSE,"O"}</definedName>
    <definedName name="квефі" localSheetId="32" hidden="1">{#N/A,#N/A,FALSE,"I";#N/A,#N/A,FALSE,"J";#N/A,#N/A,FALSE,"K";#N/A,#N/A,FALSE,"L";#N/A,#N/A,FALSE,"M";#N/A,#N/A,FALSE,"N";#N/A,#N/A,FALSE,"O"}</definedName>
    <definedName name="квефі" localSheetId="11" hidden="1">{#N/A,#N/A,FALSE,"I";#N/A,#N/A,FALSE,"J";#N/A,#N/A,FALSE,"K";#N/A,#N/A,FALSE,"L";#N/A,#N/A,FALSE,"M";#N/A,#N/A,FALSE,"N";#N/A,#N/A,FALSE,"O"}</definedName>
    <definedName name="квефі" localSheetId="12" hidden="1">{#N/A,#N/A,FALSE,"I";#N/A,#N/A,FALSE,"J";#N/A,#N/A,FALSE,"K";#N/A,#N/A,FALSE,"L";#N/A,#N/A,FALSE,"M";#N/A,#N/A,FALSE,"N";#N/A,#N/A,FALSE,"O"}</definedName>
    <definedName name="квефі" localSheetId="18" hidden="1">{#N/A,#N/A,FALSE,"I";#N/A,#N/A,FALSE,"J";#N/A,#N/A,FALSE,"K";#N/A,#N/A,FALSE,"L";#N/A,#N/A,FALSE,"M";#N/A,#N/A,FALSE,"N";#N/A,#N/A,FALSE,"O"}</definedName>
    <definedName name="квефі" localSheetId="19" hidden="1">{#N/A,#N/A,FALSE,"I";#N/A,#N/A,FALSE,"J";#N/A,#N/A,FALSE,"K";#N/A,#N/A,FALSE,"L";#N/A,#N/A,FALSE,"M";#N/A,#N/A,FALSE,"N";#N/A,#N/A,FALSE,"O"}</definedName>
    <definedName name="квефі" hidden="1">{#N/A,#N/A,FALSE,"I";#N/A,#N/A,FALSE,"J";#N/A,#N/A,FALSE,"K";#N/A,#N/A,FALSE,"L";#N/A,#N/A,FALSE,"M";#N/A,#N/A,FALSE,"N";#N/A,#N/A,FALSE,"O"}</definedName>
    <definedName name="кгккг" localSheetId="31" hidden="1">{#N/A,#N/A,FALSE,"Лист4"}</definedName>
    <definedName name="кгккг" localSheetId="32" hidden="1">{#N/A,#N/A,FALSE,"Лист4"}</definedName>
    <definedName name="кгккг" localSheetId="11" hidden="1">{#N/A,#N/A,FALSE,"Лист4"}</definedName>
    <definedName name="кгккг" localSheetId="12" hidden="1">{#N/A,#N/A,FALSE,"Лист4"}</definedName>
    <definedName name="кгккг" localSheetId="18" hidden="1">{#N/A,#N/A,FALSE,"Лист4"}</definedName>
    <definedName name="кгккг" localSheetId="19" hidden="1">{#N/A,#N/A,FALSE,"Лист4"}</definedName>
    <definedName name="кгккг" hidden="1">{#N/A,#N/A,FALSE,"Лист4"}</definedName>
    <definedName name="кгкккк" localSheetId="31" hidden="1">{#N/A,#N/A,FALSE,"Лист4"}</definedName>
    <definedName name="кгкккк" localSheetId="32" hidden="1">{#N/A,#N/A,FALSE,"Лист4"}</definedName>
    <definedName name="кгкккк" localSheetId="11" hidden="1">{#N/A,#N/A,FALSE,"Лист4"}</definedName>
    <definedName name="кгкккк" localSheetId="12" hidden="1">{#N/A,#N/A,FALSE,"Лист4"}</definedName>
    <definedName name="кгкккк" localSheetId="18" hidden="1">{#N/A,#N/A,FALSE,"Лист4"}</definedName>
    <definedName name="кгкккк" localSheetId="19" hidden="1">{#N/A,#N/A,FALSE,"Лист4"}</definedName>
    <definedName name="кгкккк" hidden="1">{#N/A,#N/A,FALSE,"Лист4"}</definedName>
    <definedName name="кеуц" localSheetId="31" hidden="1">{#N/A,#N/A,FALSE,"Лист4"}</definedName>
    <definedName name="кеуц" localSheetId="32" hidden="1">{#N/A,#N/A,FALSE,"Лист4"}</definedName>
    <definedName name="кеуц" localSheetId="11" hidden="1">{#N/A,#N/A,FALSE,"Лист4"}</definedName>
    <definedName name="кеуц" localSheetId="12" hidden="1">{#N/A,#N/A,FALSE,"Лист4"}</definedName>
    <definedName name="кеуц" localSheetId="18" hidden="1">{#N/A,#N/A,FALSE,"Лист4"}</definedName>
    <definedName name="кеуц" localSheetId="19" hidden="1">{#N/A,#N/A,FALSE,"Лист4"}</definedName>
    <definedName name="кеуц" hidden="1">{#N/A,#N/A,FALSE,"Лист4"}</definedName>
    <definedName name="кк" localSheetId="31" hidden="1">{#N/A,#N/A,FALSE,"Лист4"}</definedName>
    <definedName name="кк" localSheetId="32" hidden="1">{#N/A,#N/A,FALSE,"Лист4"}</definedName>
    <definedName name="кк" localSheetId="11" hidden="1">{#N/A,#N/A,FALSE,"Лист4"}</definedName>
    <definedName name="кк" localSheetId="12" hidden="1">{#N/A,#N/A,FALSE,"Лист4"}</definedName>
    <definedName name="кк" localSheetId="18" hidden="1">{#N/A,#N/A,FALSE,"Лист4"}</definedName>
    <definedName name="кк" localSheetId="19" hidden="1">{#N/A,#N/A,FALSE,"Лист4"}</definedName>
    <definedName name="кк" hidden="1">{#N/A,#N/A,FALSE,"Лист4"}</definedName>
    <definedName name="ккгкг" localSheetId="31" hidden="1">{#N/A,#N/A,FALSE,"Лист4"}</definedName>
    <definedName name="ккгкг" localSheetId="32" hidden="1">{#N/A,#N/A,FALSE,"Лист4"}</definedName>
    <definedName name="ккгкг" localSheetId="11" hidden="1">{#N/A,#N/A,FALSE,"Лист4"}</definedName>
    <definedName name="ккгкг" localSheetId="12" hidden="1">{#N/A,#N/A,FALSE,"Лист4"}</definedName>
    <definedName name="ккгкг" localSheetId="18" hidden="1">{#N/A,#N/A,FALSE,"Лист4"}</definedName>
    <definedName name="ккгкг" localSheetId="19" hidden="1">{#N/A,#N/A,FALSE,"Лист4"}</definedName>
    <definedName name="ккгкг" hidden="1">{#N/A,#N/A,FALSE,"Лист4"}</definedName>
    <definedName name="ккк" localSheetId="24">#REF!</definedName>
    <definedName name="ккк" localSheetId="31">#REF!</definedName>
    <definedName name="ккк" localSheetId="32">#REF!</definedName>
    <definedName name="ккк" localSheetId="26">#REF!</definedName>
    <definedName name="ккк" localSheetId="11">#REF!</definedName>
    <definedName name="ккк" localSheetId="20">#REF!</definedName>
    <definedName name="ккк" localSheetId="23">#REF!</definedName>
    <definedName name="ккк" localSheetId="21">#REF!</definedName>
    <definedName name="ккк" localSheetId="17">#REF!</definedName>
    <definedName name="ккк" localSheetId="12">#REF!</definedName>
    <definedName name="ккк" localSheetId="18">#REF!</definedName>
    <definedName name="ккк" localSheetId="19">#REF!</definedName>
    <definedName name="ккк">#REF!</definedName>
    <definedName name="кккну" localSheetId="31" hidden="1">{#N/A,#N/A,FALSE,"Лист4"}</definedName>
    <definedName name="кккну" localSheetId="32" hidden="1">{#N/A,#N/A,FALSE,"Лист4"}</definedName>
    <definedName name="кккну" localSheetId="11" hidden="1">{#N/A,#N/A,FALSE,"Лист4"}</definedName>
    <definedName name="кккну" localSheetId="12" hidden="1">{#N/A,#N/A,FALSE,"Лист4"}</definedName>
    <definedName name="кккну" localSheetId="18" hidden="1">{#N/A,#N/A,FALSE,"Лист4"}</definedName>
    <definedName name="кккну" localSheetId="19" hidden="1">{#N/A,#N/A,FALSE,"Лист4"}</definedName>
    <definedName name="кккну" hidden="1">{#N/A,#N/A,FALSE,"Лист4"}</definedName>
    <definedName name="кккокк" localSheetId="31" hidden="1">{#N/A,#N/A,FALSE,"Лист4"}</definedName>
    <definedName name="кккокк" localSheetId="32" hidden="1">{#N/A,#N/A,FALSE,"Лист4"}</definedName>
    <definedName name="кккокк" localSheetId="11" hidden="1">{#N/A,#N/A,FALSE,"Лист4"}</definedName>
    <definedName name="кккокк" localSheetId="12" hidden="1">{#N/A,#N/A,FALSE,"Лист4"}</definedName>
    <definedName name="кккокк" localSheetId="18" hidden="1">{#N/A,#N/A,FALSE,"Лист4"}</definedName>
    <definedName name="кккокк" localSheetId="19" hidden="1">{#N/A,#N/A,FALSE,"Лист4"}</definedName>
    <definedName name="кккокк" hidden="1">{#N/A,#N/A,FALSE,"Лист4"}</definedName>
    <definedName name="комунальне" localSheetId="31" hidden="1">{#N/A,#N/A,FALSE,"Лист4"}</definedName>
    <definedName name="комунальне" localSheetId="32" hidden="1">{#N/A,#N/A,FALSE,"Лист4"}</definedName>
    <definedName name="комунальне" localSheetId="11" hidden="1">{#N/A,#N/A,FALSE,"Лист4"}</definedName>
    <definedName name="комунальне" localSheetId="12" hidden="1">{#N/A,#N/A,FALSE,"Лист4"}</definedName>
    <definedName name="комунальне" localSheetId="18" hidden="1">{#N/A,#N/A,FALSE,"Лист4"}</definedName>
    <definedName name="комунальне" localSheetId="19" hidden="1">{#N/A,#N/A,FALSE,"Лист4"}</definedName>
    <definedName name="комунальне" hidden="1">{#N/A,#N/A,FALSE,"Лист4"}</definedName>
    <definedName name="кот" localSheetId="31" hidden="1">{#N/A,#N/A,FALSE,"Лист4"}</definedName>
    <definedName name="кот" localSheetId="32" hidden="1">{#N/A,#N/A,FALSE,"Лист4"}</definedName>
    <definedName name="кот" localSheetId="11" hidden="1">{#N/A,#N/A,FALSE,"Лист4"}</definedName>
    <definedName name="кот" localSheetId="12" hidden="1">{#N/A,#N/A,FALSE,"Лист4"}</definedName>
    <definedName name="кот" localSheetId="18" hidden="1">{#N/A,#N/A,FALSE,"Лист4"}</definedName>
    <definedName name="кот" localSheetId="19" hidden="1">{#N/A,#N/A,FALSE,"Лист4"}</definedName>
    <definedName name="кот" hidden="1">{#N/A,#N/A,FALSE,"Лист4"}</definedName>
    <definedName name="кр" localSheetId="31" hidden="1">{#N/A,#N/A,FALSE,"Лист4"}</definedName>
    <definedName name="кр" localSheetId="32" hidden="1">{#N/A,#N/A,FALSE,"Лист4"}</definedName>
    <definedName name="кр" localSheetId="11" hidden="1">{#N/A,#N/A,FALSE,"Лист4"}</definedName>
    <definedName name="кр" localSheetId="12" hidden="1">{#N/A,#N/A,FALSE,"Лист4"}</definedName>
    <definedName name="кр" localSheetId="18" hidden="1">{#N/A,#N/A,FALSE,"Лист4"}</definedName>
    <definedName name="кр" localSheetId="19" hidden="1">{#N/A,#N/A,FALSE,"Лист4"}</definedName>
    <definedName name="кр" hidden="1">{#N/A,#N/A,FALSE,"Лист4"}</definedName>
    <definedName name="культура" localSheetId="31" hidden="1">{#N/A,#N/A,FALSE,"Лист4"}</definedName>
    <definedName name="культура" localSheetId="32" hidden="1">{#N/A,#N/A,FALSE,"Лист4"}</definedName>
    <definedName name="культура" localSheetId="11" hidden="1">{#N/A,#N/A,FALSE,"Лист4"}</definedName>
    <definedName name="культура" localSheetId="12" hidden="1">{#N/A,#N/A,FALSE,"Лист4"}</definedName>
    <definedName name="культура" localSheetId="18" hidden="1">{#N/A,#N/A,FALSE,"Лист4"}</definedName>
    <definedName name="культура" localSheetId="19" hidden="1">{#N/A,#N/A,FALSE,"Лист4"}</definedName>
    <definedName name="культура" hidden="1">{#N/A,#N/A,FALSE,"Лист4"}</definedName>
    <definedName name="л" localSheetId="31" hidden="1">{#N/A,#N/A,FALSE,"Лист4"}</definedName>
    <definedName name="л" localSheetId="32" hidden="1">{#N/A,#N/A,FALSE,"Лист4"}</definedName>
    <definedName name="л" localSheetId="11" hidden="1">{#N/A,#N/A,FALSE,"Лист4"}</definedName>
    <definedName name="л" localSheetId="12" hidden="1">{#N/A,#N/A,FALSE,"Лист4"}</definedName>
    <definedName name="л" localSheetId="18" hidden="1">{#N/A,#N/A,FALSE,"Лист4"}</definedName>
    <definedName name="л" localSheetId="19" hidden="1">{#N/A,#N/A,FALSE,"Лист4"}</definedName>
    <definedName name="л" hidden="1">{#N/A,#N/A,FALSE,"Лист4"}</definedName>
    <definedName name="лд" localSheetId="31" hidden="1">{#N/A,#N/A,FALSE,"Лист4"}</definedName>
    <definedName name="лд" localSheetId="32" hidden="1">{#N/A,#N/A,FALSE,"Лист4"}</definedName>
    <definedName name="лд" localSheetId="11" hidden="1">{#N/A,#N/A,FALSE,"Лист4"}</definedName>
    <definedName name="лд" localSheetId="12" hidden="1">{#N/A,#N/A,FALSE,"Лист4"}</definedName>
    <definedName name="лд" localSheetId="18" hidden="1">{#N/A,#N/A,FALSE,"Лист4"}</definedName>
    <definedName name="лд" localSheetId="19" hidden="1">{#N/A,#N/A,FALSE,"Лист4"}</definedName>
    <definedName name="лд" hidden="1">{#N/A,#N/A,FALSE,"Лист4"}</definedName>
    <definedName name="лл" localSheetId="31" hidden="1">{#N/A,#N/A,FALSE,"Лист4"}</definedName>
    <definedName name="лл" localSheetId="32" hidden="1">{#N/A,#N/A,FALSE,"Лист4"}</definedName>
    <definedName name="лл" localSheetId="11" hidden="1">{#N/A,#N/A,FALSE,"Лист4"}</definedName>
    <definedName name="лл" localSheetId="12" hidden="1">{#N/A,#N/A,FALSE,"Лист4"}</definedName>
    <definedName name="лл" localSheetId="18" hidden="1">{#N/A,#N/A,FALSE,"Лист4"}</definedName>
    <definedName name="лл" localSheetId="19" hidden="1">{#N/A,#N/A,FALSE,"Лист4"}</definedName>
    <definedName name="лл" hidden="1">{#N/A,#N/A,FALSE,"Лист4"}</definedName>
    <definedName name="ллл" localSheetId="31" hidden="1">{#N/A,#N/A,FALSE,"Лист4"}</definedName>
    <definedName name="ллл" localSheetId="32" hidden="1">{#N/A,#N/A,FALSE,"Лист4"}</definedName>
    <definedName name="ллл" localSheetId="11" hidden="1">{#N/A,#N/A,FALSE,"Лист4"}</definedName>
    <definedName name="ллл" localSheetId="12" hidden="1">{#N/A,#N/A,FALSE,"Лист4"}</definedName>
    <definedName name="ллл" localSheetId="18" hidden="1">{#N/A,#N/A,FALSE,"Лист4"}</definedName>
    <definedName name="ллл" localSheetId="19" hidden="1">{#N/A,#N/A,FALSE,"Лист4"}</definedName>
    <definedName name="ллл" hidden="1">{#N/A,#N/A,FALSE,"Лист4"}</definedName>
    <definedName name="лнпллпл" localSheetId="31" hidden="1">{#N/A,#N/A,FALSE,"Лист4"}</definedName>
    <definedName name="лнпллпл" localSheetId="32" hidden="1">{#N/A,#N/A,FALSE,"Лист4"}</definedName>
    <definedName name="лнпллпл" localSheetId="11" hidden="1">{#N/A,#N/A,FALSE,"Лист4"}</definedName>
    <definedName name="лнпллпл" localSheetId="12" hidden="1">{#N/A,#N/A,FALSE,"Лист4"}</definedName>
    <definedName name="лнпллпл" localSheetId="18" hidden="1">{#N/A,#N/A,FALSE,"Лист4"}</definedName>
    <definedName name="лнпллпл" localSheetId="19" hidden="1">{#N/A,#N/A,FALSE,"Лист4"}</definedName>
    <definedName name="лнпллпл" hidden="1">{#N/A,#N/A,FALSE,"Лист4"}</definedName>
    <definedName name="лор" localSheetId="31" hidden="1">{#N/A,#N/A,FALSE,"т02бд"}</definedName>
    <definedName name="лор" localSheetId="32" hidden="1">{#N/A,#N/A,FALSE,"т02бд"}</definedName>
    <definedName name="лор" localSheetId="11" hidden="1">{#N/A,#N/A,FALSE,"т02бд"}</definedName>
    <definedName name="лор" localSheetId="12" hidden="1">{#N/A,#N/A,FALSE,"т02бд"}</definedName>
    <definedName name="лор" localSheetId="18" hidden="1">{#N/A,#N/A,FALSE,"т02бд"}</definedName>
    <definedName name="лор" localSheetId="19" hidden="1">{#N/A,#N/A,FALSE,"т02бд"}</definedName>
    <definedName name="лор" hidden="1">{#N/A,#N/A,FALSE,"т02бд"}</definedName>
    <definedName name="мак" localSheetId="31" hidden="1">{#N/A,#N/A,FALSE,"Лист4"}</definedName>
    <definedName name="мак" localSheetId="32" hidden="1">{#N/A,#N/A,FALSE,"Лист4"}</definedName>
    <definedName name="мак" localSheetId="11" hidden="1">{#N/A,#N/A,FALSE,"Лист4"}</definedName>
    <definedName name="мак" localSheetId="12" hidden="1">{#N/A,#N/A,FALSE,"Лист4"}</definedName>
    <definedName name="мак" localSheetId="18" hidden="1">{#N/A,#N/A,FALSE,"Лист4"}</definedName>
    <definedName name="мак" localSheetId="19" hidden="1">{#N/A,#N/A,FALSE,"Лист4"}</definedName>
    <definedName name="мак" hidden="1">{#N/A,#N/A,FALSE,"Лист4"}</definedName>
    <definedName name="мм" localSheetId="31" hidden="1">{#N/A,#N/A,FALSE,"Лист4"}</definedName>
    <definedName name="мм" localSheetId="32" hidden="1">{#N/A,#N/A,FALSE,"Лист4"}</definedName>
    <definedName name="мм" localSheetId="11" hidden="1">{#N/A,#N/A,FALSE,"Лист4"}</definedName>
    <definedName name="мм" localSheetId="12" hidden="1">{#N/A,#N/A,FALSE,"Лист4"}</definedName>
    <definedName name="мм" localSheetId="18" hidden="1">{#N/A,#N/A,FALSE,"Лист4"}</definedName>
    <definedName name="мм" localSheetId="19" hidden="1">{#N/A,#N/A,FALSE,"Лист4"}</definedName>
    <definedName name="мм" hidden="1">{#N/A,#N/A,FALSE,"Лист4"}</definedName>
    <definedName name="ммм" localSheetId="31" hidden="1">{"'Всего'!$A$1:$F$19"}</definedName>
    <definedName name="ммм" localSheetId="32" hidden="1">{"'Всего'!$A$1:$F$19"}</definedName>
    <definedName name="ммм" localSheetId="11" hidden="1">{"'Всего'!$A$1:$F$19"}</definedName>
    <definedName name="ммм" localSheetId="12" hidden="1">{"'Всего'!$A$1:$F$19"}</definedName>
    <definedName name="ммм" localSheetId="18" hidden="1">{"'Всего'!$A$1:$F$19"}</definedName>
    <definedName name="ммм" localSheetId="19" hidden="1">{"'Всего'!$A$1:$F$19"}</definedName>
    <definedName name="ммм" hidden="1">{"'Всего'!$A$1:$F$19"}</definedName>
    <definedName name="ммм_2" localSheetId="31" hidden="1">{"'Всего'!$A$1:$F$19"}</definedName>
    <definedName name="ммм_2" localSheetId="32" hidden="1">{"'Всего'!$A$1:$F$19"}</definedName>
    <definedName name="ммм_2" localSheetId="11" hidden="1">{"'Всего'!$A$1:$F$19"}</definedName>
    <definedName name="ммм_2" localSheetId="12" hidden="1">{"'Всего'!$A$1:$F$19"}</definedName>
    <definedName name="ммм_2" localSheetId="18" hidden="1">{"'Всего'!$A$1:$F$19"}</definedName>
    <definedName name="ммм_2" localSheetId="19" hidden="1">{"'Всего'!$A$1:$F$19"}</definedName>
    <definedName name="ммм_2" hidden="1">{"'Всего'!$A$1:$F$19"}</definedName>
    <definedName name="ммм_3" localSheetId="31" hidden="1">{"'Всего'!$A$1:$F$19"}</definedName>
    <definedName name="ммм_3" localSheetId="32" hidden="1">{"'Всего'!$A$1:$F$19"}</definedName>
    <definedName name="ммм_3" localSheetId="11" hidden="1">{"'Всего'!$A$1:$F$19"}</definedName>
    <definedName name="ммм_3" localSheetId="12" hidden="1">{"'Всего'!$A$1:$F$19"}</definedName>
    <definedName name="ммм_3" localSheetId="18" hidden="1">{"'Всего'!$A$1:$F$19"}</definedName>
    <definedName name="ммм_3" localSheetId="19" hidden="1">{"'Всего'!$A$1:$F$19"}</definedName>
    <definedName name="ммм_3" hidden="1">{"'Всего'!$A$1:$F$19"}</definedName>
    <definedName name="ммм_4" localSheetId="31" hidden="1">{"'Всего'!$A$1:$F$19"}</definedName>
    <definedName name="ммм_4" localSheetId="32" hidden="1">{"'Всего'!$A$1:$F$19"}</definedName>
    <definedName name="ммм_4" localSheetId="11" hidden="1">{"'Всего'!$A$1:$F$19"}</definedName>
    <definedName name="ммм_4" localSheetId="12" hidden="1">{"'Всего'!$A$1:$F$19"}</definedName>
    <definedName name="ммм_4" localSheetId="18" hidden="1">{"'Всего'!$A$1:$F$19"}</definedName>
    <definedName name="ммм_4" localSheetId="19" hidden="1">{"'Всего'!$A$1:$F$19"}</definedName>
    <definedName name="ммм_4" hidden="1">{"'Всего'!$A$1:$F$19"}</definedName>
    <definedName name="мпе" localSheetId="31" hidden="1">{#N/A,#N/A,FALSE,"Лист4"}</definedName>
    <definedName name="мпе" localSheetId="32" hidden="1">{#N/A,#N/A,FALSE,"Лист4"}</definedName>
    <definedName name="мпе" localSheetId="11" hidden="1">{#N/A,#N/A,FALSE,"Лист4"}</definedName>
    <definedName name="мпе" localSheetId="12" hidden="1">{#N/A,#N/A,FALSE,"Лист4"}</definedName>
    <definedName name="мпе" localSheetId="18" hidden="1">{#N/A,#N/A,FALSE,"Лист4"}</definedName>
    <definedName name="мпе" localSheetId="19" hidden="1">{#N/A,#N/A,FALSE,"Лист4"}</definedName>
    <definedName name="мпе" hidden="1">{#N/A,#N/A,FALSE,"Лист4"}</definedName>
    <definedName name="МР" localSheetId="31" hidden="1">{#N/A,#N/A,FALSE,"т02бд"}</definedName>
    <definedName name="МР" localSheetId="32" hidden="1">{#N/A,#N/A,FALSE,"т02бд"}</definedName>
    <definedName name="МР" localSheetId="11" hidden="1">{#N/A,#N/A,FALSE,"т02бд"}</definedName>
    <definedName name="МР" localSheetId="12" hidden="1">{#N/A,#N/A,FALSE,"т02бд"}</definedName>
    <definedName name="МР" localSheetId="18" hidden="1">{#N/A,#N/A,FALSE,"т02бд"}</definedName>
    <definedName name="МР" localSheetId="19" hidden="1">{#N/A,#N/A,FALSE,"т02бд"}</definedName>
    <definedName name="МР" hidden="1">{#N/A,#N/A,FALSE,"т02бд"}</definedName>
    <definedName name="нгнгш" localSheetId="31" hidden="1">{#N/A,#N/A,FALSE,"Лист4"}</definedName>
    <definedName name="нгнгш" localSheetId="32" hidden="1">{#N/A,#N/A,FALSE,"Лист4"}</definedName>
    <definedName name="нгнгш" localSheetId="11" hidden="1">{#N/A,#N/A,FALSE,"Лист4"}</definedName>
    <definedName name="нгнгш" localSheetId="12" hidden="1">{#N/A,#N/A,FALSE,"Лист4"}</definedName>
    <definedName name="нгнгш" localSheetId="18" hidden="1">{#N/A,#N/A,FALSE,"Лист4"}</definedName>
    <definedName name="нгнгш" localSheetId="19" hidden="1">{#N/A,#N/A,FALSE,"Лист4"}</definedName>
    <definedName name="нгнгш" hidden="1">{#N/A,#N/A,FALSE,"Лист4"}</definedName>
    <definedName name="ннггг" localSheetId="31" hidden="1">{#N/A,#N/A,FALSE,"Лист4"}</definedName>
    <definedName name="ннггг" localSheetId="32" hidden="1">{#N/A,#N/A,FALSE,"Лист4"}</definedName>
    <definedName name="ннггг" localSheetId="11" hidden="1">{#N/A,#N/A,FALSE,"Лист4"}</definedName>
    <definedName name="ннггг" localSheetId="12" hidden="1">{#N/A,#N/A,FALSE,"Лист4"}</definedName>
    <definedName name="ннггг" localSheetId="18" hidden="1">{#N/A,#N/A,FALSE,"Лист4"}</definedName>
    <definedName name="ннггг" localSheetId="19" hidden="1">{#N/A,#N/A,FALSE,"Лист4"}</definedName>
    <definedName name="ннггг" hidden="1">{#N/A,#N/A,FALSE,"Лист4"}</definedName>
    <definedName name="ннн" localSheetId="31" hidden="1">{#N/A,#N/A,FALSE,"Лист4"}</definedName>
    <definedName name="ннн" localSheetId="32" hidden="1">{#N/A,#N/A,FALSE,"Лист4"}</definedName>
    <definedName name="ннн" localSheetId="11" hidden="1">{#N/A,#N/A,FALSE,"Лист4"}</definedName>
    <definedName name="ннн" localSheetId="12" hidden="1">{#N/A,#N/A,FALSE,"Лист4"}</definedName>
    <definedName name="ннн" localSheetId="18" hidden="1">{#N/A,#N/A,FALSE,"Лист4"}</definedName>
    <definedName name="ннн" localSheetId="19" hidden="1">{#N/A,#N/A,FALSE,"Лист4"}</definedName>
    <definedName name="ннн" hidden="1">{#N/A,#N/A,FALSE,"Лист4"}</definedName>
    <definedName name="ннннг" localSheetId="31" hidden="1">{#N/A,#N/A,FALSE,"Лист4"}</definedName>
    <definedName name="ннннг" localSheetId="32" hidden="1">{#N/A,#N/A,FALSE,"Лист4"}</definedName>
    <definedName name="ннннг" localSheetId="11" hidden="1">{#N/A,#N/A,FALSE,"Лист4"}</definedName>
    <definedName name="ннннг" localSheetId="12" hidden="1">{#N/A,#N/A,FALSE,"Лист4"}</definedName>
    <definedName name="ннннг" localSheetId="18" hidden="1">{#N/A,#N/A,FALSE,"Лист4"}</definedName>
    <definedName name="ннннг" localSheetId="19" hidden="1">{#N/A,#N/A,FALSE,"Лист4"}</definedName>
    <definedName name="ннннг" hidden="1">{#N/A,#N/A,FALSE,"Лист4"}</definedName>
    <definedName name="ннннннн" localSheetId="31" hidden="1">{"BOP_TAB",#N/A,FALSE,"N";"MIDTERM_TAB",#N/A,FALSE,"O";"FUND_CRED",#N/A,FALSE,"P";"DEBT_TAB1",#N/A,FALSE,"Q";"DEBT_TAB2",#N/A,FALSE,"Q";"FORFIN_TAB1",#N/A,FALSE,"R";"FORFIN_TAB2",#N/A,FALSE,"R";"BOP_ANALY",#N/A,FALSE,"U"}</definedName>
    <definedName name="ннннннн" localSheetId="32" hidden="1">{"BOP_TAB",#N/A,FALSE,"N";"MIDTERM_TAB",#N/A,FALSE,"O";"FUND_CRED",#N/A,FALSE,"P";"DEBT_TAB1",#N/A,FALSE,"Q";"DEBT_TAB2",#N/A,FALSE,"Q";"FORFIN_TAB1",#N/A,FALSE,"R";"FORFIN_TAB2",#N/A,FALSE,"R";"BOP_ANALY",#N/A,FALSE,"U"}</definedName>
    <definedName name="ннннннн" localSheetId="11" hidden="1">{"BOP_TAB",#N/A,FALSE,"N";"MIDTERM_TAB",#N/A,FALSE,"O";"FUND_CRED",#N/A,FALSE,"P";"DEBT_TAB1",#N/A,FALSE,"Q";"DEBT_TAB2",#N/A,FALSE,"Q";"FORFIN_TAB1",#N/A,FALSE,"R";"FORFIN_TAB2",#N/A,FALSE,"R";"BOP_ANALY",#N/A,FALSE,"U"}</definedName>
    <definedName name="ннннннн" localSheetId="12" hidden="1">{"BOP_TAB",#N/A,FALSE,"N";"MIDTERM_TAB",#N/A,FALSE,"O";"FUND_CRED",#N/A,FALSE,"P";"DEBT_TAB1",#N/A,FALSE,"Q";"DEBT_TAB2",#N/A,FALSE,"Q";"FORFIN_TAB1",#N/A,FALSE,"R";"FORFIN_TAB2",#N/A,FALSE,"R";"BOP_ANALY",#N/A,FALSE,"U"}</definedName>
    <definedName name="ннннннн" localSheetId="18" hidden="1">{"BOP_TAB",#N/A,FALSE,"N";"MIDTERM_TAB",#N/A,FALSE,"O";"FUND_CRED",#N/A,FALSE,"P";"DEBT_TAB1",#N/A,FALSE,"Q";"DEBT_TAB2",#N/A,FALSE,"Q";"FORFIN_TAB1",#N/A,FALSE,"R";"FORFIN_TAB2",#N/A,FALSE,"R";"BOP_ANALY",#N/A,FALSE,"U"}</definedName>
    <definedName name="ннннннн" localSheetId="19" hidden="1">{"BOP_TAB",#N/A,FALSE,"N";"MIDTERM_TAB",#N/A,FALSE,"O";"FUND_CRED",#N/A,FALSE,"P";"DEBT_TAB1",#N/A,FALSE,"Q";"DEBT_TAB2",#N/A,FALSE,"Q";"FORFIN_TAB1",#N/A,FALSE,"R";"FORFIN_TAB2",#N/A,FALSE,"R";"BOP_ANALY",#N/A,FALSE,"U"}</definedName>
    <definedName name="ннннннн" hidden="1">{"BOP_TAB",#N/A,FALSE,"N";"MIDTERM_TAB",#N/A,FALSE,"O";"FUND_CRED",#N/A,FALSE,"P";"DEBT_TAB1",#N/A,FALSE,"Q";"DEBT_TAB2",#N/A,FALSE,"Q";"FORFIN_TAB1",#N/A,FALSE,"R";"FORFIN_TAB2",#N/A,FALSE,"R";"BOP_ANALY",#N/A,FALSE,"U"}</definedName>
    <definedName name="нннннннн" localSheetId="31" hidden="1">{#N/A,#N/A,FALSE,"Лист4"}</definedName>
    <definedName name="нннннннн" localSheetId="32" hidden="1">{#N/A,#N/A,FALSE,"Лист4"}</definedName>
    <definedName name="нннннннн" localSheetId="11" hidden="1">{#N/A,#N/A,FALSE,"Лист4"}</definedName>
    <definedName name="нннннннн" localSheetId="12" hidden="1">{#N/A,#N/A,FALSE,"Лист4"}</definedName>
    <definedName name="нннннннн" localSheetId="18" hidden="1">{#N/A,#N/A,FALSE,"Лист4"}</definedName>
    <definedName name="нннннннн" localSheetId="19" hidden="1">{#N/A,#N/A,FALSE,"Лист4"}</definedName>
    <definedName name="нннннннн" hidden="1">{#N/A,#N/A,FALSE,"Лист4"}</definedName>
    <definedName name="ннншенгке" localSheetId="31" hidden="1">{#N/A,#N/A,FALSE,"Лист4"}</definedName>
    <definedName name="ннншенгке" localSheetId="32" hidden="1">{#N/A,#N/A,FALSE,"Лист4"}</definedName>
    <definedName name="ннншенгке" localSheetId="11" hidden="1">{#N/A,#N/A,FALSE,"Лист4"}</definedName>
    <definedName name="ннншенгке" localSheetId="12" hidden="1">{#N/A,#N/A,FALSE,"Лист4"}</definedName>
    <definedName name="ннншенгке" localSheetId="18" hidden="1">{#N/A,#N/A,FALSE,"Лист4"}</definedName>
    <definedName name="ннншенгке" localSheetId="19" hidden="1">{#N/A,#N/A,FALSE,"Лист4"}</definedName>
    <definedName name="ннншенгке" hidden="1">{#N/A,#N/A,FALSE,"Лист4"}</definedName>
    <definedName name="нншекк" localSheetId="31" hidden="1">{#N/A,#N/A,FALSE,"Лист4"}</definedName>
    <definedName name="нншекк" localSheetId="32" hidden="1">{#N/A,#N/A,FALSE,"Лист4"}</definedName>
    <definedName name="нншекк" localSheetId="11" hidden="1">{#N/A,#N/A,FALSE,"Лист4"}</definedName>
    <definedName name="нншекк" localSheetId="12" hidden="1">{#N/A,#N/A,FALSE,"Лист4"}</definedName>
    <definedName name="нншекк" localSheetId="18" hidden="1">{#N/A,#N/A,FALSE,"Лист4"}</definedName>
    <definedName name="нншекк" localSheetId="19" hidden="1">{#N/A,#N/A,FALSE,"Лист4"}</definedName>
    <definedName name="нншекк" hidden="1">{#N/A,#N/A,FALSE,"Лист4"}</definedName>
    <definedName name="_xlnm.Print_Area" localSheetId="24">#REF!</definedName>
    <definedName name="_xlnm.Print_Area" localSheetId="31">#REF!</definedName>
    <definedName name="_xlnm.Print_Area" localSheetId="32">#REF!</definedName>
    <definedName name="_xlnm.Print_Area" localSheetId="26">#REF!</definedName>
    <definedName name="_xlnm.Print_Area" localSheetId="11">#REF!</definedName>
    <definedName name="_xlnm.Print_Area" localSheetId="20">#REF!</definedName>
    <definedName name="_xlnm.Print_Area" localSheetId="23">#REF!</definedName>
    <definedName name="_xlnm.Print_Area" localSheetId="21">#REF!</definedName>
    <definedName name="_xlnm.Print_Area" localSheetId="17">#REF!</definedName>
    <definedName name="_xlnm.Print_Area" localSheetId="12">#REF!</definedName>
    <definedName name="_xlnm.Print_Area" localSheetId="18">#REF!</definedName>
    <definedName name="_xlnm.Print_Area" localSheetId="19">#REF!</definedName>
    <definedName name="_xlnm.Print_Area">#REF!</definedName>
    <definedName name="Область_печати_ИМ" localSheetId="24">#REF!</definedName>
    <definedName name="Область_печати_ИМ" localSheetId="31">#REF!</definedName>
    <definedName name="Область_печати_ИМ" localSheetId="32">#REF!</definedName>
    <definedName name="Область_печати_ИМ" localSheetId="26">#REF!</definedName>
    <definedName name="Область_печати_ИМ" localSheetId="11">#REF!</definedName>
    <definedName name="Область_печати_ИМ" localSheetId="20">#REF!</definedName>
    <definedName name="Область_печати_ИМ" localSheetId="23">#REF!</definedName>
    <definedName name="Область_печати_ИМ" localSheetId="21">#REF!</definedName>
    <definedName name="Область_печати_ИМ" localSheetId="17">#REF!</definedName>
    <definedName name="Область_печати_ИМ" localSheetId="12">#REF!</definedName>
    <definedName name="Область_печати_ИМ" localSheetId="18">#REF!</definedName>
    <definedName name="Область_печати_ИМ" localSheetId="19">#REF!</definedName>
    <definedName name="Область_печати_ИМ">#REF!</definedName>
    <definedName name="оггне" localSheetId="31" hidden="1">{#N/A,#N/A,FALSE,"Лист4"}</definedName>
    <definedName name="оггне" localSheetId="32" hidden="1">{#N/A,#N/A,FALSE,"Лист4"}</definedName>
    <definedName name="оггне" localSheetId="11" hidden="1">{#N/A,#N/A,FALSE,"Лист4"}</definedName>
    <definedName name="оггне" localSheetId="12" hidden="1">{#N/A,#N/A,FALSE,"Лист4"}</definedName>
    <definedName name="оггне" localSheetId="18" hidden="1">{#N/A,#N/A,FALSE,"Лист4"}</definedName>
    <definedName name="оггне" localSheetId="19" hidden="1">{#N/A,#N/A,FALSE,"Лист4"}</definedName>
    <definedName name="оггне" hidden="1">{#N/A,#N/A,FALSE,"Лист4"}</definedName>
    <definedName name="оллд" localSheetId="31" hidden="1">{#N/A,#N/A,FALSE,"Лист4"}</definedName>
    <definedName name="оллд" localSheetId="32" hidden="1">{#N/A,#N/A,FALSE,"Лист4"}</definedName>
    <definedName name="оллд" localSheetId="11" hidden="1">{#N/A,#N/A,FALSE,"Лист4"}</definedName>
    <definedName name="оллд" localSheetId="12" hidden="1">{#N/A,#N/A,FALSE,"Лист4"}</definedName>
    <definedName name="оллд" localSheetId="18" hidden="1">{#N/A,#N/A,FALSE,"Лист4"}</definedName>
    <definedName name="оллд" localSheetId="19" hidden="1">{#N/A,#N/A,FALSE,"Лист4"}</definedName>
    <definedName name="оллд" hidden="1">{#N/A,#N/A,FALSE,"Лист4"}</definedName>
    <definedName name="олол" localSheetId="31" hidden="1">{#N/A,#N/A,FALSE,"Лист4"}</definedName>
    <definedName name="олол" localSheetId="32" hidden="1">{#N/A,#N/A,FALSE,"Лист4"}</definedName>
    <definedName name="олол" localSheetId="11" hidden="1">{#N/A,#N/A,FALSE,"Лист4"}</definedName>
    <definedName name="олол" localSheetId="12" hidden="1">{#N/A,#N/A,FALSE,"Лист4"}</definedName>
    <definedName name="олол" localSheetId="18" hidden="1">{#N/A,#N/A,FALSE,"Лист4"}</definedName>
    <definedName name="олол" localSheetId="19" hidden="1">{#N/A,#N/A,FALSE,"Лист4"}</definedName>
    <definedName name="олол" hidden="1">{#N/A,#N/A,FALSE,"Лист4"}</definedName>
    <definedName name="оо" localSheetId="31" hidden="1">{#N/A,#N/A,FALSE,"Лист4"}</definedName>
    <definedName name="оо" localSheetId="32" hidden="1">{#N/A,#N/A,FALSE,"Лист4"}</definedName>
    <definedName name="оо" localSheetId="11" hidden="1">{#N/A,#N/A,FALSE,"Лист4"}</definedName>
    <definedName name="оо" localSheetId="12" hidden="1">{#N/A,#N/A,FALSE,"Лист4"}</definedName>
    <definedName name="оо" localSheetId="18" hidden="1">{#N/A,#N/A,FALSE,"Лист4"}</definedName>
    <definedName name="оо" localSheetId="19" hidden="1">{#N/A,#N/A,FALSE,"Лист4"}</definedName>
    <definedName name="оо" hidden="1">{#N/A,#N/A,FALSE,"Лист4"}</definedName>
    <definedName name="ооо" localSheetId="31" hidden="1">{#N/A,#N/A,FALSE,"Лист4"}</definedName>
    <definedName name="ооо" localSheetId="32" hidden="1">{#N/A,#N/A,FALSE,"Лист4"}</definedName>
    <definedName name="ооо" localSheetId="11" hidden="1">{#N/A,#N/A,FALSE,"Лист4"}</definedName>
    <definedName name="ооо" localSheetId="12" hidden="1">{#N/A,#N/A,FALSE,"Лист4"}</definedName>
    <definedName name="ооо" localSheetId="18" hidden="1">{#N/A,#N/A,FALSE,"Лист4"}</definedName>
    <definedName name="ооо" localSheetId="19" hidden="1">{#N/A,#N/A,FALSE,"Лист4"}</definedName>
    <definedName name="ооо" hidden="1">{#N/A,#N/A,FALSE,"Лист4"}</definedName>
    <definedName name="оооо" localSheetId="31" hidden="1">{#N/A,#N/A,FALSE,"Лист4"}</definedName>
    <definedName name="оооо" localSheetId="32" hidden="1">{#N/A,#N/A,FALSE,"Лист4"}</definedName>
    <definedName name="оооо" localSheetId="11" hidden="1">{#N/A,#N/A,FALSE,"Лист4"}</definedName>
    <definedName name="оооо" localSheetId="12" hidden="1">{#N/A,#N/A,FALSE,"Лист4"}</definedName>
    <definedName name="оооо" localSheetId="18" hidden="1">{#N/A,#N/A,FALSE,"Лист4"}</definedName>
    <definedName name="оооо" localSheetId="19" hidden="1">{#N/A,#N/A,FALSE,"Лист4"}</definedName>
    <definedName name="оооо" hidden="1">{#N/A,#N/A,FALSE,"Лист4"}</definedName>
    <definedName name="ооооо" localSheetId="24">#REF!</definedName>
    <definedName name="ооооо" localSheetId="31">#REF!</definedName>
    <definedName name="ооооо" localSheetId="32">#REF!</definedName>
    <definedName name="ооооо" localSheetId="26">#REF!</definedName>
    <definedName name="ооооо" localSheetId="11">#REF!</definedName>
    <definedName name="ооооо" localSheetId="20">#REF!</definedName>
    <definedName name="ооооо" localSheetId="23">#REF!</definedName>
    <definedName name="ооооо" localSheetId="21">#REF!</definedName>
    <definedName name="ооооо" localSheetId="17">#REF!</definedName>
    <definedName name="ооооо">#REF!</definedName>
    <definedName name="орнг" localSheetId="31" hidden="1">{#N/A,#N/A,FALSE,"Лист4"}</definedName>
    <definedName name="орнг" localSheetId="32" hidden="1">{#N/A,#N/A,FALSE,"Лист4"}</definedName>
    <definedName name="орнг" localSheetId="11" hidden="1">{#N/A,#N/A,FALSE,"Лист4"}</definedName>
    <definedName name="орнг" localSheetId="12" hidden="1">{#N/A,#N/A,FALSE,"Лист4"}</definedName>
    <definedName name="орнг" localSheetId="18" hidden="1">{#N/A,#N/A,FALSE,"Лист4"}</definedName>
    <definedName name="орнг" localSheetId="19" hidden="1">{#N/A,#N/A,FALSE,"Лист4"}</definedName>
    <definedName name="орнг" hidden="1">{#N/A,#N/A,FALSE,"Лист4"}</definedName>
    <definedName name="освіта" localSheetId="31" hidden="1">{#N/A,#N/A,FALSE,"Лист4"}</definedName>
    <definedName name="освіта" localSheetId="32" hidden="1">{#N/A,#N/A,FALSE,"Лист4"}</definedName>
    <definedName name="освіта" localSheetId="11" hidden="1">{#N/A,#N/A,FALSE,"Лист4"}</definedName>
    <definedName name="освіта" localSheetId="12" hidden="1">{#N/A,#N/A,FALSE,"Лист4"}</definedName>
    <definedName name="освіта" localSheetId="18" hidden="1">{#N/A,#N/A,FALSE,"Лист4"}</definedName>
    <definedName name="освіта" localSheetId="19" hidden="1">{#N/A,#N/A,FALSE,"Лист4"}</definedName>
    <definedName name="освіта" hidden="1">{#N/A,#N/A,FALSE,"Лист4"}</definedName>
    <definedName name="ох" localSheetId="31" hidden="1">{#N/A,#N/A,FALSE,"Лист4"}</definedName>
    <definedName name="ох" localSheetId="32" hidden="1">{#N/A,#N/A,FALSE,"Лист4"}</definedName>
    <definedName name="ох" localSheetId="11" hidden="1">{#N/A,#N/A,FALSE,"Лист4"}</definedName>
    <definedName name="ох" localSheetId="12" hidden="1">{#N/A,#N/A,FALSE,"Лист4"}</definedName>
    <definedName name="ох" localSheetId="18" hidden="1">{#N/A,#N/A,FALSE,"Лист4"}</definedName>
    <definedName name="ох" localSheetId="19" hidden="1">{#N/A,#N/A,FALSE,"Лист4"}</definedName>
    <definedName name="ох" hidden="1">{#N/A,#N/A,FALSE,"Лист4"}</definedName>
    <definedName name="охорона" localSheetId="31" hidden="1">{#N/A,#N/A,FALSE,"Лист4"}</definedName>
    <definedName name="охорона" localSheetId="32" hidden="1">{#N/A,#N/A,FALSE,"Лист4"}</definedName>
    <definedName name="охорона" localSheetId="11" hidden="1">{#N/A,#N/A,FALSE,"Лист4"}</definedName>
    <definedName name="охорона" localSheetId="12" hidden="1">{#N/A,#N/A,FALSE,"Лист4"}</definedName>
    <definedName name="охорона" localSheetId="18" hidden="1">{#N/A,#N/A,FALSE,"Лист4"}</definedName>
    <definedName name="охорона" localSheetId="19" hidden="1">{#N/A,#N/A,FALSE,"Лист4"}</definedName>
    <definedName name="охорона" hidden="1">{#N/A,#N/A,FALSE,"Лист4"}</definedName>
    <definedName name="п" localSheetId="31" hidden="1">{"MONA",#N/A,FALSE,"S"}</definedName>
    <definedName name="п" localSheetId="32" hidden="1">{"MONA",#N/A,FALSE,"S"}</definedName>
    <definedName name="п" localSheetId="11" hidden="1">{"MONA",#N/A,FALSE,"S"}</definedName>
    <definedName name="п" localSheetId="12" hidden="1">{"MONA",#N/A,FALSE,"S"}</definedName>
    <definedName name="п" localSheetId="18" hidden="1">{"MONA",#N/A,FALSE,"S"}</definedName>
    <definedName name="п" localSheetId="19" hidden="1">{"MONA",#N/A,FALSE,"S"}</definedName>
    <definedName name="п" hidden="1">{"MONA",#N/A,FALSE,"S"}</definedName>
    <definedName name="плеккккг" localSheetId="31" hidden="1">{#N/A,#N/A,FALSE,"Лист4"}</definedName>
    <definedName name="плеккккг" localSheetId="32" hidden="1">{#N/A,#N/A,FALSE,"Лист4"}</definedName>
    <definedName name="плеккккг" localSheetId="11" hidden="1">{#N/A,#N/A,FALSE,"Лист4"}</definedName>
    <definedName name="плеккккг" localSheetId="12" hidden="1">{#N/A,#N/A,FALSE,"Лист4"}</definedName>
    <definedName name="плеккккг" localSheetId="18" hidden="1">{#N/A,#N/A,FALSE,"Лист4"}</definedName>
    <definedName name="плеккккг" localSheetId="19" hidden="1">{#N/A,#N/A,FALSE,"Лист4"}</definedName>
    <definedName name="плеккккг" hidden="1">{#N/A,#N/A,FALSE,"Лист4"}</definedName>
    <definedName name="пллеелш" localSheetId="31" hidden="1">{#N/A,#N/A,FALSE,"Лист4"}</definedName>
    <definedName name="пллеелш" localSheetId="32" hidden="1">{#N/A,#N/A,FALSE,"Лист4"}</definedName>
    <definedName name="пллеелш" localSheetId="11" hidden="1">{#N/A,#N/A,FALSE,"Лист4"}</definedName>
    <definedName name="пллеелш" localSheetId="12" hidden="1">{#N/A,#N/A,FALSE,"Лист4"}</definedName>
    <definedName name="пллеелш" localSheetId="18" hidden="1">{#N/A,#N/A,FALSE,"Лист4"}</definedName>
    <definedName name="пллеелш" localSheetId="19" hidden="1">{#N/A,#N/A,FALSE,"Лист4"}</definedName>
    <definedName name="пллеелш" hidden="1">{#N/A,#N/A,FALSE,"Лист4"}</definedName>
    <definedName name="полпопр" localSheetId="24">#REF!</definedName>
    <definedName name="полпопр" localSheetId="20">#REF!</definedName>
    <definedName name="полпопр" localSheetId="23">#REF!</definedName>
    <definedName name="полпопр" localSheetId="21">#REF!</definedName>
    <definedName name="полпопр">#REF!</definedName>
    <definedName name="попле" localSheetId="31" hidden="1">{#N/A,#N/A,FALSE,"Лист4"}</definedName>
    <definedName name="попле" localSheetId="32" hidden="1">{#N/A,#N/A,FALSE,"Лист4"}</definedName>
    <definedName name="попле" localSheetId="11" hidden="1">{#N/A,#N/A,FALSE,"Лист4"}</definedName>
    <definedName name="попле" localSheetId="12" hidden="1">{#N/A,#N/A,FALSE,"Лист4"}</definedName>
    <definedName name="попле" localSheetId="18" hidden="1">{#N/A,#N/A,FALSE,"Лист4"}</definedName>
    <definedName name="попле" localSheetId="19" hidden="1">{#N/A,#N/A,FALSE,"Лист4"}</definedName>
    <definedName name="попле" hidden="1">{#N/A,#N/A,FALSE,"Лист4"}</definedName>
    <definedName name="пот" localSheetId="31" hidden="1">{#N/A,#N/A,FALSE,"Лист4"}</definedName>
    <definedName name="пот" localSheetId="32" hidden="1">{#N/A,#N/A,FALSE,"Лист4"}</definedName>
    <definedName name="пот" localSheetId="11" hidden="1">{#N/A,#N/A,FALSE,"Лист4"}</definedName>
    <definedName name="пот" localSheetId="12" hidden="1">{#N/A,#N/A,FALSE,"Лист4"}</definedName>
    <definedName name="пот" localSheetId="18" hidden="1">{#N/A,#N/A,FALSE,"Лист4"}</definedName>
    <definedName name="пот" localSheetId="19" hidden="1">{#N/A,#N/A,FALSE,"Лист4"}</definedName>
    <definedName name="пот" hidden="1">{#N/A,#N/A,FALSE,"Лист4"}</definedName>
    <definedName name="пп" localSheetId="31" hidden="1">{#N/A,#N/A,FALSE,"Лист4"}</definedName>
    <definedName name="пп" localSheetId="32" hidden="1">{#N/A,#N/A,FALSE,"Лист4"}</definedName>
    <definedName name="пп" localSheetId="11" hidden="1">{#N/A,#N/A,FALSE,"Лист4"}</definedName>
    <definedName name="пп" localSheetId="12" hidden="1">{#N/A,#N/A,FALSE,"Лист4"}</definedName>
    <definedName name="пп" localSheetId="18" hidden="1">{#N/A,#N/A,FALSE,"Лист4"}</definedName>
    <definedName name="пп" localSheetId="19" hidden="1">{#N/A,#N/A,FALSE,"Лист4"}</definedName>
    <definedName name="пп" hidden="1">{#N/A,#N/A,FALSE,"Лист4"}</definedName>
    <definedName name="ппппппппппп" localSheetId="31" hidden="1">{#N/A,#N/A,FALSE,"SimInp1";#N/A,#N/A,FALSE,"SimInp2";#N/A,#N/A,FALSE,"SimOut1";#N/A,#N/A,FALSE,"SimOut2";#N/A,#N/A,FALSE,"SimOut3";#N/A,#N/A,FALSE,"SimOut4";#N/A,#N/A,FALSE,"SimOut5"}</definedName>
    <definedName name="ппппппппппп" localSheetId="32" hidden="1">{#N/A,#N/A,FALSE,"SimInp1";#N/A,#N/A,FALSE,"SimInp2";#N/A,#N/A,FALSE,"SimOut1";#N/A,#N/A,FALSE,"SimOut2";#N/A,#N/A,FALSE,"SimOut3";#N/A,#N/A,FALSE,"SimOut4";#N/A,#N/A,FALSE,"SimOut5"}</definedName>
    <definedName name="ппппппппппп" localSheetId="11" hidden="1">{#N/A,#N/A,FALSE,"SimInp1";#N/A,#N/A,FALSE,"SimInp2";#N/A,#N/A,FALSE,"SimOut1";#N/A,#N/A,FALSE,"SimOut2";#N/A,#N/A,FALSE,"SimOut3";#N/A,#N/A,FALSE,"SimOut4";#N/A,#N/A,FALSE,"SimOut5"}</definedName>
    <definedName name="ппппппппппп" localSheetId="12" hidden="1">{#N/A,#N/A,FALSE,"SimInp1";#N/A,#N/A,FALSE,"SimInp2";#N/A,#N/A,FALSE,"SimOut1";#N/A,#N/A,FALSE,"SimOut2";#N/A,#N/A,FALSE,"SimOut3";#N/A,#N/A,FALSE,"SimOut4";#N/A,#N/A,FALSE,"SimOut5"}</definedName>
    <definedName name="ппппппппппп" localSheetId="18" hidden="1">{#N/A,#N/A,FALSE,"SimInp1";#N/A,#N/A,FALSE,"SimInp2";#N/A,#N/A,FALSE,"SimOut1";#N/A,#N/A,FALSE,"SimOut2";#N/A,#N/A,FALSE,"SimOut3";#N/A,#N/A,FALSE,"SimOut4";#N/A,#N/A,FALSE,"SimOut5"}</definedName>
    <definedName name="ппппппппппп" localSheetId="19" hidden="1">{#N/A,#N/A,FALSE,"SimInp1";#N/A,#N/A,FALSE,"SimInp2";#N/A,#N/A,FALSE,"SimOut1";#N/A,#N/A,FALSE,"SimOut2";#N/A,#N/A,FALSE,"SimOut3";#N/A,#N/A,FALSE,"SimOut4";#N/A,#N/A,FALSE,"SimOut5"}</definedName>
    <definedName name="ппппппппппп" hidden="1">{#N/A,#N/A,FALSE,"SimInp1";#N/A,#N/A,FALSE,"SimInp2";#N/A,#N/A,FALSE,"SimOut1";#N/A,#N/A,FALSE,"SimOut2";#N/A,#N/A,FALSE,"SimOut3";#N/A,#N/A,FALSE,"SimOut4";#N/A,#N/A,FALSE,"SimOut5"}</definedName>
    <definedName name="ппше" localSheetId="31" hidden="1">{#N/A,#N/A,FALSE,"Лист4"}</definedName>
    <definedName name="ппше" localSheetId="32" hidden="1">{#N/A,#N/A,FALSE,"Лист4"}</definedName>
    <definedName name="ппше" localSheetId="11" hidden="1">{#N/A,#N/A,FALSE,"Лист4"}</definedName>
    <definedName name="ппше" localSheetId="12" hidden="1">{#N/A,#N/A,FALSE,"Лист4"}</definedName>
    <definedName name="ппше" localSheetId="18" hidden="1">{#N/A,#N/A,FALSE,"Лист4"}</definedName>
    <definedName name="ппше" localSheetId="19" hidden="1">{#N/A,#N/A,FALSE,"Лист4"}</definedName>
    <definedName name="ппше" hidden="1">{#N/A,#N/A,FALSE,"Лист4"}</definedName>
    <definedName name="про" localSheetId="31" hidden="1">{#N/A,#N/A,FALSE,"Лист4"}</definedName>
    <definedName name="про" localSheetId="32" hidden="1">{#N/A,#N/A,FALSE,"Лист4"}</definedName>
    <definedName name="про" localSheetId="11" hidden="1">{#N/A,#N/A,FALSE,"Лист4"}</definedName>
    <definedName name="про" localSheetId="12" hidden="1">{#N/A,#N/A,FALSE,"Лист4"}</definedName>
    <definedName name="про" localSheetId="18" hidden="1">{#N/A,#N/A,FALSE,"Лист4"}</definedName>
    <definedName name="про" localSheetId="19" hidden="1">{#N/A,#N/A,FALSE,"Лист4"}</definedName>
    <definedName name="про" hidden="1">{#N/A,#N/A,FALSE,"Лист4"}</definedName>
    <definedName name="прогшлл" localSheetId="31" hidden="1">{#N/A,#N/A,FALSE,"т02бд"}</definedName>
    <definedName name="прогшлл" localSheetId="32" hidden="1">{#N/A,#N/A,FALSE,"т02бд"}</definedName>
    <definedName name="прогшлл" localSheetId="11" hidden="1">{#N/A,#N/A,FALSE,"т02бд"}</definedName>
    <definedName name="прогшлл" localSheetId="12" hidden="1">{#N/A,#N/A,FALSE,"т02бд"}</definedName>
    <definedName name="прогшлл" localSheetId="18" hidden="1">{#N/A,#N/A,FALSE,"т02бд"}</definedName>
    <definedName name="прогшлл" localSheetId="19" hidden="1">{#N/A,#N/A,FALSE,"т02бд"}</definedName>
    <definedName name="прогшлл" hidden="1">{#N/A,#N/A,FALSE,"т02бд"}</definedName>
    <definedName name="прое" localSheetId="31" hidden="1">{#N/A,#N/A,FALSE,"Лист4"}</definedName>
    <definedName name="прое" localSheetId="32" hidden="1">{#N/A,#N/A,FALSE,"Лист4"}</definedName>
    <definedName name="прое" localSheetId="11" hidden="1">{#N/A,#N/A,FALSE,"Лист4"}</definedName>
    <definedName name="прое" localSheetId="12" hidden="1">{#N/A,#N/A,FALSE,"Лист4"}</definedName>
    <definedName name="прое" localSheetId="18" hidden="1">{#N/A,#N/A,FALSE,"Лист4"}</definedName>
    <definedName name="прое" localSheetId="19" hidden="1">{#N/A,#N/A,FALSE,"Лист4"}</definedName>
    <definedName name="прое" hidden="1">{#N/A,#N/A,FALSE,"Лист4"}</definedName>
    <definedName name="прои" localSheetId="31" hidden="1">{#N/A,#N/A,FALSE,"Лист4"}</definedName>
    <definedName name="прои" localSheetId="32" hidden="1">{#N/A,#N/A,FALSE,"Лист4"}</definedName>
    <definedName name="прои" localSheetId="11" hidden="1">{#N/A,#N/A,FALSE,"Лист4"}</definedName>
    <definedName name="прои" localSheetId="12" hidden="1">{#N/A,#N/A,FALSE,"Лист4"}</definedName>
    <definedName name="прои" localSheetId="18" hidden="1">{#N/A,#N/A,FALSE,"Лист4"}</definedName>
    <definedName name="прои" localSheetId="19" hidden="1">{#N/A,#N/A,FALSE,"Лист4"}</definedName>
    <definedName name="прои" hidden="1">{#N/A,#N/A,FALSE,"Лист4"}</definedName>
    <definedName name="рг" localSheetId="31" hidden="1">{"BOP_TAB",#N/A,FALSE,"N";"MIDTERM_TAB",#N/A,FALSE,"O";"FUND_CRED",#N/A,FALSE,"P";"DEBT_TAB1",#N/A,FALSE,"Q";"DEBT_TAB2",#N/A,FALSE,"Q";"FORFIN_TAB1",#N/A,FALSE,"R";"FORFIN_TAB2",#N/A,FALSE,"R";"BOP_ANALY",#N/A,FALSE,"U"}</definedName>
    <definedName name="рг" localSheetId="32" hidden="1">{"BOP_TAB",#N/A,FALSE,"N";"MIDTERM_TAB",#N/A,FALSE,"O";"FUND_CRED",#N/A,FALSE,"P";"DEBT_TAB1",#N/A,FALSE,"Q";"DEBT_TAB2",#N/A,FALSE,"Q";"FORFIN_TAB1",#N/A,FALSE,"R";"FORFIN_TAB2",#N/A,FALSE,"R";"BOP_ANALY",#N/A,FALSE,"U"}</definedName>
    <definedName name="рг" localSheetId="11" hidden="1">{"BOP_TAB",#N/A,FALSE,"N";"MIDTERM_TAB",#N/A,FALSE,"O";"FUND_CRED",#N/A,FALSE,"P";"DEBT_TAB1",#N/A,FALSE,"Q";"DEBT_TAB2",#N/A,FALSE,"Q";"FORFIN_TAB1",#N/A,FALSE,"R";"FORFIN_TAB2",#N/A,FALSE,"R";"BOP_ANALY",#N/A,FALSE,"U"}</definedName>
    <definedName name="рг" localSheetId="12" hidden="1">{"BOP_TAB",#N/A,FALSE,"N";"MIDTERM_TAB",#N/A,FALSE,"O";"FUND_CRED",#N/A,FALSE,"P";"DEBT_TAB1",#N/A,FALSE,"Q";"DEBT_TAB2",#N/A,FALSE,"Q";"FORFIN_TAB1",#N/A,FALSE,"R";"FORFIN_TAB2",#N/A,FALSE,"R";"BOP_ANALY",#N/A,FALSE,"U"}</definedName>
    <definedName name="рг" localSheetId="18" hidden="1">{"BOP_TAB",#N/A,FALSE,"N";"MIDTERM_TAB",#N/A,FALSE,"O";"FUND_CRED",#N/A,FALSE,"P";"DEBT_TAB1",#N/A,FALSE,"Q";"DEBT_TAB2",#N/A,FALSE,"Q";"FORFIN_TAB1",#N/A,FALSE,"R";"FORFIN_TAB2",#N/A,FALSE,"R";"BOP_ANALY",#N/A,FALSE,"U"}</definedName>
    <definedName name="рг" localSheetId="19" hidden="1">{"BOP_TAB",#N/A,FALSE,"N";"MIDTERM_TAB",#N/A,FALSE,"O";"FUND_CRED",#N/A,FALSE,"P";"DEBT_TAB1",#N/A,FALSE,"Q";"DEBT_TAB2",#N/A,FALSE,"Q";"FORFIN_TAB1",#N/A,FALSE,"R";"FORFIN_TAB2",#N/A,FALSE,"R";"BOP_ANALY",#N/A,FALSE,"U"}</definedName>
    <definedName name="рг" hidden="1">{"BOP_TAB",#N/A,FALSE,"N";"MIDTERM_TAB",#N/A,FALSE,"O";"FUND_CRED",#N/A,FALSE,"P";"DEBT_TAB1",#N/A,FALSE,"Q";"DEBT_TAB2",#N/A,FALSE,"Q";"FORFIN_TAB1",#N/A,FALSE,"R";"FORFIN_TAB2",#N/A,FALSE,"R";"BOP_ANALY",#N/A,FALSE,"U"}</definedName>
    <definedName name="_xlnm.Recorder" localSheetId="24">#REF!</definedName>
    <definedName name="_xlnm.Recorder" localSheetId="31">#REF!</definedName>
    <definedName name="_xlnm.Recorder" localSheetId="32">#REF!</definedName>
    <definedName name="_xlnm.Recorder" localSheetId="26">#REF!</definedName>
    <definedName name="_xlnm.Recorder" localSheetId="11">#REF!</definedName>
    <definedName name="_xlnm.Recorder" localSheetId="20">#REF!</definedName>
    <definedName name="_xlnm.Recorder" localSheetId="23">#REF!</definedName>
    <definedName name="_xlnm.Recorder" localSheetId="21">#REF!</definedName>
    <definedName name="_xlnm.Recorder" localSheetId="17">#REF!</definedName>
    <definedName name="_xlnm.Recorder" localSheetId="12">#REF!</definedName>
    <definedName name="_xlnm.Recorder" localSheetId="18">#REF!</definedName>
    <definedName name="_xlnm.Recorder" localSheetId="19">#REF!</definedName>
    <definedName name="_xlnm.Recorder">#REF!</definedName>
    <definedName name="рор" localSheetId="31" hidden="1">{#N/A,#N/A,FALSE,"Лист4"}</definedName>
    <definedName name="рор" localSheetId="32" hidden="1">{#N/A,#N/A,FALSE,"Лист4"}</definedName>
    <definedName name="рор" localSheetId="11" hidden="1">{#N/A,#N/A,FALSE,"Лист4"}</definedName>
    <definedName name="рор" localSheetId="12" hidden="1">{#N/A,#N/A,FALSE,"Лист4"}</definedName>
    <definedName name="рор" localSheetId="18" hidden="1">{#N/A,#N/A,FALSE,"Лист4"}</definedName>
    <definedName name="рор" localSheetId="19" hidden="1">{#N/A,#N/A,FALSE,"Лист4"}</definedName>
    <definedName name="рор" hidden="1">{#N/A,#N/A,FALSE,"Лист4"}</definedName>
    <definedName name="роро" localSheetId="31" hidden="1">{#N/A,#N/A,FALSE,"Лист4"}</definedName>
    <definedName name="роро" localSheetId="32" hidden="1">{#N/A,#N/A,FALSE,"Лист4"}</definedName>
    <definedName name="роро" localSheetId="11" hidden="1">{#N/A,#N/A,FALSE,"Лист4"}</definedName>
    <definedName name="роро" localSheetId="12" hidden="1">{#N/A,#N/A,FALSE,"Лист4"}</definedName>
    <definedName name="роро" localSheetId="18" hidden="1">{#N/A,#N/A,FALSE,"Лист4"}</definedName>
    <definedName name="роро" localSheetId="19" hidden="1">{#N/A,#N/A,FALSE,"Лист4"}</definedName>
    <definedName name="роро" hidden="1">{#N/A,#N/A,FALSE,"Лист4"}</definedName>
    <definedName name="росія" localSheetId="31" hidden="1">{#N/A,#N/A,FALSE,"I";#N/A,#N/A,FALSE,"J";#N/A,#N/A,FALSE,"K";#N/A,#N/A,FALSE,"L";#N/A,#N/A,FALSE,"M";#N/A,#N/A,FALSE,"N";#N/A,#N/A,FALSE,"O"}</definedName>
    <definedName name="росія" localSheetId="32" hidden="1">{#N/A,#N/A,FALSE,"I";#N/A,#N/A,FALSE,"J";#N/A,#N/A,FALSE,"K";#N/A,#N/A,FALSE,"L";#N/A,#N/A,FALSE,"M";#N/A,#N/A,FALSE,"N";#N/A,#N/A,FALSE,"O"}</definedName>
    <definedName name="росія" localSheetId="11" hidden="1">{#N/A,#N/A,FALSE,"I";#N/A,#N/A,FALSE,"J";#N/A,#N/A,FALSE,"K";#N/A,#N/A,FALSE,"L";#N/A,#N/A,FALSE,"M";#N/A,#N/A,FALSE,"N";#N/A,#N/A,FALSE,"O"}</definedName>
    <definedName name="росія" localSheetId="12" hidden="1">{#N/A,#N/A,FALSE,"I";#N/A,#N/A,FALSE,"J";#N/A,#N/A,FALSE,"K";#N/A,#N/A,FALSE,"L";#N/A,#N/A,FALSE,"M";#N/A,#N/A,FALSE,"N";#N/A,#N/A,FALSE,"O"}</definedName>
    <definedName name="росія" localSheetId="18" hidden="1">{#N/A,#N/A,FALSE,"I";#N/A,#N/A,FALSE,"J";#N/A,#N/A,FALSE,"K";#N/A,#N/A,FALSE,"L";#N/A,#N/A,FALSE,"M";#N/A,#N/A,FALSE,"N";#N/A,#N/A,FALSE,"O"}</definedName>
    <definedName name="росія" localSheetId="19" hidden="1">{#N/A,#N/A,FALSE,"I";#N/A,#N/A,FALSE,"J";#N/A,#N/A,FALSE,"K";#N/A,#N/A,FALSE,"L";#N/A,#N/A,FALSE,"M";#N/A,#N/A,FALSE,"N";#N/A,#N/A,FALSE,"O"}</definedName>
    <definedName name="росія" hidden="1">{#N/A,#N/A,FALSE,"I";#N/A,#N/A,FALSE,"J";#N/A,#N/A,FALSE,"K";#N/A,#N/A,FALSE,"L";#N/A,#N/A,FALSE,"M";#N/A,#N/A,FALSE,"N";#N/A,#N/A,FALSE,"O"}</definedName>
    <definedName name="ррпеак" localSheetId="31" hidden="1">{"MONA",#N/A,FALSE,"S"}</definedName>
    <definedName name="ррпеак" localSheetId="32" hidden="1">{"MONA",#N/A,FALSE,"S"}</definedName>
    <definedName name="ррпеак" localSheetId="11" hidden="1">{"MONA",#N/A,FALSE,"S"}</definedName>
    <definedName name="ррпеак" localSheetId="12" hidden="1">{"MONA",#N/A,FALSE,"S"}</definedName>
    <definedName name="ррпеак" localSheetId="18" hidden="1">{"MONA",#N/A,FALSE,"S"}</definedName>
    <definedName name="ррпеак" localSheetId="19" hidden="1">{"MONA",#N/A,FALSE,"S"}</definedName>
    <definedName name="ррпеак" hidden="1">{"MONA",#N/A,FALSE,"S"}</definedName>
    <definedName name="рррр" localSheetId="31" hidden="1">{#N/A,#N/A,FALSE,"Лист4"}</definedName>
    <definedName name="рррр" localSheetId="32" hidden="1">{#N/A,#N/A,FALSE,"Лист4"}</definedName>
    <definedName name="рррр" localSheetId="11" hidden="1">{#N/A,#N/A,FALSE,"Лист4"}</definedName>
    <definedName name="рррр" localSheetId="12" hidden="1">{#N/A,#N/A,FALSE,"Лист4"}</definedName>
    <definedName name="рррр" localSheetId="18" hidden="1">{#N/A,#N/A,FALSE,"Лист4"}</definedName>
    <definedName name="рррр" localSheetId="19" hidden="1">{#N/A,#N/A,FALSE,"Лист4"}</definedName>
    <definedName name="рррр" hidden="1">{#N/A,#N/A,FALSE,"Лист4"}</definedName>
    <definedName name="рррррр" localSheetId="31" hidden="1">{#N/A,#N/A,FALSE,"SimInp1";#N/A,#N/A,FALSE,"SimInp2";#N/A,#N/A,FALSE,"SimOut1";#N/A,#N/A,FALSE,"SimOut2";#N/A,#N/A,FALSE,"SimOut3";#N/A,#N/A,FALSE,"SimOut4";#N/A,#N/A,FALSE,"SimOut5"}</definedName>
    <definedName name="рррррр" localSheetId="32" hidden="1">{#N/A,#N/A,FALSE,"SimInp1";#N/A,#N/A,FALSE,"SimInp2";#N/A,#N/A,FALSE,"SimOut1";#N/A,#N/A,FALSE,"SimOut2";#N/A,#N/A,FALSE,"SimOut3";#N/A,#N/A,FALSE,"SimOut4";#N/A,#N/A,FALSE,"SimOut5"}</definedName>
    <definedName name="рррррр" localSheetId="11" hidden="1">{#N/A,#N/A,FALSE,"SimInp1";#N/A,#N/A,FALSE,"SimInp2";#N/A,#N/A,FALSE,"SimOut1";#N/A,#N/A,FALSE,"SimOut2";#N/A,#N/A,FALSE,"SimOut3";#N/A,#N/A,FALSE,"SimOut4";#N/A,#N/A,FALSE,"SimOut5"}</definedName>
    <definedName name="рррррр" localSheetId="12" hidden="1">{#N/A,#N/A,FALSE,"SimInp1";#N/A,#N/A,FALSE,"SimInp2";#N/A,#N/A,FALSE,"SimOut1";#N/A,#N/A,FALSE,"SimOut2";#N/A,#N/A,FALSE,"SimOut3";#N/A,#N/A,FALSE,"SimOut4";#N/A,#N/A,FALSE,"SimOut5"}</definedName>
    <definedName name="рррррр" localSheetId="18" hidden="1">{#N/A,#N/A,FALSE,"SimInp1";#N/A,#N/A,FALSE,"SimInp2";#N/A,#N/A,FALSE,"SimOut1";#N/A,#N/A,FALSE,"SimOut2";#N/A,#N/A,FALSE,"SimOut3";#N/A,#N/A,FALSE,"SimOut4";#N/A,#N/A,FALSE,"SimOut5"}</definedName>
    <definedName name="рррррр" localSheetId="19" hidden="1">{#N/A,#N/A,FALSE,"SimInp1";#N/A,#N/A,FALSE,"SimInp2";#N/A,#N/A,FALSE,"SimOut1";#N/A,#N/A,FALSE,"SimOut2";#N/A,#N/A,FALSE,"SimOut3";#N/A,#N/A,FALSE,"SimOut4";#N/A,#N/A,FALSE,"SimOut5"}</definedName>
    <definedName name="рррррр" hidden="1">{#N/A,#N/A,FALSE,"SimInp1";#N/A,#N/A,FALSE,"SimInp2";#N/A,#N/A,FALSE,"SimOut1";#N/A,#N/A,FALSE,"SimOut2";#N/A,#N/A,FALSE,"SimOut3";#N/A,#N/A,FALSE,"SimOut4";#N/A,#N/A,FALSE,"SimOut5"}</definedName>
    <definedName name="РРРРРРРРРРРРРРРРРРРРРРРРРРР" localSheetId="31" hidden="1">{"MONA",#N/A,FALSE,"S"}</definedName>
    <definedName name="РРРРРРРРРРРРРРРРРРРРРРРРРРР" localSheetId="32" hidden="1">{"MONA",#N/A,FALSE,"S"}</definedName>
    <definedName name="РРРРРРРРРРРРРРРРРРРРРРРРРРР" localSheetId="11" hidden="1">{"MONA",#N/A,FALSE,"S"}</definedName>
    <definedName name="РРРРРРРРРРРРРРРРРРРРРРРРРРР" localSheetId="12" hidden="1">{"MONA",#N/A,FALSE,"S"}</definedName>
    <definedName name="РРРРРРРРРРРРРРРРРРРРРРРРРРР" localSheetId="18" hidden="1">{"MONA",#N/A,FALSE,"S"}</definedName>
    <definedName name="РРРРРРРРРРРРРРРРРРРРРРРРРРР" localSheetId="19" hidden="1">{"MONA",#N/A,FALSE,"S"}</definedName>
    <definedName name="РРРРРРРРРРРРРРРРРРРРРРРРРРР" hidden="1">{"MONA",#N/A,FALSE,"S"}</definedName>
    <definedName name="СВОД" localSheetId="31" hidden="1">{"'Всего'!$A$1:$F$19"}</definedName>
    <definedName name="СВОД" localSheetId="32" hidden="1">{"'Всего'!$A$1:$F$19"}</definedName>
    <definedName name="СВОД" localSheetId="11" hidden="1">{"'Всего'!$A$1:$F$19"}</definedName>
    <definedName name="СВОД" localSheetId="12" hidden="1">{"'Всего'!$A$1:$F$19"}</definedName>
    <definedName name="СВОД" localSheetId="18" hidden="1">{"'Всего'!$A$1:$F$19"}</definedName>
    <definedName name="СВОД" localSheetId="19" hidden="1">{"'Всего'!$A$1:$F$19"}</definedName>
    <definedName name="СВОД" hidden="1">{"'Всего'!$A$1:$F$19"}</definedName>
    <definedName name="сми" localSheetId="31" hidden="1">{#N/A,#N/A,FALSE,"Лист4"}</definedName>
    <definedName name="сми" localSheetId="32" hidden="1">{#N/A,#N/A,FALSE,"Лист4"}</definedName>
    <definedName name="сми" localSheetId="11" hidden="1">{#N/A,#N/A,FALSE,"Лист4"}</definedName>
    <definedName name="сми" localSheetId="12" hidden="1">{#N/A,#N/A,FALSE,"Лист4"}</definedName>
    <definedName name="сми" localSheetId="18" hidden="1">{#N/A,#N/A,FALSE,"Лист4"}</definedName>
    <definedName name="сми" localSheetId="19" hidden="1">{#N/A,#N/A,FALSE,"Лист4"}</definedName>
    <definedName name="сми" hidden="1">{#N/A,#N/A,FALSE,"Лист4"}</definedName>
    <definedName name="сс" localSheetId="31" hidden="1">{#N/A,#N/A,FALSE,"Лист4"}</definedName>
    <definedName name="сс" localSheetId="32" hidden="1">{#N/A,#N/A,FALSE,"Лист4"}</definedName>
    <definedName name="сс" localSheetId="11" hidden="1">{#N/A,#N/A,FALSE,"Лист4"}</definedName>
    <definedName name="сс" localSheetId="12" hidden="1">{#N/A,#N/A,FALSE,"Лист4"}</definedName>
    <definedName name="сс" localSheetId="18" hidden="1">{#N/A,#N/A,FALSE,"Лист4"}</definedName>
    <definedName name="сс" localSheetId="19" hidden="1">{#N/A,#N/A,FALSE,"Лист4"}</definedName>
    <definedName name="сс" hidden="1">{#N/A,#N/A,FALSE,"Лист4"}</definedName>
    <definedName name="сум" localSheetId="31" hidden="1">{#N/A,#N/A,FALSE,"Лист4"}</definedName>
    <definedName name="сум" localSheetId="32" hidden="1">{#N/A,#N/A,FALSE,"Лист4"}</definedName>
    <definedName name="сум" localSheetId="11" hidden="1">{#N/A,#N/A,FALSE,"Лист4"}</definedName>
    <definedName name="сум" localSheetId="12" hidden="1">{#N/A,#N/A,FALSE,"Лист4"}</definedName>
    <definedName name="сум" localSheetId="18" hidden="1">{#N/A,#N/A,FALSE,"Лист4"}</definedName>
    <definedName name="сум" localSheetId="19" hidden="1">{#N/A,#N/A,FALSE,"Лист4"}</definedName>
    <definedName name="сум" hidden="1">{#N/A,#N/A,FALSE,"Лист4"}</definedName>
    <definedName name="Суми" localSheetId="31" hidden="1">{#N/A,#N/A,FALSE,"Лист4"}</definedName>
    <definedName name="Суми" localSheetId="32" hidden="1">{#N/A,#N/A,FALSE,"Лист4"}</definedName>
    <definedName name="Суми" localSheetId="11" hidden="1">{#N/A,#N/A,FALSE,"Лист4"}</definedName>
    <definedName name="Суми" localSheetId="12" hidden="1">{#N/A,#N/A,FALSE,"Лист4"}</definedName>
    <definedName name="Суми" localSheetId="18" hidden="1">{#N/A,#N/A,FALSE,"Лист4"}</definedName>
    <definedName name="Суми" localSheetId="19" hidden="1">{#N/A,#N/A,FALSE,"Лист4"}</definedName>
    <definedName name="Суми" hidden="1">{#N/A,#N/A,FALSE,"Лист4"}</definedName>
    <definedName name="счу" localSheetId="31" hidden="1">{#N/A,#N/A,FALSE,"Лист4"}</definedName>
    <definedName name="счу" localSheetId="32" hidden="1">{#N/A,#N/A,FALSE,"Лист4"}</definedName>
    <definedName name="счу" localSheetId="11" hidden="1">{#N/A,#N/A,FALSE,"Лист4"}</definedName>
    <definedName name="счу" localSheetId="12" hidden="1">{#N/A,#N/A,FALSE,"Лист4"}</definedName>
    <definedName name="счу" localSheetId="18" hidden="1">{#N/A,#N/A,FALSE,"Лист4"}</definedName>
    <definedName name="счу" localSheetId="19" hidden="1">{#N/A,#N/A,FALSE,"Лист4"}</definedName>
    <definedName name="счу" hidden="1">{#N/A,#N/A,FALSE,"Лист4"}</definedName>
    <definedName name="счя" localSheetId="31" hidden="1">{#N/A,#N/A,FALSE,"Лист4"}</definedName>
    <definedName name="счя" localSheetId="32" hidden="1">{#N/A,#N/A,FALSE,"Лист4"}</definedName>
    <definedName name="счя" localSheetId="11" hidden="1">{#N/A,#N/A,FALSE,"Лист4"}</definedName>
    <definedName name="счя" localSheetId="12" hidden="1">{#N/A,#N/A,FALSE,"Лист4"}</definedName>
    <definedName name="счя" localSheetId="18" hidden="1">{#N/A,#N/A,FALSE,"Лист4"}</definedName>
    <definedName name="счя" localSheetId="19" hidden="1">{#N/A,#N/A,FALSE,"Лист4"}</definedName>
    <definedName name="счя" hidden="1">{#N/A,#N/A,FALSE,"Лист4"}</definedName>
    <definedName name="т05" localSheetId="31" hidden="1">{#N/A,#N/A,FALSE,"т04"}</definedName>
    <definedName name="т05" localSheetId="32" hidden="1">{#N/A,#N/A,FALSE,"т04"}</definedName>
    <definedName name="т05" localSheetId="11" hidden="1">{#N/A,#N/A,FALSE,"т04"}</definedName>
    <definedName name="т05" localSheetId="12" hidden="1">{#N/A,#N/A,FALSE,"т04"}</definedName>
    <definedName name="т05" localSheetId="18" hidden="1">{#N/A,#N/A,FALSE,"т04"}</definedName>
    <definedName name="т05" localSheetId="19" hidden="1">{#N/A,#N/A,FALSE,"т04"}</definedName>
    <definedName name="т05" hidden="1">{#N/A,#N/A,FALSE,"т04"}</definedName>
    <definedName name="т841" localSheetId="31" hidden="1">{#N/A,#N/A,FALSE,"т02бд"}</definedName>
    <definedName name="т841" localSheetId="32" hidden="1">{#N/A,#N/A,FALSE,"т02бд"}</definedName>
    <definedName name="т841" localSheetId="11" hidden="1">{#N/A,#N/A,FALSE,"т02бд"}</definedName>
    <definedName name="т841" localSheetId="12" hidden="1">{#N/A,#N/A,FALSE,"т02бд"}</definedName>
    <definedName name="т841" localSheetId="18" hidden="1">{#N/A,#N/A,FALSE,"т02бд"}</definedName>
    <definedName name="т841" localSheetId="19" hidden="1">{#N/A,#N/A,FALSE,"т02бд"}</definedName>
    <definedName name="т841" hidden="1">{#N/A,#N/A,FALSE,"т02бд"}</definedName>
    <definedName name="там06_2010" localSheetId="31" hidden="1">{"BOP_TAB",#N/A,FALSE,"N";"MIDTERM_TAB",#N/A,FALSE,"O";"FUND_CRED",#N/A,FALSE,"P";"DEBT_TAB1",#N/A,FALSE,"Q";"DEBT_TAB2",#N/A,FALSE,"Q";"FORFIN_TAB1",#N/A,FALSE,"R";"FORFIN_TAB2",#N/A,FALSE,"R";"BOP_ANALY",#N/A,FALSE,"U"}</definedName>
    <definedName name="там06_2010" localSheetId="32" hidden="1">{"BOP_TAB",#N/A,FALSE,"N";"MIDTERM_TAB",#N/A,FALSE,"O";"FUND_CRED",#N/A,FALSE,"P";"DEBT_TAB1",#N/A,FALSE,"Q";"DEBT_TAB2",#N/A,FALSE,"Q";"FORFIN_TAB1",#N/A,FALSE,"R";"FORFIN_TAB2",#N/A,FALSE,"R";"BOP_ANALY",#N/A,FALSE,"U"}</definedName>
    <definedName name="там06_2010" localSheetId="11" hidden="1">{"BOP_TAB",#N/A,FALSE,"N";"MIDTERM_TAB",#N/A,FALSE,"O";"FUND_CRED",#N/A,FALSE,"P";"DEBT_TAB1",#N/A,FALSE,"Q";"DEBT_TAB2",#N/A,FALSE,"Q";"FORFIN_TAB1",#N/A,FALSE,"R";"FORFIN_TAB2",#N/A,FALSE,"R";"BOP_ANALY",#N/A,FALSE,"U"}</definedName>
    <definedName name="там06_2010" localSheetId="12" hidden="1">{"BOP_TAB",#N/A,FALSE,"N";"MIDTERM_TAB",#N/A,FALSE,"O";"FUND_CRED",#N/A,FALSE,"P";"DEBT_TAB1",#N/A,FALSE,"Q";"DEBT_TAB2",#N/A,FALSE,"Q";"FORFIN_TAB1",#N/A,FALSE,"R";"FORFIN_TAB2",#N/A,FALSE,"R";"BOP_ANALY",#N/A,FALSE,"U"}</definedName>
    <definedName name="там06_2010" localSheetId="18" hidden="1">{"BOP_TAB",#N/A,FALSE,"N";"MIDTERM_TAB",#N/A,FALSE,"O";"FUND_CRED",#N/A,FALSE,"P";"DEBT_TAB1",#N/A,FALSE,"Q";"DEBT_TAB2",#N/A,FALSE,"Q";"FORFIN_TAB1",#N/A,FALSE,"R";"FORFIN_TAB2",#N/A,FALSE,"R";"BOP_ANALY",#N/A,FALSE,"U"}</definedName>
    <definedName name="там06_2010" localSheetId="19" hidden="1">{"BOP_TAB",#N/A,FALSE,"N";"MIDTERM_TAB",#N/A,FALSE,"O";"FUND_CRED",#N/A,FALSE,"P";"DEBT_TAB1",#N/A,FALSE,"Q";"DEBT_TAB2",#N/A,FALSE,"Q";"FORFIN_TAB1",#N/A,FALSE,"R";"FORFIN_TAB2",#N/A,FALSE,"R";"BOP_ANALY",#N/A,FALSE,"U"}</definedName>
    <definedName name="там06_2010" hidden="1">{"BOP_TAB",#N/A,FALSE,"N";"MIDTERM_TAB",#N/A,FALSE,"O";"FUND_CRED",#N/A,FALSE,"P";"DEBT_TAB1",#N/A,FALSE,"Q";"DEBT_TAB2",#N/A,FALSE,"Q";"FORFIN_TAB1",#N/A,FALSE,"R";"FORFIN_TAB2",#N/A,FALSE,"R";"BOP_ANALY",#N/A,FALSE,"U"}</definedName>
    <definedName name="тогн" localSheetId="31" hidden="1">{#N/A,#N/A,FALSE,"Лист4"}</definedName>
    <definedName name="тогн" localSheetId="32" hidden="1">{#N/A,#N/A,FALSE,"Лист4"}</definedName>
    <definedName name="тогн" localSheetId="11" hidden="1">{#N/A,#N/A,FALSE,"Лист4"}</definedName>
    <definedName name="тогн" localSheetId="12" hidden="1">{#N/A,#N/A,FALSE,"Лист4"}</definedName>
    <definedName name="тогн" localSheetId="18" hidden="1">{#N/A,#N/A,FALSE,"Лист4"}</definedName>
    <definedName name="тогн" localSheetId="19" hidden="1">{#N/A,#N/A,FALSE,"Лист4"}</definedName>
    <definedName name="тогн" hidden="1">{#N/A,#N/A,FALSE,"Лист4"}</definedName>
    <definedName name="трн" localSheetId="31" hidden="1">{#N/A,#N/A,FALSE,"Лист4"}</definedName>
    <definedName name="трн" localSheetId="32" hidden="1">{#N/A,#N/A,FALSE,"Лист4"}</definedName>
    <definedName name="трн" localSheetId="11" hidden="1">{#N/A,#N/A,FALSE,"Лист4"}</definedName>
    <definedName name="трн" localSheetId="12" hidden="1">{#N/A,#N/A,FALSE,"Лист4"}</definedName>
    <definedName name="трн" localSheetId="18" hidden="1">{#N/A,#N/A,FALSE,"Лист4"}</definedName>
    <definedName name="трн" localSheetId="19" hidden="1">{#N/A,#N/A,FALSE,"Лист4"}</definedName>
    <definedName name="трн" hidden="1">{#N/A,#N/A,FALSE,"Лист4"}</definedName>
    <definedName name="тт" localSheetId="31" hidden="1">{#N/A,#N/A,FALSE,"т04"}</definedName>
    <definedName name="тт" localSheetId="32" hidden="1">{#N/A,#N/A,FALSE,"т04"}</definedName>
    <definedName name="тт" localSheetId="11" hidden="1">{#N/A,#N/A,FALSE,"т04"}</definedName>
    <definedName name="тт" localSheetId="12" hidden="1">{#N/A,#N/A,FALSE,"т04"}</definedName>
    <definedName name="тт" localSheetId="18" hidden="1">{#N/A,#N/A,FALSE,"т04"}</definedName>
    <definedName name="тт" localSheetId="19" hidden="1">{#N/A,#N/A,FALSE,"т04"}</definedName>
    <definedName name="тт" hidden="1">{#N/A,#N/A,FALSE,"т04"}</definedName>
    <definedName name="ттт" localSheetId="31" hidden="1">{#N/A,#N/A,FALSE,"Лист4"}</definedName>
    <definedName name="ттт" localSheetId="32" hidden="1">{#N/A,#N/A,FALSE,"Лист4"}</definedName>
    <definedName name="ттт" localSheetId="11" hidden="1">{#N/A,#N/A,FALSE,"Лист4"}</definedName>
    <definedName name="ттт" localSheetId="12" hidden="1">{#N/A,#N/A,FALSE,"Лист4"}</definedName>
    <definedName name="ттт" localSheetId="18" hidden="1">{#N/A,#N/A,FALSE,"Лист4"}</definedName>
    <definedName name="ттт" localSheetId="19" hidden="1">{#N/A,#N/A,FALSE,"Лист4"}</definedName>
    <definedName name="ттт" hidden="1">{#N/A,#N/A,FALSE,"Лист4"}</definedName>
    <definedName name="ть" localSheetId="31" hidden="1">{#N/A,#N/A,FALSE,"Лист4"}</definedName>
    <definedName name="ть" localSheetId="32" hidden="1">{#N/A,#N/A,FALSE,"Лист4"}</definedName>
    <definedName name="ть" localSheetId="11" hidden="1">{#N/A,#N/A,FALSE,"Лист4"}</definedName>
    <definedName name="ть" localSheetId="12" hidden="1">{#N/A,#N/A,FALSE,"Лист4"}</definedName>
    <definedName name="ть" localSheetId="18" hidden="1">{#N/A,#N/A,FALSE,"Лист4"}</definedName>
    <definedName name="ть" localSheetId="19" hidden="1">{#N/A,#N/A,FALSE,"Лист4"}</definedName>
    <definedName name="ть" hidden="1">{#N/A,#N/A,FALSE,"Лист4"}</definedName>
    <definedName name="у" localSheetId="24">#REF!</definedName>
    <definedName name="у" localSheetId="31">#REF!</definedName>
    <definedName name="у" localSheetId="32">#REF!</definedName>
    <definedName name="у" localSheetId="26">#REF!</definedName>
    <definedName name="у" localSheetId="11">#REF!</definedName>
    <definedName name="у" localSheetId="20">#REF!</definedName>
    <definedName name="у" localSheetId="23">#REF!</definedName>
    <definedName name="у" localSheetId="21">#REF!</definedName>
    <definedName name="у" localSheetId="17">#REF!</definedName>
    <definedName name="у">#REF!</definedName>
    <definedName name="уа" localSheetId="31" hidden="1">{#N/A,#N/A,FALSE,"Лист4"}</definedName>
    <definedName name="уа" localSheetId="32" hidden="1">{#N/A,#N/A,FALSE,"Лист4"}</definedName>
    <definedName name="уа" localSheetId="11" hidden="1">{#N/A,#N/A,FALSE,"Лист4"}</definedName>
    <definedName name="уа" localSheetId="12" hidden="1">{#N/A,#N/A,FALSE,"Лист4"}</definedName>
    <definedName name="уа" localSheetId="18" hidden="1">{#N/A,#N/A,FALSE,"Лист4"}</definedName>
    <definedName name="уа" localSheetId="19" hidden="1">{#N/A,#N/A,FALSE,"Лист4"}</definedName>
    <definedName name="уа" hidden="1">{#N/A,#N/A,FALSE,"Лист4"}</definedName>
    <definedName name="увке" localSheetId="31" hidden="1">{#N/A,#N/A,FALSE,"Лист4"}</definedName>
    <definedName name="увке" localSheetId="32" hidden="1">{#N/A,#N/A,FALSE,"Лист4"}</definedName>
    <definedName name="увке" localSheetId="11" hidden="1">{#N/A,#N/A,FALSE,"Лист4"}</definedName>
    <definedName name="увке" localSheetId="12" hidden="1">{#N/A,#N/A,FALSE,"Лист4"}</definedName>
    <definedName name="увке" localSheetId="18" hidden="1">{#N/A,#N/A,FALSE,"Лист4"}</definedName>
    <definedName name="увке" localSheetId="19" hidden="1">{#N/A,#N/A,FALSE,"Лист4"}</definedName>
    <definedName name="увке" hidden="1">{#N/A,#N/A,FALSE,"Лист4"}</definedName>
    <definedName name="уеунукнун" localSheetId="31" hidden="1">{#N/A,#N/A,FALSE,"Лист4"}</definedName>
    <definedName name="уеунукнун" localSheetId="32" hidden="1">{#N/A,#N/A,FALSE,"Лист4"}</definedName>
    <definedName name="уеунукнун" localSheetId="11" hidden="1">{#N/A,#N/A,FALSE,"Лист4"}</definedName>
    <definedName name="уеунукнун" localSheetId="12" hidden="1">{#N/A,#N/A,FALSE,"Лист4"}</definedName>
    <definedName name="уеунукнун" localSheetId="18" hidden="1">{#N/A,#N/A,FALSE,"Лист4"}</definedName>
    <definedName name="уеунукнун" localSheetId="19" hidden="1">{#N/A,#N/A,FALSE,"Лист4"}</definedName>
    <definedName name="уеунукнун" hidden="1">{#N/A,#N/A,FALSE,"Лист4"}</definedName>
    <definedName name="уке" localSheetId="31" hidden="1">{#N/A,#N/A,FALSE,"Лист4"}</definedName>
    <definedName name="уке" localSheetId="32" hidden="1">{#N/A,#N/A,FALSE,"Лист4"}</definedName>
    <definedName name="уке" localSheetId="11" hidden="1">{#N/A,#N/A,FALSE,"Лист4"}</definedName>
    <definedName name="уке" localSheetId="12" hidden="1">{#N/A,#N/A,FALSE,"Лист4"}</definedName>
    <definedName name="уке" localSheetId="18" hidden="1">{#N/A,#N/A,FALSE,"Лист4"}</definedName>
    <definedName name="уке" localSheetId="19" hidden="1">{#N/A,#N/A,FALSE,"Лист4"}</definedName>
    <definedName name="уке" hidden="1">{#N/A,#N/A,FALSE,"Лист4"}</definedName>
    <definedName name="укй" localSheetId="31" hidden="1">{#N/A,#N/A,FALSE,"Лист4"}</definedName>
    <definedName name="укй" localSheetId="32" hidden="1">{#N/A,#N/A,FALSE,"Лист4"}</definedName>
    <definedName name="укй" localSheetId="11" hidden="1">{#N/A,#N/A,FALSE,"Лист4"}</definedName>
    <definedName name="укй" localSheetId="12" hidden="1">{#N/A,#N/A,FALSE,"Лист4"}</definedName>
    <definedName name="укй" localSheetId="18" hidden="1">{#N/A,#N/A,FALSE,"Лист4"}</definedName>
    <definedName name="укй" localSheetId="19" hidden="1">{#N/A,#N/A,FALSE,"Лист4"}</definedName>
    <definedName name="укй" hidden="1">{#N/A,#N/A,FALSE,"Лист4"}</definedName>
    <definedName name="укунн" localSheetId="31" hidden="1">{#N/A,#N/A,FALSE,"Лист4"}</definedName>
    <definedName name="укунн" localSheetId="32" hidden="1">{#N/A,#N/A,FALSE,"Лист4"}</definedName>
    <definedName name="укунн" localSheetId="11" hidden="1">{#N/A,#N/A,FALSE,"Лист4"}</definedName>
    <definedName name="укунн" localSheetId="12" hidden="1">{#N/A,#N/A,FALSE,"Лист4"}</definedName>
    <definedName name="укунн" localSheetId="18" hidden="1">{#N/A,#N/A,FALSE,"Лист4"}</definedName>
    <definedName name="укунн" localSheetId="19" hidden="1">{#N/A,#N/A,FALSE,"Лист4"}</definedName>
    <definedName name="укунн" hidden="1">{#N/A,#N/A,FALSE,"Лист4"}</definedName>
    <definedName name="унунен" localSheetId="31" hidden="1">{#N/A,#N/A,FALSE,"Лист4"}</definedName>
    <definedName name="унунен" localSheetId="32" hidden="1">{#N/A,#N/A,FALSE,"Лист4"}</definedName>
    <definedName name="унунен" localSheetId="11" hidden="1">{#N/A,#N/A,FALSE,"Лист4"}</definedName>
    <definedName name="унунен" localSheetId="12" hidden="1">{#N/A,#N/A,FALSE,"Лист4"}</definedName>
    <definedName name="унунен" localSheetId="18" hidden="1">{#N/A,#N/A,FALSE,"Лист4"}</definedName>
    <definedName name="унунен" localSheetId="19" hidden="1">{#N/A,#N/A,FALSE,"Лист4"}</definedName>
    <definedName name="унунен" hidden="1">{#N/A,#N/A,FALSE,"Лист4"}</definedName>
    <definedName name="унунун" localSheetId="31" hidden="1">{#N/A,#N/A,FALSE,"Лист4"}</definedName>
    <definedName name="унунун" localSheetId="32" hidden="1">{#N/A,#N/A,FALSE,"Лист4"}</definedName>
    <definedName name="унунун" localSheetId="11" hidden="1">{#N/A,#N/A,FALSE,"Лист4"}</definedName>
    <definedName name="унунун" localSheetId="12" hidden="1">{#N/A,#N/A,FALSE,"Лист4"}</definedName>
    <definedName name="унунун" localSheetId="18" hidden="1">{#N/A,#N/A,FALSE,"Лист4"}</definedName>
    <definedName name="унунун" localSheetId="19" hidden="1">{#N/A,#N/A,FALSE,"Лист4"}</definedName>
    <definedName name="унунун" hidden="1">{#N/A,#N/A,FALSE,"Лист4"}</definedName>
    <definedName name="унуу" localSheetId="31" hidden="1">{#N/A,#N/A,FALSE,"Лист4"}</definedName>
    <definedName name="унуу" localSheetId="32" hidden="1">{#N/A,#N/A,FALSE,"Лист4"}</definedName>
    <definedName name="унуу" localSheetId="11" hidden="1">{#N/A,#N/A,FALSE,"Лист4"}</definedName>
    <definedName name="унуу" localSheetId="12" hidden="1">{#N/A,#N/A,FALSE,"Лист4"}</definedName>
    <definedName name="унуу" localSheetId="18" hidden="1">{#N/A,#N/A,FALSE,"Лист4"}</definedName>
    <definedName name="унуу" localSheetId="19" hidden="1">{#N/A,#N/A,FALSE,"Лист4"}</definedName>
    <definedName name="унуу" hidden="1">{#N/A,#N/A,FALSE,"Лист4"}</definedName>
    <definedName name="унуун" localSheetId="31" hidden="1">{#N/A,#N/A,FALSE,"Лист4"}</definedName>
    <definedName name="унуун" localSheetId="32" hidden="1">{#N/A,#N/A,FALSE,"Лист4"}</definedName>
    <definedName name="унуун" localSheetId="11" hidden="1">{#N/A,#N/A,FALSE,"Лист4"}</definedName>
    <definedName name="унуун" localSheetId="12" hidden="1">{#N/A,#N/A,FALSE,"Лист4"}</definedName>
    <definedName name="унуун" localSheetId="18" hidden="1">{#N/A,#N/A,FALSE,"Лист4"}</definedName>
    <definedName name="унуун" localSheetId="19" hidden="1">{#N/A,#N/A,FALSE,"Лист4"}</definedName>
    <definedName name="унуун" hidden="1">{#N/A,#N/A,FALSE,"Лист4"}</definedName>
    <definedName name="унууу" localSheetId="31" hidden="1">{#N/A,#N/A,FALSE,"Лист4"}</definedName>
    <definedName name="унууу" localSheetId="32" hidden="1">{#N/A,#N/A,FALSE,"Лист4"}</definedName>
    <definedName name="унууу" localSheetId="11" hidden="1">{#N/A,#N/A,FALSE,"Лист4"}</definedName>
    <definedName name="унууу" localSheetId="12" hidden="1">{#N/A,#N/A,FALSE,"Лист4"}</definedName>
    <definedName name="унууу" localSheetId="18" hidden="1">{#N/A,#N/A,FALSE,"Лист4"}</definedName>
    <definedName name="унууу" localSheetId="19" hidden="1">{#N/A,#N/A,FALSE,"Лист4"}</definedName>
    <definedName name="унууу" hidden="1">{#N/A,#N/A,FALSE,"Лист4"}</definedName>
    <definedName name="управ" localSheetId="31" hidden="1">{#N/A,#N/A,FALSE,"Лист4"}</definedName>
    <definedName name="управ" localSheetId="32" hidden="1">{#N/A,#N/A,FALSE,"Лист4"}</definedName>
    <definedName name="управ" localSheetId="11" hidden="1">{#N/A,#N/A,FALSE,"Лист4"}</definedName>
    <definedName name="управ" localSheetId="12" hidden="1">{#N/A,#N/A,FALSE,"Лист4"}</definedName>
    <definedName name="управ" localSheetId="18" hidden="1">{#N/A,#N/A,FALSE,"Лист4"}</definedName>
    <definedName name="управ" localSheetId="19" hidden="1">{#N/A,#N/A,FALSE,"Лист4"}</definedName>
    <definedName name="управ" hidden="1">{#N/A,#N/A,FALSE,"Лист4"}</definedName>
    <definedName name="управління" localSheetId="31" hidden="1">{#N/A,#N/A,FALSE,"Лист4"}</definedName>
    <definedName name="управління" localSheetId="32" hidden="1">{#N/A,#N/A,FALSE,"Лист4"}</definedName>
    <definedName name="управління" localSheetId="11" hidden="1">{#N/A,#N/A,FALSE,"Лист4"}</definedName>
    <definedName name="управління" localSheetId="12" hidden="1">{#N/A,#N/A,FALSE,"Лист4"}</definedName>
    <definedName name="управління" localSheetId="18" hidden="1">{#N/A,#N/A,FALSE,"Лист4"}</definedName>
    <definedName name="управління" localSheetId="19" hidden="1">{#N/A,#N/A,FALSE,"Лист4"}</definedName>
    <definedName name="управління" hidden="1">{#N/A,#N/A,FALSE,"Лист4"}</definedName>
    <definedName name="уукее" localSheetId="31" hidden="1">{#N/A,#N/A,FALSE,"Лист4"}</definedName>
    <definedName name="уукее" localSheetId="32" hidden="1">{#N/A,#N/A,FALSE,"Лист4"}</definedName>
    <definedName name="уукее" localSheetId="11" hidden="1">{#N/A,#N/A,FALSE,"Лист4"}</definedName>
    <definedName name="уукее" localSheetId="12" hidden="1">{#N/A,#N/A,FALSE,"Лист4"}</definedName>
    <definedName name="уукее" localSheetId="18" hidden="1">{#N/A,#N/A,FALSE,"Лист4"}</definedName>
    <definedName name="уукее" localSheetId="19" hidden="1">{#N/A,#N/A,FALSE,"Лист4"}</definedName>
    <definedName name="уукее" hidden="1">{#N/A,#N/A,FALSE,"Лист4"}</definedName>
    <definedName name="ууннну" localSheetId="31" hidden="1">{#N/A,#N/A,FALSE,"Лист4"}</definedName>
    <definedName name="ууннну" localSheetId="32" hidden="1">{#N/A,#N/A,FALSE,"Лист4"}</definedName>
    <definedName name="ууннну" localSheetId="11" hidden="1">{#N/A,#N/A,FALSE,"Лист4"}</definedName>
    <definedName name="ууннну" localSheetId="12" hidden="1">{#N/A,#N/A,FALSE,"Лист4"}</definedName>
    <definedName name="ууннну" localSheetId="18" hidden="1">{#N/A,#N/A,FALSE,"Лист4"}</definedName>
    <definedName name="ууннну" localSheetId="19" hidden="1">{#N/A,#N/A,FALSE,"Лист4"}</definedName>
    <definedName name="ууннну" hidden="1">{#N/A,#N/A,FALSE,"Лист4"}</definedName>
    <definedName name="ууну" localSheetId="31" hidden="1">{#N/A,#N/A,FALSE,"Лист4"}</definedName>
    <definedName name="ууну" localSheetId="32" hidden="1">{#N/A,#N/A,FALSE,"Лист4"}</definedName>
    <definedName name="ууну" localSheetId="11" hidden="1">{#N/A,#N/A,FALSE,"Лист4"}</definedName>
    <definedName name="ууну" localSheetId="12" hidden="1">{#N/A,#N/A,FALSE,"Лист4"}</definedName>
    <definedName name="ууну" localSheetId="18" hidden="1">{#N/A,#N/A,FALSE,"Лист4"}</definedName>
    <definedName name="ууну" localSheetId="19" hidden="1">{#N/A,#N/A,FALSE,"Лист4"}</definedName>
    <definedName name="ууну" hidden="1">{#N/A,#N/A,FALSE,"Лист4"}</definedName>
    <definedName name="уунунг" localSheetId="31" hidden="1">{#N/A,#N/A,FALSE,"Лист4"}</definedName>
    <definedName name="уунунг" localSheetId="32" hidden="1">{#N/A,#N/A,FALSE,"Лист4"}</definedName>
    <definedName name="уунунг" localSheetId="11" hidden="1">{#N/A,#N/A,FALSE,"Лист4"}</definedName>
    <definedName name="уунунг" localSheetId="12" hidden="1">{#N/A,#N/A,FALSE,"Лист4"}</definedName>
    <definedName name="уунунг" localSheetId="18" hidden="1">{#N/A,#N/A,FALSE,"Лист4"}</definedName>
    <definedName name="уунунг" localSheetId="19" hidden="1">{#N/A,#N/A,FALSE,"Лист4"}</definedName>
    <definedName name="уунунг" hidden="1">{#N/A,#N/A,FALSE,"Лист4"}</definedName>
    <definedName name="уунунууу" localSheetId="31" hidden="1">{#N/A,#N/A,FALSE,"Лист4"}</definedName>
    <definedName name="уунунууу" localSheetId="32" hidden="1">{#N/A,#N/A,FALSE,"Лист4"}</definedName>
    <definedName name="уунунууу" localSheetId="11" hidden="1">{#N/A,#N/A,FALSE,"Лист4"}</definedName>
    <definedName name="уунунууу" localSheetId="12" hidden="1">{#N/A,#N/A,FALSE,"Лист4"}</definedName>
    <definedName name="уунунууу" localSheetId="18" hidden="1">{#N/A,#N/A,FALSE,"Лист4"}</definedName>
    <definedName name="уунунууу" localSheetId="19" hidden="1">{#N/A,#N/A,FALSE,"Лист4"}</definedName>
    <definedName name="уунунууу" hidden="1">{#N/A,#N/A,FALSE,"Лист4"}</definedName>
    <definedName name="уунуурр" localSheetId="31" hidden="1">{#N/A,#N/A,FALSE,"Лист4"}</definedName>
    <definedName name="уунуурр" localSheetId="32" hidden="1">{#N/A,#N/A,FALSE,"Лист4"}</definedName>
    <definedName name="уунуурр" localSheetId="11" hidden="1">{#N/A,#N/A,FALSE,"Лист4"}</definedName>
    <definedName name="уунуурр" localSheetId="12" hidden="1">{#N/A,#N/A,FALSE,"Лист4"}</definedName>
    <definedName name="уунуурр" localSheetId="18" hidden="1">{#N/A,#N/A,FALSE,"Лист4"}</definedName>
    <definedName name="уунуурр" localSheetId="19" hidden="1">{#N/A,#N/A,FALSE,"Лист4"}</definedName>
    <definedName name="уунуурр" hidden="1">{#N/A,#N/A,FALSE,"Лист4"}</definedName>
    <definedName name="уунуууу" localSheetId="31" hidden="1">{#N/A,#N/A,FALSE,"Лист4"}</definedName>
    <definedName name="уунуууу" localSheetId="32" hidden="1">{#N/A,#N/A,FALSE,"Лист4"}</definedName>
    <definedName name="уунуууу" localSheetId="11" hidden="1">{#N/A,#N/A,FALSE,"Лист4"}</definedName>
    <definedName name="уунуууу" localSheetId="12" hidden="1">{#N/A,#N/A,FALSE,"Лист4"}</definedName>
    <definedName name="уунуууу" localSheetId="18" hidden="1">{#N/A,#N/A,FALSE,"Лист4"}</definedName>
    <definedName name="уунуууу" localSheetId="19" hidden="1">{#N/A,#N/A,FALSE,"Лист4"}</definedName>
    <definedName name="уунуууу" hidden="1">{#N/A,#N/A,FALSE,"Лист4"}</definedName>
    <definedName name="ууу" localSheetId="31" hidden="1">{#N/A,#N/A,FALSE,"Лист4"}</definedName>
    <definedName name="ууу" localSheetId="32" hidden="1">{#N/A,#N/A,FALSE,"Лист4"}</definedName>
    <definedName name="ууу" localSheetId="11" hidden="1">{#N/A,#N/A,FALSE,"Лист4"}</definedName>
    <definedName name="ууу" localSheetId="12" hidden="1">{#N/A,#N/A,FALSE,"Лист4"}</definedName>
    <definedName name="ууу" localSheetId="18" hidden="1">{#N/A,#N/A,FALSE,"Лист4"}</definedName>
    <definedName name="ууу" localSheetId="19" hidden="1">{#N/A,#N/A,FALSE,"Лист4"}</definedName>
    <definedName name="ууу" hidden="1">{#N/A,#N/A,FALSE,"Лист4"}</definedName>
    <definedName name="ууунну" localSheetId="31" hidden="1">{#N/A,#N/A,FALSE,"Лист4"}</definedName>
    <definedName name="ууунну" localSheetId="32" hidden="1">{#N/A,#N/A,FALSE,"Лист4"}</definedName>
    <definedName name="ууунну" localSheetId="11" hidden="1">{#N/A,#N/A,FALSE,"Лист4"}</definedName>
    <definedName name="ууунну" localSheetId="12" hidden="1">{#N/A,#N/A,FALSE,"Лист4"}</definedName>
    <definedName name="ууунну" localSheetId="18" hidden="1">{#N/A,#N/A,FALSE,"Лист4"}</definedName>
    <definedName name="ууунну" localSheetId="19" hidden="1">{#N/A,#N/A,FALSE,"Лист4"}</definedName>
    <definedName name="ууунну" hidden="1">{#N/A,#N/A,FALSE,"Лист4"}</definedName>
    <definedName name="ууунууууу" localSheetId="31" hidden="1">{#N/A,#N/A,FALSE,"Лист4"}</definedName>
    <definedName name="ууунууууу" localSheetId="32" hidden="1">{#N/A,#N/A,FALSE,"Лист4"}</definedName>
    <definedName name="ууунууууу" localSheetId="11" hidden="1">{#N/A,#N/A,FALSE,"Лист4"}</definedName>
    <definedName name="ууунууууу" localSheetId="12" hidden="1">{#N/A,#N/A,FALSE,"Лист4"}</definedName>
    <definedName name="ууунууууу" localSheetId="18" hidden="1">{#N/A,#N/A,FALSE,"Лист4"}</definedName>
    <definedName name="ууунууууу" localSheetId="19" hidden="1">{#N/A,#N/A,FALSE,"Лист4"}</definedName>
    <definedName name="ууунууууу" hidden="1">{#N/A,#N/A,FALSE,"Лист4"}</definedName>
    <definedName name="уууу" localSheetId="31" hidden="1">{#N/A,#N/A,FALSE,"Лист4"}</definedName>
    <definedName name="уууу" localSheetId="32" hidden="1">{#N/A,#N/A,FALSE,"Лист4"}</definedName>
    <definedName name="уууу" localSheetId="11" hidden="1">{#N/A,#N/A,FALSE,"Лист4"}</definedName>
    <definedName name="уууу" localSheetId="12" hidden="1">{#N/A,#N/A,FALSE,"Лист4"}</definedName>
    <definedName name="уууу" localSheetId="18" hidden="1">{#N/A,#N/A,FALSE,"Лист4"}</definedName>
    <definedName name="уууу" localSheetId="19" hidden="1">{#N/A,#N/A,FALSE,"Лист4"}</definedName>
    <definedName name="уууу" hidden="1">{#N/A,#N/A,FALSE,"Лист4"}</definedName>
    <definedName name="уууу32" localSheetId="31" hidden="1">{#N/A,#N/A,FALSE,"Лист4"}</definedName>
    <definedName name="уууу32" localSheetId="32" hidden="1">{#N/A,#N/A,FALSE,"Лист4"}</definedName>
    <definedName name="уууу32" localSheetId="11" hidden="1">{#N/A,#N/A,FALSE,"Лист4"}</definedName>
    <definedName name="уууу32" localSheetId="12" hidden="1">{#N/A,#N/A,FALSE,"Лист4"}</definedName>
    <definedName name="уууу32" localSheetId="18" hidden="1">{#N/A,#N/A,FALSE,"Лист4"}</definedName>
    <definedName name="уууу32" localSheetId="19" hidden="1">{#N/A,#N/A,FALSE,"Лист4"}</definedName>
    <definedName name="уууу32" hidden="1">{#N/A,#N/A,FALSE,"Лист4"}</definedName>
    <definedName name="уууун" localSheetId="31" hidden="1">{#N/A,#N/A,FALSE,"Лист4"}</definedName>
    <definedName name="уууун" localSheetId="32" hidden="1">{#N/A,#N/A,FALSE,"Лист4"}</definedName>
    <definedName name="уууун" localSheetId="11" hidden="1">{#N/A,#N/A,FALSE,"Лист4"}</definedName>
    <definedName name="уууун" localSheetId="12" hidden="1">{#N/A,#N/A,FALSE,"Лист4"}</definedName>
    <definedName name="уууун" localSheetId="18" hidden="1">{#N/A,#N/A,FALSE,"Лист4"}</definedName>
    <definedName name="уууун" localSheetId="19" hidden="1">{#N/A,#N/A,FALSE,"Лист4"}</definedName>
    <definedName name="уууун" hidden="1">{#N/A,#N/A,FALSE,"Лист4"}</definedName>
    <definedName name="ф" localSheetId="31" hidden="1">{#N/A,#N/A,FALSE,"т02бд"}</definedName>
    <definedName name="ф" localSheetId="32" hidden="1">{#N/A,#N/A,FALSE,"т02бд"}</definedName>
    <definedName name="ф" localSheetId="11" hidden="1">{#N/A,#N/A,FALSE,"т02бд"}</definedName>
    <definedName name="ф" localSheetId="12" hidden="1">{#N/A,#N/A,FALSE,"т02бд"}</definedName>
    <definedName name="ф" localSheetId="18" hidden="1">{#N/A,#N/A,FALSE,"т02бд"}</definedName>
    <definedName name="ф" localSheetId="19" hidden="1">{#N/A,#N/A,FALSE,"т02бд"}</definedName>
    <definedName name="ф" hidden="1">{#N/A,#N/A,FALSE,"т02бд"}</definedName>
    <definedName name="фіва" localSheetId="31" hidden="1">{#N/A,#N/A,FALSE,"т02бд"}</definedName>
    <definedName name="фіва" localSheetId="32" hidden="1">{#N/A,#N/A,FALSE,"т02бд"}</definedName>
    <definedName name="фіва" localSheetId="11" hidden="1">{#N/A,#N/A,FALSE,"т02бд"}</definedName>
    <definedName name="фіва" localSheetId="12" hidden="1">{#N/A,#N/A,FALSE,"т02бд"}</definedName>
    <definedName name="фіва" localSheetId="18" hidden="1">{#N/A,#N/A,FALSE,"т02бд"}</definedName>
    <definedName name="фіва" localSheetId="19" hidden="1">{#N/A,#N/A,FALSE,"т02бд"}</definedName>
    <definedName name="фіва" hidden="1">{#N/A,#N/A,FALSE,"т02бд"}</definedName>
    <definedName name="фф" localSheetId="31" hidden="1">{#N/A,#N/A,FALSE,"Лист4"}</definedName>
    <definedName name="фф" localSheetId="32" hidden="1">{#N/A,#N/A,FALSE,"Лист4"}</definedName>
    <definedName name="фф" localSheetId="11" hidden="1">{#N/A,#N/A,FALSE,"Лист4"}</definedName>
    <definedName name="фф" localSheetId="12" hidden="1">{#N/A,#N/A,FALSE,"Лист4"}</definedName>
    <definedName name="фф" localSheetId="18" hidden="1">{#N/A,#N/A,FALSE,"Лист4"}</definedName>
    <definedName name="фф" localSheetId="19" hidden="1">{#N/A,#N/A,FALSE,"Лист4"}</definedName>
    <definedName name="фф" hidden="1">{#N/A,#N/A,FALSE,"Лист4"}</definedName>
    <definedName name="ффф" localSheetId="31" hidden="1">{#N/A,#N/A,FALSE,"Лист4"}</definedName>
    <definedName name="ффф" localSheetId="32" hidden="1">{#N/A,#N/A,FALSE,"Лист4"}</definedName>
    <definedName name="ффф" localSheetId="11" hidden="1">{#N/A,#N/A,FALSE,"Лист4"}</definedName>
    <definedName name="ффф" localSheetId="12" hidden="1">{#N/A,#N/A,FALSE,"Лист4"}</definedName>
    <definedName name="ффф" localSheetId="18" hidden="1">{#N/A,#N/A,FALSE,"Лист4"}</definedName>
    <definedName name="ффф" localSheetId="19" hidden="1">{#N/A,#N/A,FALSE,"Лист4"}</definedName>
    <definedName name="ффф" hidden="1">{#N/A,#N/A,FALSE,"Лист4"}</definedName>
    <definedName name="фффф" localSheetId="31" hidden="1">{#N/A,#N/A,FALSE,"Лист4"}</definedName>
    <definedName name="фффф" localSheetId="32" hidden="1">{#N/A,#N/A,FALSE,"Лист4"}</definedName>
    <definedName name="фффф" localSheetId="11" hidden="1">{#N/A,#N/A,FALSE,"Лист4"}</definedName>
    <definedName name="фффф" localSheetId="12" hidden="1">{#N/A,#N/A,FALSE,"Лист4"}</definedName>
    <definedName name="фффф" localSheetId="18" hidden="1">{#N/A,#N/A,FALSE,"Лист4"}</definedName>
    <definedName name="фффф" localSheetId="19" hidden="1">{#N/A,#N/A,FALSE,"Лист4"}</definedName>
    <definedName name="фффф" hidden="1">{#N/A,#N/A,FALSE,"Лист4"}</definedName>
    <definedName name="ффффф" localSheetId="31" hidden="1">{#N/A,#N/A,FALSE,"Лист4"}</definedName>
    <definedName name="ффффф" localSheetId="32" hidden="1">{#N/A,#N/A,FALSE,"Лист4"}</definedName>
    <definedName name="ффффф" localSheetId="11" hidden="1">{#N/A,#N/A,FALSE,"Лист4"}</definedName>
    <definedName name="ффффф" localSheetId="12" hidden="1">{#N/A,#N/A,FALSE,"Лист4"}</definedName>
    <definedName name="ффффф" localSheetId="18" hidden="1">{#N/A,#N/A,FALSE,"Лист4"}</definedName>
    <definedName name="ффффф" localSheetId="19" hidden="1">{#N/A,#N/A,FALSE,"Лист4"}</definedName>
    <definedName name="ффффф" hidden="1">{#N/A,#N/A,FALSE,"Лист4"}</definedName>
    <definedName name="хз" localSheetId="31" hidden="1">{#N/A,#N/A,FALSE,"Лист4"}</definedName>
    <definedName name="хз" localSheetId="32" hidden="1">{#N/A,#N/A,FALSE,"Лист4"}</definedName>
    <definedName name="хз" localSheetId="11" hidden="1">{#N/A,#N/A,FALSE,"Лист4"}</definedName>
    <definedName name="хз" localSheetId="12" hidden="1">{#N/A,#N/A,FALSE,"Лист4"}</definedName>
    <definedName name="хз" localSheetId="18" hidden="1">{#N/A,#N/A,FALSE,"Лист4"}</definedName>
    <definedName name="хз" localSheetId="19" hidden="1">{#N/A,#N/A,FALSE,"Лист4"}</definedName>
    <definedName name="хз" hidden="1">{#N/A,#N/A,FALSE,"Лист4"}</definedName>
    <definedName name="хїз" localSheetId="31" hidden="1">{#N/A,#N/A,FALSE,"Лист4"}</definedName>
    <definedName name="хїз" localSheetId="32" hidden="1">{#N/A,#N/A,FALSE,"Лист4"}</definedName>
    <definedName name="хїз" localSheetId="11" hidden="1">{#N/A,#N/A,FALSE,"Лист4"}</definedName>
    <definedName name="хїз" localSheetId="12" hidden="1">{#N/A,#N/A,FALSE,"Лист4"}</definedName>
    <definedName name="хїз" localSheetId="18" hidden="1">{#N/A,#N/A,FALSE,"Лист4"}</definedName>
    <definedName name="хїз" localSheetId="19" hidden="1">{#N/A,#N/A,FALSE,"Лист4"}</definedName>
    <definedName name="хїз" hidden="1">{#N/A,#N/A,FALSE,"Лист4"}</definedName>
    <definedName name="ххх" localSheetId="31" hidden="1">{#N/A,#N/A,FALSE,"Лист4"}</definedName>
    <definedName name="ххх" localSheetId="32" hidden="1">{#N/A,#N/A,FALSE,"Лист4"}</definedName>
    <definedName name="ххх" localSheetId="11" hidden="1">{#N/A,#N/A,FALSE,"Лист4"}</definedName>
    <definedName name="ххх" localSheetId="12" hidden="1">{#N/A,#N/A,FALSE,"Лист4"}</definedName>
    <definedName name="ххх" localSheetId="18" hidden="1">{#N/A,#N/A,FALSE,"Лист4"}</definedName>
    <definedName name="ххх" localSheetId="19" hidden="1">{#N/A,#N/A,FALSE,"Лист4"}</definedName>
    <definedName name="ххх" hidden="1">{#N/A,#N/A,FALSE,"Лист4"}</definedName>
    <definedName name="ц" localSheetId="31" hidden="1">{#N/A,#N/A,FALSE,"Лист4"}</definedName>
    <definedName name="ц" localSheetId="32" hidden="1">{#N/A,#N/A,FALSE,"Лист4"}</definedName>
    <definedName name="ц" localSheetId="11" hidden="1">{#N/A,#N/A,FALSE,"Лист4"}</definedName>
    <definedName name="ц" localSheetId="12" hidden="1">{#N/A,#N/A,FALSE,"Лист4"}</definedName>
    <definedName name="ц" localSheetId="18" hidden="1">{#N/A,#N/A,FALSE,"Лист4"}</definedName>
    <definedName name="ц" localSheetId="19" hidden="1">{#N/A,#N/A,FALSE,"Лист4"}</definedName>
    <definedName name="ц" hidden="1">{#N/A,#N/A,FALSE,"Лист4"}</definedName>
    <definedName name="цва" localSheetId="31" hidden="1">{#N/A,#N/A,FALSE,"Лист4"}</definedName>
    <definedName name="цва" localSheetId="32" hidden="1">{#N/A,#N/A,FALSE,"Лист4"}</definedName>
    <definedName name="цва" localSheetId="11" hidden="1">{#N/A,#N/A,FALSE,"Лист4"}</definedName>
    <definedName name="цва" localSheetId="12" hidden="1">{#N/A,#N/A,FALSE,"Лист4"}</definedName>
    <definedName name="цва" localSheetId="18" hidden="1">{#N/A,#N/A,FALSE,"Лист4"}</definedName>
    <definedName name="цва" localSheetId="19" hidden="1">{#N/A,#N/A,FALSE,"Лист4"}</definedName>
    <definedName name="цва" hidden="1">{#N/A,#N/A,FALSE,"Лист4"}</definedName>
    <definedName name="цекццецце" localSheetId="31" hidden="1">{#N/A,#N/A,FALSE,"Лист4"}</definedName>
    <definedName name="цекццецце" localSheetId="32" hidden="1">{#N/A,#N/A,FALSE,"Лист4"}</definedName>
    <definedName name="цекццецце" localSheetId="11" hidden="1">{#N/A,#N/A,FALSE,"Лист4"}</definedName>
    <definedName name="цекццецце" localSheetId="12" hidden="1">{#N/A,#N/A,FALSE,"Лист4"}</definedName>
    <definedName name="цекццецце" localSheetId="18" hidden="1">{#N/A,#N/A,FALSE,"Лист4"}</definedName>
    <definedName name="цекццецце" localSheetId="19" hidden="1">{#N/A,#N/A,FALSE,"Лист4"}</definedName>
    <definedName name="цекццецце" hidden="1">{#N/A,#N/A,FALSE,"Лист4"}</definedName>
    <definedName name="цеце" localSheetId="31" hidden="1">{#N/A,#N/A,FALSE,"Лист4"}</definedName>
    <definedName name="цеце" localSheetId="32" hidden="1">{#N/A,#N/A,FALSE,"Лист4"}</definedName>
    <definedName name="цеце" localSheetId="11" hidden="1">{#N/A,#N/A,FALSE,"Лист4"}</definedName>
    <definedName name="цеце" localSheetId="12" hidden="1">{#N/A,#N/A,FALSE,"Лист4"}</definedName>
    <definedName name="цеце" localSheetId="18" hidden="1">{#N/A,#N/A,FALSE,"Лист4"}</definedName>
    <definedName name="цеце" localSheetId="19" hidden="1">{#N/A,#N/A,FALSE,"Лист4"}</definedName>
    <definedName name="цеце" hidden="1">{#N/A,#N/A,FALSE,"Лист4"}</definedName>
    <definedName name="цецеце" localSheetId="31" hidden="1">{#N/A,#N/A,FALSE,"Лист4"}</definedName>
    <definedName name="цецеце" localSheetId="32" hidden="1">{#N/A,#N/A,FALSE,"Лист4"}</definedName>
    <definedName name="цецеце" localSheetId="11" hidden="1">{#N/A,#N/A,FALSE,"Лист4"}</definedName>
    <definedName name="цецеце" localSheetId="12" hidden="1">{#N/A,#N/A,FALSE,"Лист4"}</definedName>
    <definedName name="цецеце" localSheetId="18" hidden="1">{#N/A,#N/A,FALSE,"Лист4"}</definedName>
    <definedName name="цецеце" localSheetId="19" hidden="1">{#N/A,#N/A,FALSE,"Лист4"}</definedName>
    <definedName name="цецеце" hidden="1">{#N/A,#N/A,FALSE,"Лист4"}</definedName>
    <definedName name="цук" localSheetId="31" hidden="1">{#N/A,#N/A,FALSE,"Лист4"}</definedName>
    <definedName name="цук" localSheetId="32" hidden="1">{#N/A,#N/A,FALSE,"Лист4"}</definedName>
    <definedName name="цук" localSheetId="11" hidden="1">{#N/A,#N/A,FALSE,"Лист4"}</definedName>
    <definedName name="цук" localSheetId="12" hidden="1">{#N/A,#N/A,FALSE,"Лист4"}</definedName>
    <definedName name="цук" localSheetId="18" hidden="1">{#N/A,#N/A,FALSE,"Лист4"}</definedName>
    <definedName name="цук" localSheetId="19" hidden="1">{#N/A,#N/A,FALSE,"Лист4"}</definedName>
    <definedName name="цук" hidden="1">{#N/A,#N/A,FALSE,"Лист4"}</definedName>
    <definedName name="цуку" localSheetId="31" hidden="1">{#N/A,#N/A,FALSE,"Лист4"}</definedName>
    <definedName name="цуку" localSheetId="32" hidden="1">{#N/A,#N/A,FALSE,"Лист4"}</definedName>
    <definedName name="цуку" localSheetId="11" hidden="1">{#N/A,#N/A,FALSE,"Лист4"}</definedName>
    <definedName name="цуку" localSheetId="12" hidden="1">{#N/A,#N/A,FALSE,"Лист4"}</definedName>
    <definedName name="цуку" localSheetId="18" hidden="1">{#N/A,#N/A,FALSE,"Лист4"}</definedName>
    <definedName name="цуку" localSheetId="19" hidden="1">{#N/A,#N/A,FALSE,"Лист4"}</definedName>
    <definedName name="цуку" hidden="1">{#N/A,#N/A,FALSE,"Лист4"}</definedName>
    <definedName name="цууу" localSheetId="31" hidden="1">{#N/A,#N/A,FALSE,"Лист4"}</definedName>
    <definedName name="цууу" localSheetId="32" hidden="1">{#N/A,#N/A,FALSE,"Лист4"}</definedName>
    <definedName name="цууу" localSheetId="11" hidden="1">{#N/A,#N/A,FALSE,"Лист4"}</definedName>
    <definedName name="цууу" localSheetId="12" hidden="1">{#N/A,#N/A,FALSE,"Лист4"}</definedName>
    <definedName name="цууу" localSheetId="18" hidden="1">{#N/A,#N/A,FALSE,"Лист4"}</definedName>
    <definedName name="цууу" localSheetId="19" hidden="1">{#N/A,#N/A,FALSE,"Лист4"}</definedName>
    <definedName name="цууу" hidden="1">{#N/A,#N/A,FALSE,"Лист4"}</definedName>
    <definedName name="цц" localSheetId="31" hidden="1">{#N/A,#N/A,FALSE,"Лист4"}</definedName>
    <definedName name="цц" localSheetId="32" hidden="1">{#N/A,#N/A,FALSE,"Лист4"}</definedName>
    <definedName name="цц" localSheetId="11" hidden="1">{#N/A,#N/A,FALSE,"Лист4"}</definedName>
    <definedName name="цц" localSheetId="12" hidden="1">{#N/A,#N/A,FALSE,"Лист4"}</definedName>
    <definedName name="цц" localSheetId="18" hidden="1">{#N/A,#N/A,FALSE,"Лист4"}</definedName>
    <definedName name="цц" localSheetId="19" hidden="1">{#N/A,#N/A,FALSE,"Лист4"}</definedName>
    <definedName name="цц" hidden="1">{#N/A,#N/A,FALSE,"Лист4"}</definedName>
    <definedName name="ццвва" localSheetId="31" hidden="1">{#N/A,#N/A,FALSE,"Лист4"}</definedName>
    <definedName name="ццвва" localSheetId="32" hidden="1">{#N/A,#N/A,FALSE,"Лист4"}</definedName>
    <definedName name="ццвва" localSheetId="11" hidden="1">{#N/A,#N/A,FALSE,"Лист4"}</definedName>
    <definedName name="ццвва" localSheetId="12" hidden="1">{#N/A,#N/A,FALSE,"Лист4"}</definedName>
    <definedName name="ццвва" localSheetId="18" hidden="1">{#N/A,#N/A,FALSE,"Лист4"}</definedName>
    <definedName name="ццвва" localSheetId="19" hidden="1">{#N/A,#N/A,FALSE,"Лист4"}</definedName>
    <definedName name="ццвва" hidden="1">{#N/A,#N/A,FALSE,"Лист4"}</definedName>
    <definedName name="ццецц" localSheetId="31" hidden="1">{#N/A,#N/A,FALSE,"Лист4"}</definedName>
    <definedName name="ццецц" localSheetId="32" hidden="1">{#N/A,#N/A,FALSE,"Лист4"}</definedName>
    <definedName name="ццецц" localSheetId="11" hidden="1">{#N/A,#N/A,FALSE,"Лист4"}</definedName>
    <definedName name="ццецц" localSheetId="12" hidden="1">{#N/A,#N/A,FALSE,"Лист4"}</definedName>
    <definedName name="ццецц" localSheetId="18" hidden="1">{#N/A,#N/A,FALSE,"Лист4"}</definedName>
    <definedName name="ццецц" localSheetId="19" hidden="1">{#N/A,#N/A,FALSE,"Лист4"}</definedName>
    <definedName name="ццецц" hidden="1">{#N/A,#N/A,FALSE,"Лист4"}</definedName>
    <definedName name="ццеццке" localSheetId="31" hidden="1">{#N/A,#N/A,FALSE,"Лист4"}</definedName>
    <definedName name="ццеццке" localSheetId="32" hidden="1">{#N/A,#N/A,FALSE,"Лист4"}</definedName>
    <definedName name="ццеццке" localSheetId="11" hidden="1">{#N/A,#N/A,FALSE,"Лист4"}</definedName>
    <definedName name="ццеццке" localSheetId="12" hidden="1">{#N/A,#N/A,FALSE,"Лист4"}</definedName>
    <definedName name="ццеццке" localSheetId="18" hidden="1">{#N/A,#N/A,FALSE,"Лист4"}</definedName>
    <definedName name="ццеццке" localSheetId="19" hidden="1">{#N/A,#N/A,FALSE,"Лист4"}</definedName>
    <definedName name="ццеццке" hidden="1">{#N/A,#N/A,FALSE,"Лист4"}</definedName>
    <definedName name="ццеццкевап" localSheetId="31" hidden="1">{#N/A,#N/A,FALSE,"Лист4"}</definedName>
    <definedName name="ццеццкевап" localSheetId="32" hidden="1">{#N/A,#N/A,FALSE,"Лист4"}</definedName>
    <definedName name="ццеццкевап" localSheetId="11" hidden="1">{#N/A,#N/A,FALSE,"Лист4"}</definedName>
    <definedName name="ццеццкевап" localSheetId="12" hidden="1">{#N/A,#N/A,FALSE,"Лист4"}</definedName>
    <definedName name="ццеццкевап" localSheetId="18" hidden="1">{#N/A,#N/A,FALSE,"Лист4"}</definedName>
    <definedName name="ццеццкевап" localSheetId="19" hidden="1">{#N/A,#N/A,FALSE,"Лист4"}</definedName>
    <definedName name="ццеццкевап" hidden="1">{#N/A,#N/A,FALSE,"Лист4"}</definedName>
    <definedName name="ццке" localSheetId="31" hidden="1">{#N/A,#N/A,FALSE,"Лист4"}</definedName>
    <definedName name="ццке" localSheetId="32" hidden="1">{#N/A,#N/A,FALSE,"Лист4"}</definedName>
    <definedName name="ццке" localSheetId="11" hidden="1">{#N/A,#N/A,FALSE,"Лист4"}</definedName>
    <definedName name="ццке" localSheetId="12" hidden="1">{#N/A,#N/A,FALSE,"Лист4"}</definedName>
    <definedName name="ццке" localSheetId="18" hidden="1">{#N/A,#N/A,FALSE,"Лист4"}</definedName>
    <definedName name="ццке" localSheetId="19" hidden="1">{#N/A,#N/A,FALSE,"Лист4"}</definedName>
    <definedName name="ццке" hidden="1">{#N/A,#N/A,FALSE,"Лист4"}</definedName>
    <definedName name="ццук" localSheetId="31" hidden="1">{#N/A,#N/A,FALSE,"Лист4"}</definedName>
    <definedName name="ццук" localSheetId="32" hidden="1">{#N/A,#N/A,FALSE,"Лист4"}</definedName>
    <definedName name="ццук" localSheetId="11" hidden="1">{#N/A,#N/A,FALSE,"Лист4"}</definedName>
    <definedName name="ццук" localSheetId="12" hidden="1">{#N/A,#N/A,FALSE,"Лист4"}</definedName>
    <definedName name="ццук" localSheetId="18" hidden="1">{#N/A,#N/A,FALSE,"Лист4"}</definedName>
    <definedName name="ццук" localSheetId="19" hidden="1">{#N/A,#N/A,FALSE,"Лист4"}</definedName>
    <definedName name="ццук" hidden="1">{#N/A,#N/A,FALSE,"Лист4"}</definedName>
    <definedName name="цццецц" localSheetId="31" hidden="1">{#N/A,#N/A,FALSE,"Лист4"}</definedName>
    <definedName name="цццецц" localSheetId="32" hidden="1">{#N/A,#N/A,FALSE,"Лист4"}</definedName>
    <definedName name="цццецц" localSheetId="11" hidden="1">{#N/A,#N/A,FALSE,"Лист4"}</definedName>
    <definedName name="цццецц" localSheetId="12" hidden="1">{#N/A,#N/A,FALSE,"Лист4"}</definedName>
    <definedName name="цццецц" localSheetId="18" hidden="1">{#N/A,#N/A,FALSE,"Лист4"}</definedName>
    <definedName name="цццецц" localSheetId="19" hidden="1">{#N/A,#N/A,FALSE,"Лист4"}</definedName>
    <definedName name="цццецц" hidden="1">{#N/A,#N/A,FALSE,"Лист4"}</definedName>
    <definedName name="цццкеец" localSheetId="31" hidden="1">{#N/A,#N/A,FALSE,"Лист4"}</definedName>
    <definedName name="цццкеец" localSheetId="32" hidden="1">{#N/A,#N/A,FALSE,"Лист4"}</definedName>
    <definedName name="цццкеец" localSheetId="11" hidden="1">{#N/A,#N/A,FALSE,"Лист4"}</definedName>
    <definedName name="цццкеец" localSheetId="12" hidden="1">{#N/A,#N/A,FALSE,"Лист4"}</definedName>
    <definedName name="цццкеец" localSheetId="18" hidden="1">{#N/A,#N/A,FALSE,"Лист4"}</definedName>
    <definedName name="цццкеец" localSheetId="19" hidden="1">{#N/A,#N/A,FALSE,"Лист4"}</definedName>
    <definedName name="цццкеец" hidden="1">{#N/A,#N/A,FALSE,"Лист4"}</definedName>
    <definedName name="цццц" localSheetId="31" hidden="1">{#N/A,#N/A,FALSE,"Лист4"}</definedName>
    <definedName name="цццц" localSheetId="32" hidden="1">{#N/A,#N/A,FALSE,"Лист4"}</definedName>
    <definedName name="цццц" localSheetId="11" hidden="1">{#N/A,#N/A,FALSE,"Лист4"}</definedName>
    <definedName name="цццц" localSheetId="12" hidden="1">{#N/A,#N/A,FALSE,"Лист4"}</definedName>
    <definedName name="цццц" localSheetId="18" hidden="1">{#N/A,#N/A,FALSE,"Лист4"}</definedName>
    <definedName name="цццц" localSheetId="19" hidden="1">{#N/A,#N/A,FALSE,"Лист4"}</definedName>
    <definedName name="цццц" hidden="1">{#N/A,#N/A,FALSE,"Лист4"}</definedName>
    <definedName name="ццццкц" localSheetId="31" hidden="1">{#N/A,#N/A,FALSE,"Лист4"}</definedName>
    <definedName name="ццццкц" localSheetId="32" hidden="1">{#N/A,#N/A,FALSE,"Лист4"}</definedName>
    <definedName name="ццццкц" localSheetId="11" hidden="1">{#N/A,#N/A,FALSE,"Лист4"}</definedName>
    <definedName name="ццццкц" localSheetId="12" hidden="1">{#N/A,#N/A,FALSE,"Лист4"}</definedName>
    <definedName name="ццццкц" localSheetId="18" hidden="1">{#N/A,#N/A,FALSE,"Лист4"}</definedName>
    <definedName name="ццццкц" localSheetId="19" hidden="1">{#N/A,#N/A,FALSE,"Лист4"}</definedName>
    <definedName name="ццццкц" hidden="1">{#N/A,#N/A,FALSE,"Лист4"}</definedName>
    <definedName name="ццццц" localSheetId="31" hidden="1">{#N/A,#N/A,FALSE,"Лист4"}</definedName>
    <definedName name="ццццц" localSheetId="32" hidden="1">{#N/A,#N/A,FALSE,"Лист4"}</definedName>
    <definedName name="ццццц" localSheetId="11" hidden="1">{#N/A,#N/A,FALSE,"Лист4"}</definedName>
    <definedName name="ццццц" localSheetId="12" hidden="1">{#N/A,#N/A,FALSE,"Лист4"}</definedName>
    <definedName name="ццццц" localSheetId="18" hidden="1">{#N/A,#N/A,FALSE,"Лист4"}</definedName>
    <definedName name="ццццц" localSheetId="19" hidden="1">{#N/A,#N/A,FALSE,"Лист4"}</definedName>
    <definedName name="ццццц" hidden="1">{#N/A,#N/A,FALSE,"Лист4"}</definedName>
    <definedName name="цццццц" localSheetId="31" hidden="1">{#N/A,#N/A,FALSE,"Лист4"}</definedName>
    <definedName name="цццццц" localSheetId="32" hidden="1">{#N/A,#N/A,FALSE,"Лист4"}</definedName>
    <definedName name="цццццц" localSheetId="11" hidden="1">{#N/A,#N/A,FALSE,"Лист4"}</definedName>
    <definedName name="цццццц" localSheetId="12" hidden="1">{#N/A,#N/A,FALSE,"Лист4"}</definedName>
    <definedName name="цццццц" localSheetId="18" hidden="1">{#N/A,#N/A,FALSE,"Лист4"}</definedName>
    <definedName name="цццццц" localSheetId="19" hidden="1">{#N/A,#N/A,FALSE,"Лист4"}</definedName>
    <definedName name="цццццц" hidden="1">{#N/A,#N/A,FALSE,"Лист4"}</definedName>
    <definedName name="чву" localSheetId="31" hidden="1">{#N/A,#N/A,FALSE,"Лист4"}</definedName>
    <definedName name="чву" localSheetId="32" hidden="1">{#N/A,#N/A,FALSE,"Лист4"}</definedName>
    <definedName name="чву" localSheetId="11" hidden="1">{#N/A,#N/A,FALSE,"Лист4"}</definedName>
    <definedName name="чву" localSheetId="12" hidden="1">{#N/A,#N/A,FALSE,"Лист4"}</definedName>
    <definedName name="чву" localSheetId="18" hidden="1">{#N/A,#N/A,FALSE,"Лист4"}</definedName>
    <definedName name="чву" localSheetId="19" hidden="1">{#N/A,#N/A,FALSE,"Лист4"}</definedName>
    <definedName name="чву" hidden="1">{#N/A,#N/A,FALSE,"Лист4"}</definedName>
    <definedName name="чч" localSheetId="31" hidden="1">{#N/A,#N/A,FALSE,"Лист4"}</definedName>
    <definedName name="чч" localSheetId="32" hidden="1">{#N/A,#N/A,FALSE,"Лист4"}</definedName>
    <definedName name="чч" localSheetId="11" hidden="1">{#N/A,#N/A,FALSE,"Лист4"}</definedName>
    <definedName name="чч" localSheetId="12" hidden="1">{#N/A,#N/A,FALSE,"Лист4"}</definedName>
    <definedName name="чч" localSheetId="18" hidden="1">{#N/A,#N/A,FALSE,"Лист4"}</definedName>
    <definedName name="чч" localSheetId="19" hidden="1">{#N/A,#N/A,FALSE,"Лист4"}</definedName>
    <definedName name="чч" hidden="1">{#N/A,#N/A,FALSE,"Лист4"}</definedName>
    <definedName name="ччч" localSheetId="31" hidden="1">{#N/A,#N/A,FALSE,"Лист4"}</definedName>
    <definedName name="ччч" localSheetId="32" hidden="1">{#N/A,#N/A,FALSE,"Лист4"}</definedName>
    <definedName name="ччч" localSheetId="11" hidden="1">{#N/A,#N/A,FALSE,"Лист4"}</definedName>
    <definedName name="ччч" localSheetId="12" hidden="1">{#N/A,#N/A,FALSE,"Лист4"}</definedName>
    <definedName name="ччч" localSheetId="18" hidden="1">{#N/A,#N/A,FALSE,"Лист4"}</definedName>
    <definedName name="ччч" localSheetId="19" hidden="1">{#N/A,#N/A,FALSE,"Лист4"}</definedName>
    <definedName name="ччч" hidden="1">{#N/A,#N/A,FALSE,"Лист4"}</definedName>
    <definedName name="шш" localSheetId="31" hidden="1">{#N/A,#N/A,FALSE,"Лист4"}</definedName>
    <definedName name="шш" localSheetId="32" hidden="1">{#N/A,#N/A,FALSE,"Лист4"}</definedName>
    <definedName name="шш" localSheetId="11" hidden="1">{#N/A,#N/A,FALSE,"Лист4"}</definedName>
    <definedName name="шш" localSheetId="12" hidden="1">{#N/A,#N/A,FALSE,"Лист4"}</definedName>
    <definedName name="шш" localSheetId="18" hidden="1">{#N/A,#N/A,FALSE,"Лист4"}</definedName>
    <definedName name="шш" localSheetId="19" hidden="1">{#N/A,#N/A,FALSE,"Лист4"}</definedName>
    <definedName name="шш" hidden="1">{#N/A,#N/A,FALSE,"Лист4"}</definedName>
    <definedName name="шшшш" localSheetId="31" hidden="1">{#N/A,#N/A,FALSE,"Лист4"}</definedName>
    <definedName name="шшшш" localSheetId="32" hidden="1">{#N/A,#N/A,FALSE,"Лист4"}</definedName>
    <definedName name="шшшш" localSheetId="11" hidden="1">{#N/A,#N/A,FALSE,"Лист4"}</definedName>
    <definedName name="шшшш" localSheetId="12" hidden="1">{#N/A,#N/A,FALSE,"Лист4"}</definedName>
    <definedName name="шшшш" localSheetId="18" hidden="1">{#N/A,#N/A,FALSE,"Лист4"}</definedName>
    <definedName name="шшшш" localSheetId="19" hidden="1">{#N/A,#N/A,FALSE,"Лист4"}</definedName>
    <definedName name="шшшш" hidden="1">{#N/A,#N/A,FALSE,"Лист4"}</definedName>
    <definedName name="щщ" localSheetId="31" hidden="1">{#N/A,#N/A,FALSE,"Лист4"}</definedName>
    <definedName name="щщ" localSheetId="32" hidden="1">{#N/A,#N/A,FALSE,"Лист4"}</definedName>
    <definedName name="щщ" localSheetId="11" hidden="1">{#N/A,#N/A,FALSE,"Лист4"}</definedName>
    <definedName name="щщ" localSheetId="12" hidden="1">{#N/A,#N/A,FALSE,"Лист4"}</definedName>
    <definedName name="щщ" localSheetId="18" hidden="1">{#N/A,#N/A,FALSE,"Лист4"}</definedName>
    <definedName name="щщ" localSheetId="19" hidden="1">{#N/A,#N/A,FALSE,"Лист4"}</definedName>
    <definedName name="щщ" hidden="1">{#N/A,#N/A,FALSE,"Лист4"}</definedName>
    <definedName name="щщщ" localSheetId="31" hidden="1">{#N/A,#N/A,FALSE,"Лист4"}</definedName>
    <definedName name="щщщ" localSheetId="32" hidden="1">{#N/A,#N/A,FALSE,"Лист4"}</definedName>
    <definedName name="щщщ" localSheetId="11" hidden="1">{#N/A,#N/A,FALSE,"Лист4"}</definedName>
    <definedName name="щщщ" localSheetId="12" hidden="1">{#N/A,#N/A,FALSE,"Лист4"}</definedName>
    <definedName name="щщщ" localSheetId="18" hidden="1">{#N/A,#N/A,FALSE,"Лист4"}</definedName>
    <definedName name="щщщ" localSheetId="19" hidden="1">{#N/A,#N/A,FALSE,"Лист4"}</definedName>
    <definedName name="щщщ" hidden="1">{#N/A,#N/A,FALSE,"Лист4"}</definedName>
    <definedName name="щщщшг" localSheetId="31" hidden="1">{#N/A,#N/A,FALSE,"Лист4"}</definedName>
    <definedName name="щщщшг" localSheetId="32" hidden="1">{#N/A,#N/A,FALSE,"Лист4"}</definedName>
    <definedName name="щщщшг" localSheetId="11" hidden="1">{#N/A,#N/A,FALSE,"Лист4"}</definedName>
    <definedName name="щщщшг" localSheetId="12" hidden="1">{#N/A,#N/A,FALSE,"Лист4"}</definedName>
    <definedName name="щщщшг" localSheetId="18" hidden="1">{#N/A,#N/A,FALSE,"Лист4"}</definedName>
    <definedName name="щщщшг" localSheetId="19" hidden="1">{#N/A,#N/A,FALSE,"Лист4"}</definedName>
    <definedName name="щщщшг" hidden="1">{#N/A,#N/A,FALSE,"Лист4"}</definedName>
    <definedName name="ыва3" localSheetId="24">#REF!</definedName>
    <definedName name="ыва3" localSheetId="31">#REF!</definedName>
    <definedName name="ыва3" localSheetId="32">#REF!</definedName>
    <definedName name="ыва3" localSheetId="26">#REF!</definedName>
    <definedName name="ыва3" localSheetId="11">#REF!</definedName>
    <definedName name="ыва3" localSheetId="20">#REF!</definedName>
    <definedName name="ыва3" localSheetId="23">#REF!</definedName>
    <definedName name="ыва3" localSheetId="21">#REF!</definedName>
    <definedName name="ыва3" localSheetId="17">#REF!</definedName>
    <definedName name="ыва3" localSheetId="12">#REF!</definedName>
    <definedName name="ыва3" localSheetId="18">#REF!</definedName>
    <definedName name="ыва3" localSheetId="19">#REF!</definedName>
    <definedName name="ыва3">#REF!</definedName>
    <definedName name="элд" localSheetId="31" hidden="1">{"'Всего'!$A$1:$F$19"}</definedName>
    <definedName name="элд" localSheetId="32" hidden="1">{"'Всего'!$A$1:$F$19"}</definedName>
    <definedName name="элд" localSheetId="11" hidden="1">{"'Всего'!$A$1:$F$19"}</definedName>
    <definedName name="элд" localSheetId="12" hidden="1">{"'Всего'!$A$1:$F$19"}</definedName>
    <definedName name="элд" localSheetId="18" hidden="1">{"'Всего'!$A$1:$F$19"}</definedName>
    <definedName name="элд" localSheetId="19" hidden="1">{"'Всего'!$A$1:$F$19"}</definedName>
    <definedName name="элд" hidden="1">{"'Всего'!$A$1:$F$19"}</definedName>
    <definedName name="юю" localSheetId="31" hidden="1">{#N/A,#N/A,FALSE,"Лист4"}</definedName>
    <definedName name="юю" localSheetId="32" hidden="1">{#N/A,#N/A,FALSE,"Лист4"}</definedName>
    <definedName name="юю" localSheetId="11" hidden="1">{#N/A,#N/A,FALSE,"Лист4"}</definedName>
    <definedName name="юю" localSheetId="12" hidden="1">{#N/A,#N/A,FALSE,"Лист4"}</definedName>
    <definedName name="юю" localSheetId="18" hidden="1">{#N/A,#N/A,FALSE,"Лист4"}</definedName>
    <definedName name="юю" localSheetId="19" hidden="1">{#N/A,#N/A,FALSE,"Лист4"}</definedName>
    <definedName name="юю" hidden="1">{#N/A,#N/A,FALSE,"Лист4"}</definedName>
    <definedName name="ююю" localSheetId="31" hidden="1">{#N/A,#N/A,FALSE,"Лист4"}</definedName>
    <definedName name="ююю" localSheetId="32" hidden="1">{#N/A,#N/A,FALSE,"Лист4"}</definedName>
    <definedName name="ююю" localSheetId="11" hidden="1">{#N/A,#N/A,FALSE,"Лист4"}</definedName>
    <definedName name="ююю" localSheetId="12" hidden="1">{#N/A,#N/A,FALSE,"Лист4"}</definedName>
    <definedName name="ююю" localSheetId="18" hidden="1">{#N/A,#N/A,FALSE,"Лист4"}</definedName>
    <definedName name="ююю" localSheetId="19" hidden="1">{#N/A,#N/A,FALSE,"Лист4"}</definedName>
    <definedName name="ююю" hidden="1">{#N/A,#N/A,FALSE,"Лист4"}</definedName>
    <definedName name="яяя" localSheetId="31" hidden="1">{#N/A,#N/A,FALSE,"Лист4"}</definedName>
    <definedName name="яяя" localSheetId="32" hidden="1">{#N/A,#N/A,FALSE,"Лист4"}</definedName>
    <definedName name="яяя" localSheetId="11" hidden="1">{#N/A,#N/A,FALSE,"Лист4"}</definedName>
    <definedName name="яяя" localSheetId="12" hidden="1">{#N/A,#N/A,FALSE,"Лист4"}</definedName>
    <definedName name="яяя" localSheetId="18" hidden="1">{#N/A,#N/A,FALSE,"Лист4"}</definedName>
    <definedName name="яяя" localSheetId="19" hidden="1">{#N/A,#N/A,FALSE,"Лист4"}</definedName>
    <definedName name="яяя" hidden="1">{#N/A,#N/A,FALSE,"Лист4"}</definedName>
    <definedName name="яяяя" localSheetId="31" hidden="1">{#N/A,#N/A,FALSE,"Лист4"}</definedName>
    <definedName name="яяяя" localSheetId="32" hidden="1">{#N/A,#N/A,FALSE,"Лист4"}</definedName>
    <definedName name="яяяя" localSheetId="11" hidden="1">{#N/A,#N/A,FALSE,"Лист4"}</definedName>
    <definedName name="яяяя" localSheetId="12" hidden="1">{#N/A,#N/A,FALSE,"Лист4"}</definedName>
    <definedName name="яяяя" localSheetId="18" hidden="1">{#N/A,#N/A,FALSE,"Лист4"}</definedName>
    <definedName name="яяяя" localSheetId="19" hidden="1">{#N/A,#N/A,FALSE,"Лист4"}</definedName>
    <definedName name="яяяя" hidden="1">{#N/A,#N/A,FALSE,"Лист4"}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68" l="1"/>
  <c r="A35" i="68" s="1"/>
  <c r="N10" i="69"/>
  <c r="N9" i="69"/>
  <c r="B6" i="69"/>
  <c r="F342" i="67"/>
  <c r="F341" i="67"/>
  <c r="F340" i="67"/>
  <c r="C340" i="67" s="1"/>
  <c r="B340" i="67" s="1"/>
  <c r="L350" i="67"/>
  <c r="F350" i="67" s="1"/>
  <c r="E350" i="67" s="1"/>
  <c r="D350" i="67" s="1"/>
  <c r="L351" i="67"/>
  <c r="F351" i="67" s="1"/>
  <c r="E351" i="67" s="1"/>
  <c r="D351" i="67" s="1"/>
  <c r="L349" i="67"/>
  <c r="F349" i="67" s="1"/>
  <c r="E349" i="67" s="1"/>
  <c r="D349" i="67" s="1"/>
  <c r="W347" i="67" a="1"/>
  <c r="W347" i="67" s="1"/>
  <c r="K347" i="67" a="1"/>
  <c r="K347" i="67" s="1"/>
  <c r="L344" i="67"/>
  <c r="M344" i="67"/>
  <c r="N344" i="67"/>
  <c r="O344" i="67"/>
  <c r="P344" i="67"/>
  <c r="Q344" i="67"/>
  <c r="R344" i="67"/>
  <c r="S344" i="67"/>
  <c r="T344" i="67"/>
  <c r="U344" i="67"/>
  <c r="V344" i="67"/>
  <c r="L345" i="67"/>
  <c r="M345" i="67"/>
  <c r="N345" i="67"/>
  <c r="O345" i="67"/>
  <c r="P345" i="67"/>
  <c r="Q345" i="67"/>
  <c r="R345" i="67"/>
  <c r="S345" i="67"/>
  <c r="T345" i="67"/>
  <c r="U345" i="67"/>
  <c r="V345" i="67"/>
  <c r="K345" i="67"/>
  <c r="K344" i="67"/>
  <c r="F332" i="67"/>
  <c r="F331" i="67"/>
  <c r="E331" i="67"/>
  <c r="D331" i="67" s="1"/>
  <c r="F330" i="67"/>
  <c r="F329" i="67"/>
  <c r="E329" i="67" s="1"/>
  <c r="D329" i="67" s="1"/>
  <c r="F328" i="67"/>
  <c r="F327" i="67"/>
  <c r="E327" i="67" s="1"/>
  <c r="D327" i="67" s="1"/>
  <c r="F319" i="67"/>
  <c r="C317" i="67" s="1"/>
  <c r="B317" i="67" s="1"/>
  <c r="F318" i="67"/>
  <c r="F317" i="67"/>
  <c r="L331" i="67"/>
  <c r="L327" i="67"/>
  <c r="L332" i="67"/>
  <c r="L328" i="67"/>
  <c r="L330" i="67"/>
  <c r="L329" i="67"/>
  <c r="FN35" i="68"/>
  <c r="FO35" i="68"/>
  <c r="FP35" i="68"/>
  <c r="FQ35" i="68"/>
  <c r="FR35" i="68"/>
  <c r="FS35" i="68"/>
  <c r="FT35" i="68"/>
  <c r="FU35" i="68"/>
  <c r="FV35" i="68"/>
  <c r="FW35" i="68"/>
  <c r="FX35" i="68"/>
  <c r="FY35" i="68"/>
  <c r="K324" i="67" a="1"/>
  <c r="K324" i="67" s="1"/>
  <c r="F324" i="67" s="1" a="1"/>
  <c r="F324" i="67" s="1"/>
  <c r="E324" i="67" s="1"/>
  <c r="AR321" i="67"/>
  <c r="AS321" i="67"/>
  <c r="AT321" i="67"/>
  <c r="AR322" i="67"/>
  <c r="AS322" i="67"/>
  <c r="AT322" i="67"/>
  <c r="AP321" i="67"/>
  <c r="AQ321" i="67"/>
  <c r="AP322" i="67"/>
  <c r="AQ322" i="67"/>
  <c r="AF321" i="67"/>
  <c r="AG321" i="67"/>
  <c r="AH321" i="67"/>
  <c r="AI321" i="67"/>
  <c r="AJ321" i="67"/>
  <c r="AK321" i="67"/>
  <c r="AL321" i="67"/>
  <c r="AM321" i="67"/>
  <c r="AN321" i="67"/>
  <c r="AO321" i="67"/>
  <c r="AF322" i="67"/>
  <c r="AG322" i="67"/>
  <c r="AH322" i="67"/>
  <c r="AI322" i="67"/>
  <c r="AJ322" i="67"/>
  <c r="AK322" i="67"/>
  <c r="AL322" i="67"/>
  <c r="AM322" i="67"/>
  <c r="AN322" i="67"/>
  <c r="AO322" i="67"/>
  <c r="L321" i="67"/>
  <c r="M321" i="67"/>
  <c r="N321" i="67"/>
  <c r="O321" i="67"/>
  <c r="P321" i="67"/>
  <c r="Q321" i="67"/>
  <c r="R321" i="67"/>
  <c r="S321" i="67"/>
  <c r="T321" i="67"/>
  <c r="U321" i="67"/>
  <c r="V321" i="67"/>
  <c r="W321" i="67"/>
  <c r="X321" i="67"/>
  <c r="Y321" i="67"/>
  <c r="Z321" i="67"/>
  <c r="AA321" i="67"/>
  <c r="AB321" i="67"/>
  <c r="AC321" i="67"/>
  <c r="AD321" i="67"/>
  <c r="AE321" i="67"/>
  <c r="L322" i="67"/>
  <c r="M322" i="67"/>
  <c r="N322" i="67"/>
  <c r="O322" i="67"/>
  <c r="P322" i="67"/>
  <c r="Q322" i="67"/>
  <c r="R322" i="67"/>
  <c r="S322" i="67"/>
  <c r="T322" i="67"/>
  <c r="U322" i="67"/>
  <c r="V322" i="67"/>
  <c r="W322" i="67"/>
  <c r="X322" i="67"/>
  <c r="Y322" i="67"/>
  <c r="Z322" i="67"/>
  <c r="AA322" i="67"/>
  <c r="AB322" i="67"/>
  <c r="AC322" i="67"/>
  <c r="AD322" i="67"/>
  <c r="AE322" i="67"/>
  <c r="K322" i="67"/>
  <c r="K321" i="67"/>
  <c r="F309" i="67"/>
  <c r="F308" i="67"/>
  <c r="E308" i="67" s="1"/>
  <c r="D308" i="67" s="1"/>
  <c r="F307" i="67"/>
  <c r="F306" i="67"/>
  <c r="F305" i="67"/>
  <c r="F304" i="67"/>
  <c r="F299" i="67" a="1"/>
  <c r="F299" i="67" s="1"/>
  <c r="E299" i="67" s="1"/>
  <c r="C299" i="67" s="1"/>
  <c r="B299" i="67" s="1"/>
  <c r="F297" i="67"/>
  <c r="F296" i="67"/>
  <c r="F295" i="67"/>
  <c r="L308" i="67"/>
  <c r="L304" i="67"/>
  <c r="L309" i="67"/>
  <c r="L305" i="67"/>
  <c r="L307" i="67"/>
  <c r="L306" i="67"/>
  <c r="K299" i="67" a="1"/>
  <c r="K299" i="67" s="1"/>
  <c r="K297" i="67"/>
  <c r="K295" i="67"/>
  <c r="K296" i="67"/>
  <c r="B41" i="68"/>
  <c r="E306" i="67" l="1"/>
  <c r="D306" i="67" s="1"/>
  <c r="F322" i="67" a="1"/>
  <c r="F322" i="67" s="1"/>
  <c r="E322" i="67" s="1"/>
  <c r="F321" i="67" a="1"/>
  <c r="F321" i="67" s="1"/>
  <c r="E321" i="67" s="1"/>
  <c r="C321" i="67" s="1"/>
  <c r="B321" i="67" s="1"/>
  <c r="C295" i="67"/>
  <c r="B295" i="67" s="1"/>
  <c r="E304" i="67"/>
  <c r="D304" i="67" s="1"/>
  <c r="C304" i="67" s="1"/>
  <c r="B304" i="67" s="1"/>
  <c r="C327" i="67"/>
  <c r="B327" i="67" s="1"/>
  <c r="A41" i="68"/>
  <c r="C349" i="67"/>
  <c r="B349" i="67" s="1"/>
  <c r="F9" i="67" a="1"/>
  <c r="F9" i="67" s="1"/>
  <c r="F8" i="67" a="1"/>
  <c r="F8" i="67" s="1"/>
  <c r="K279" i="67" a="1"/>
  <c r="K279" i="67" s="1"/>
  <c r="F279" i="67" s="1" a="1"/>
  <c r="F279" i="67" s="1"/>
  <c r="F274" i="67"/>
  <c r="F273" i="67"/>
  <c r="F272" i="67"/>
  <c r="L286" i="67"/>
  <c r="F286" i="67" s="1"/>
  <c r="L282" i="67"/>
  <c r="F282" i="67" s="1"/>
  <c r="L287" i="67"/>
  <c r="F287" i="67" s="1"/>
  <c r="L283" i="67"/>
  <c r="F283" i="67" s="1"/>
  <c r="L285" i="67"/>
  <c r="F285" i="67" s="1"/>
  <c r="L284" i="67"/>
  <c r="F284" i="67" s="1"/>
  <c r="AS276" i="67"/>
  <c r="AT276" i="67"/>
  <c r="AS277" i="67"/>
  <c r="AT277" i="67"/>
  <c r="AL276" i="67"/>
  <c r="AM276" i="67"/>
  <c r="AN276" i="67"/>
  <c r="AO276" i="67"/>
  <c r="AP276" i="67"/>
  <c r="AQ276" i="67"/>
  <c r="AR276" i="67"/>
  <c r="AL277" i="67"/>
  <c r="AM277" i="67"/>
  <c r="AN277" i="67"/>
  <c r="AO277" i="67"/>
  <c r="AP277" i="67"/>
  <c r="AQ277" i="67"/>
  <c r="AR277" i="67"/>
  <c r="L276" i="67"/>
  <c r="M276" i="67"/>
  <c r="N276" i="67"/>
  <c r="O276" i="67"/>
  <c r="P276" i="67"/>
  <c r="Q276" i="67"/>
  <c r="R276" i="67"/>
  <c r="S276" i="67"/>
  <c r="T276" i="67"/>
  <c r="U276" i="67"/>
  <c r="V276" i="67"/>
  <c r="W276" i="67"/>
  <c r="X276" i="67"/>
  <c r="Y276" i="67"/>
  <c r="Z276" i="67"/>
  <c r="AA276" i="67"/>
  <c r="AB276" i="67"/>
  <c r="AC276" i="67"/>
  <c r="AD276" i="67"/>
  <c r="AE276" i="67"/>
  <c r="AF276" i="67"/>
  <c r="AG276" i="67"/>
  <c r="AH276" i="67"/>
  <c r="AI276" i="67"/>
  <c r="AJ276" i="67"/>
  <c r="AK276" i="67"/>
  <c r="L277" i="67"/>
  <c r="M277" i="67"/>
  <c r="N277" i="67"/>
  <c r="O277" i="67"/>
  <c r="P277" i="67"/>
  <c r="Q277" i="67"/>
  <c r="R277" i="67"/>
  <c r="S277" i="67"/>
  <c r="T277" i="67"/>
  <c r="U277" i="67"/>
  <c r="V277" i="67"/>
  <c r="W277" i="67"/>
  <c r="X277" i="67"/>
  <c r="Y277" i="67"/>
  <c r="Z277" i="67"/>
  <c r="AA277" i="67"/>
  <c r="AB277" i="67"/>
  <c r="AC277" i="67"/>
  <c r="AD277" i="67"/>
  <c r="AE277" i="67"/>
  <c r="AF277" i="67"/>
  <c r="AG277" i="67"/>
  <c r="AH277" i="67"/>
  <c r="AI277" i="67"/>
  <c r="AJ277" i="67"/>
  <c r="AK277" i="67"/>
  <c r="K277" i="67"/>
  <c r="K276" i="67"/>
  <c r="L263" i="67" a="1"/>
  <c r="L263" i="67" s="1"/>
  <c r="F263" i="67" s="1"/>
  <c r="L259" i="67" a="1"/>
  <c r="L259" i="67" s="1"/>
  <c r="F259" i="67" s="1"/>
  <c r="L261" i="67" a="1"/>
  <c r="L261" i="67" s="1"/>
  <c r="F261" i="67" s="1"/>
  <c r="B10" i="68"/>
  <c r="F276" i="67" l="1" a="1"/>
  <c r="F276" i="67" s="1"/>
  <c r="E276" i="67" s="1"/>
  <c r="F277" i="67" a="1"/>
  <c r="F277" i="67" s="1"/>
  <c r="E277" i="67" s="1"/>
  <c r="C272" i="67"/>
  <c r="B272" i="67" s="1"/>
  <c r="E284" i="67"/>
  <c r="D284" i="67" s="1"/>
  <c r="E286" i="67"/>
  <c r="D286" i="67" s="1"/>
  <c r="E279" i="67"/>
  <c r="E282" i="67"/>
  <c r="D282" i="67" s="1"/>
  <c r="C282" i="67" s="1"/>
  <c r="B282" i="67" s="1"/>
  <c r="F260" i="67"/>
  <c r="E259" i="67" s="1"/>
  <c r="D259" i="67" s="1"/>
  <c r="F262" i="67"/>
  <c r="E261" i="67" s="1"/>
  <c r="D261" i="67" s="1"/>
  <c r="F264" i="67"/>
  <c r="E263" i="67" s="1"/>
  <c r="D263" i="67" s="1"/>
  <c r="A6" i="68"/>
  <c r="A10" i="68"/>
  <c r="A9" i="68"/>
  <c r="K254" i="67" a="1"/>
  <c r="K254" i="67" s="1"/>
  <c r="K252" i="67"/>
  <c r="F252" i="67" s="1"/>
  <c r="K250" i="67"/>
  <c r="F250" i="67" s="1"/>
  <c r="K251" i="67"/>
  <c r="F251" i="67" s="1"/>
  <c r="M6" i="69"/>
  <c r="L6" i="69"/>
  <c r="K6" i="69"/>
  <c r="J6" i="69"/>
  <c r="I6" i="69"/>
  <c r="H6" i="69"/>
  <c r="G6" i="69"/>
  <c r="F6" i="69"/>
  <c r="E6" i="69"/>
  <c r="D6" i="69"/>
  <c r="C6" i="69"/>
  <c r="M5" i="69"/>
  <c r="L5" i="69"/>
  <c r="K5" i="69"/>
  <c r="J5" i="69"/>
  <c r="I5" i="69"/>
  <c r="H5" i="69"/>
  <c r="G5" i="69"/>
  <c r="F5" i="69"/>
  <c r="E5" i="69"/>
  <c r="D5" i="69"/>
  <c r="C5" i="69"/>
  <c r="B5" i="69"/>
  <c r="N4" i="69"/>
  <c r="N3" i="69"/>
  <c r="M41" i="68"/>
  <c r="L41" i="68"/>
  <c r="K41" i="68"/>
  <c r="J41" i="68"/>
  <c r="I41" i="68"/>
  <c r="H41" i="68"/>
  <c r="G41" i="68"/>
  <c r="F41" i="68"/>
  <c r="E41" i="68"/>
  <c r="D41" i="68"/>
  <c r="C41" i="68"/>
  <c r="P40" i="68"/>
  <c r="O40" i="68"/>
  <c r="N40" i="68"/>
  <c r="A40" i="68"/>
  <c r="FM35" i="68"/>
  <c r="FL35" i="68"/>
  <c r="FK35" i="68"/>
  <c r="FJ35" i="68"/>
  <c r="FI35" i="68"/>
  <c r="FH35" i="68"/>
  <c r="FG35" i="68"/>
  <c r="FF35" i="68"/>
  <c r="FE35" i="68"/>
  <c r="FD35" i="68"/>
  <c r="FC35" i="68"/>
  <c r="FB35" i="68"/>
  <c r="FA35" i="68"/>
  <c r="EZ35" i="68"/>
  <c r="EY35" i="68"/>
  <c r="EX35" i="68"/>
  <c r="EW35" i="68"/>
  <c r="EV35" i="68"/>
  <c r="EU35" i="68"/>
  <c r="ET35" i="68"/>
  <c r="ES35" i="68"/>
  <c r="ER35" i="68"/>
  <c r="EQ35" i="68"/>
  <c r="EP35" i="68"/>
  <c r="EO35" i="68"/>
  <c r="EN35" i="68"/>
  <c r="EM35" i="68"/>
  <c r="EL35" i="68"/>
  <c r="EK35" i="68"/>
  <c r="EJ35" i="68"/>
  <c r="EI35" i="68"/>
  <c r="EH35" i="68"/>
  <c r="EG35" i="68"/>
  <c r="EF35" i="68"/>
  <c r="EE35" i="68"/>
  <c r="ED35" i="68"/>
  <c r="A34" i="68"/>
  <c r="EK10" i="68"/>
  <c r="M10" i="68"/>
  <c r="L10" i="68"/>
  <c r="K10" i="68"/>
  <c r="J10" i="68"/>
  <c r="I10" i="68"/>
  <c r="H10" i="68"/>
  <c r="G10" i="68"/>
  <c r="F10" i="68"/>
  <c r="E10" i="68"/>
  <c r="D10" i="68"/>
  <c r="C10" i="68"/>
  <c r="P9" i="68"/>
  <c r="O9" i="68"/>
  <c r="O10" i="68" s="1"/>
  <c r="N9" i="68"/>
  <c r="FY6" i="68"/>
  <c r="FX6" i="68"/>
  <c r="FW6" i="68"/>
  <c r="FV6" i="68"/>
  <c r="FU6" i="68"/>
  <c r="FT6" i="68"/>
  <c r="FS6" i="68"/>
  <c r="FR6" i="68"/>
  <c r="FQ6" i="68"/>
  <c r="FP6" i="68"/>
  <c r="FO6" i="68"/>
  <c r="FN6" i="68"/>
  <c r="FM6" i="68"/>
  <c r="FL6" i="68"/>
  <c r="FK6" i="68"/>
  <c r="FJ6" i="68"/>
  <c r="FI6" i="68"/>
  <c r="FH6" i="68"/>
  <c r="FG6" i="68"/>
  <c r="FF6" i="68"/>
  <c r="FE6" i="68"/>
  <c r="FD6" i="68"/>
  <c r="FC6" i="68"/>
  <c r="FB6" i="68"/>
  <c r="FA6" i="68"/>
  <c r="EZ6" i="68"/>
  <c r="EY6" i="68"/>
  <c r="EX6" i="68"/>
  <c r="EW6" i="68"/>
  <c r="EV6" i="68"/>
  <c r="EU6" i="68"/>
  <c r="ET6" i="68"/>
  <c r="ES6" i="68"/>
  <c r="ER6" i="68"/>
  <c r="EQ6" i="68"/>
  <c r="EP6" i="68"/>
  <c r="EO6" i="68"/>
  <c r="EN6" i="68"/>
  <c r="EM6" i="68"/>
  <c r="EL6" i="68"/>
  <c r="EK6" i="68"/>
  <c r="EJ6" i="68"/>
  <c r="EI6" i="68"/>
  <c r="EH6" i="68"/>
  <c r="EG6" i="68"/>
  <c r="EF6" i="68"/>
  <c r="EE6" i="68"/>
  <c r="ED6" i="68"/>
  <c r="A5" i="68"/>
  <c r="C276" i="67" l="1"/>
  <c r="B276" i="67" s="1"/>
  <c r="N6" i="69"/>
  <c r="N12" i="69" s="1"/>
  <c r="AU347" i="67" a="1"/>
  <c r="AU347" i="67" s="1"/>
  <c r="N5" i="69"/>
  <c r="N11" i="69" s="1"/>
  <c r="AI347" i="67" a="1"/>
  <c r="AI347" i="67" s="1"/>
  <c r="P10" i="68"/>
  <c r="K325" i="67" a="1"/>
  <c r="K325" i="67" s="1"/>
  <c r="F325" i="67" s="1" a="1"/>
  <c r="F325" i="67" s="1"/>
  <c r="E325" i="67" s="1"/>
  <c r="C324" i="67" s="1"/>
  <c r="B324" i="67" s="1"/>
  <c r="O41" i="68"/>
  <c r="P41" i="68"/>
  <c r="K280" i="67" a="1"/>
  <c r="K280" i="67" s="1"/>
  <c r="F280" i="67" s="1" a="1"/>
  <c r="F280" i="67" s="1"/>
  <c r="E280" i="67" s="1"/>
  <c r="C279" i="67" s="1"/>
  <c r="B279" i="67" s="1"/>
  <c r="N41" i="68"/>
  <c r="K302" i="67" s="1" a="1"/>
  <c r="K302" i="67" s="1"/>
  <c r="F302" i="67" s="1" a="1"/>
  <c r="F302" i="67" s="1"/>
  <c r="E302" i="67" s="1"/>
  <c r="K301" i="67" a="1"/>
  <c r="K301" i="67" s="1"/>
  <c r="F301" i="67" s="1" a="1"/>
  <c r="F301" i="67" s="1"/>
  <c r="E301" i="67" s="1"/>
  <c r="N10" i="68"/>
  <c r="K257" i="67" s="1" a="1"/>
  <c r="K257" i="67" s="1"/>
  <c r="F257" i="67" s="1" a="1"/>
  <c r="F257" i="67" s="1"/>
  <c r="E257" i="67" s="1"/>
  <c r="K256" i="67" a="1"/>
  <c r="K256" i="67" s="1"/>
  <c r="F256" i="67" s="1" a="1"/>
  <c r="F256" i="67" s="1"/>
  <c r="E256" i="67" s="1"/>
  <c r="F254" i="67" a="1"/>
  <c r="F254" i="67" s="1"/>
  <c r="E254" i="67" s="1"/>
  <c r="C254" i="67" s="1"/>
  <c r="B254" i="67" s="1"/>
  <c r="C250" i="67"/>
  <c r="B250" i="67" s="1"/>
  <c r="C259" i="67"/>
  <c r="B259" i="67" s="1"/>
  <c r="O6" i="69"/>
  <c r="O5" i="69"/>
  <c r="O4" i="69"/>
  <c r="O3" i="69"/>
  <c r="F347" i="67" l="1" a="1"/>
  <c r="F347" i="67" s="1"/>
  <c r="E347" i="67" s="1"/>
  <c r="C347" i="67" s="1"/>
  <c r="B347" i="67" s="1"/>
  <c r="C301" i="67"/>
  <c r="B301" i="67" s="1"/>
  <c r="C256" i="67"/>
  <c r="B256" i="67" s="1"/>
  <c r="K244" i="67"/>
  <c r="K246" i="67"/>
  <c r="K268" i="67" s="1"/>
  <c r="K245" i="67"/>
  <c r="K267" i="67" s="1"/>
  <c r="F246" i="67"/>
  <c r="F245" i="67"/>
  <c r="W219" i="67"/>
  <c r="X219" i="67" s="1"/>
  <c r="Y219" i="67" s="1"/>
  <c r="Z219" i="67" s="1"/>
  <c r="AA219" i="67" s="1"/>
  <c r="AB219" i="67" s="1"/>
  <c r="AC219" i="67" s="1"/>
  <c r="AD219" i="67" s="1"/>
  <c r="AE219" i="67" s="1"/>
  <c r="AF219" i="67" s="1"/>
  <c r="AG219" i="67" s="1"/>
  <c r="AH219" i="67" s="1"/>
  <c r="K219" i="67"/>
  <c r="L219" i="67" s="1"/>
  <c r="M219" i="67" s="1"/>
  <c r="N219" i="67" s="1"/>
  <c r="O219" i="67" s="1"/>
  <c r="P219" i="67" s="1"/>
  <c r="Q219" i="67" s="1"/>
  <c r="R219" i="67" s="1"/>
  <c r="S219" i="67" s="1"/>
  <c r="T219" i="67" s="1"/>
  <c r="U219" i="67" s="1"/>
  <c r="V219" i="67" s="1"/>
  <c r="K220" i="67" a="1"/>
  <c r="K220" i="67" s="1"/>
  <c r="F220" i="67" s="1" a="1"/>
  <c r="F220" i="67" s="1"/>
  <c r="E220" i="67" s="1"/>
  <c r="K238" i="67" a="1"/>
  <c r="K238" i="67" s="1"/>
  <c r="F238" i="67" s="1"/>
  <c r="K228" i="67" a="1"/>
  <c r="K228" i="67" s="1"/>
  <c r="F228" i="67" s="1"/>
  <c r="K233" i="67" a="1"/>
  <c r="K233" i="67" s="1"/>
  <c r="F233" i="67" s="1"/>
  <c r="K217" i="67"/>
  <c r="F217" i="67" s="1"/>
  <c r="K215" i="67"/>
  <c r="F215" i="67" s="1"/>
  <c r="K216" i="67"/>
  <c r="F216" i="67" s="1"/>
  <c r="F186" i="67"/>
  <c r="F185" i="67"/>
  <c r="F184" i="67"/>
  <c r="K194" i="67" a="1"/>
  <c r="K194" i="67" s="1"/>
  <c r="F194" i="67" s="1" a="1"/>
  <c r="F194" i="67" s="1"/>
  <c r="E194" i="67" s="1"/>
  <c r="K193" i="67" a="1"/>
  <c r="K193" i="67" s="1"/>
  <c r="F193" i="67" s="1" a="1"/>
  <c r="F193" i="67" s="1"/>
  <c r="E193" i="67" s="1"/>
  <c r="K192" i="67" a="1"/>
  <c r="K192" i="67" s="1"/>
  <c r="F192" i="67" s="1" a="1"/>
  <c r="F192" i="67" s="1"/>
  <c r="E192" i="67" s="1"/>
  <c r="K191" i="67" a="1"/>
  <c r="K191" i="67" s="1"/>
  <c r="F191" i="67" s="1" a="1"/>
  <c r="F191" i="67" s="1"/>
  <c r="E191" i="67" s="1"/>
  <c r="L204" i="67" a="1"/>
  <c r="L204" i="67" s="1"/>
  <c r="F204" i="67" s="1"/>
  <c r="L196" i="67" a="1"/>
  <c r="L196" i="67" s="1"/>
  <c r="F196" i="67" s="1"/>
  <c r="L200" i="67" a="1"/>
  <c r="L200" i="67" s="1"/>
  <c r="F200" i="67" s="1"/>
  <c r="AJ188" i="67"/>
  <c r="AK188" i="67"/>
  <c r="AL188" i="67"/>
  <c r="AM188" i="67"/>
  <c r="AN188" i="67"/>
  <c r="AO188" i="67"/>
  <c r="AP188" i="67"/>
  <c r="AQ188" i="67"/>
  <c r="AR188" i="67"/>
  <c r="AS188" i="67"/>
  <c r="AT188" i="67"/>
  <c r="AJ189" i="67"/>
  <c r="AK189" i="67"/>
  <c r="AL189" i="67"/>
  <c r="AM189" i="67"/>
  <c r="AN189" i="67"/>
  <c r="AO189" i="67"/>
  <c r="AP189" i="67"/>
  <c r="AQ189" i="67"/>
  <c r="AR189" i="67"/>
  <c r="AS189" i="67"/>
  <c r="AT189" i="67"/>
  <c r="L188" i="67"/>
  <c r="M188" i="67"/>
  <c r="N188" i="67"/>
  <c r="O188" i="67"/>
  <c r="P188" i="67"/>
  <c r="Q188" i="67"/>
  <c r="R188" i="67"/>
  <c r="S188" i="67"/>
  <c r="T188" i="67"/>
  <c r="U188" i="67"/>
  <c r="V188" i="67"/>
  <c r="W188" i="67"/>
  <c r="X188" i="67"/>
  <c r="Y188" i="67"/>
  <c r="Z188" i="67"/>
  <c r="AA188" i="67"/>
  <c r="AB188" i="67"/>
  <c r="AC188" i="67"/>
  <c r="AD188" i="67"/>
  <c r="AE188" i="67"/>
  <c r="AF188" i="67"/>
  <c r="AG188" i="67"/>
  <c r="AH188" i="67"/>
  <c r="AI188" i="67"/>
  <c r="L189" i="67"/>
  <c r="M189" i="67"/>
  <c r="N189" i="67"/>
  <c r="O189" i="67"/>
  <c r="P189" i="67"/>
  <c r="Q189" i="67"/>
  <c r="R189" i="67"/>
  <c r="S189" i="67"/>
  <c r="T189" i="67"/>
  <c r="U189" i="67"/>
  <c r="V189" i="67"/>
  <c r="W189" i="67"/>
  <c r="X189" i="67"/>
  <c r="Y189" i="67"/>
  <c r="Z189" i="67"/>
  <c r="AA189" i="67"/>
  <c r="AB189" i="67"/>
  <c r="AC189" i="67"/>
  <c r="AD189" i="67"/>
  <c r="AE189" i="67"/>
  <c r="AF189" i="67"/>
  <c r="AG189" i="67"/>
  <c r="AH189" i="67"/>
  <c r="AI189" i="67"/>
  <c r="K189" i="67"/>
  <c r="K188" i="67"/>
  <c r="K209" i="67"/>
  <c r="F209" i="67" s="1"/>
  <c r="K211" i="67"/>
  <c r="F211" i="67" s="1"/>
  <c r="K210" i="67"/>
  <c r="F210" i="67" s="1"/>
  <c r="F143" i="67"/>
  <c r="F142" i="67"/>
  <c r="F141" i="67"/>
  <c r="C141" i="67" s="1"/>
  <c r="B141" i="67" s="1"/>
  <c r="K180" i="67"/>
  <c r="F180" i="67" s="1"/>
  <c r="K178" i="67"/>
  <c r="F178" i="67" s="1"/>
  <c r="K179" i="67"/>
  <c r="F179" i="67" s="1"/>
  <c r="AL86" i="45"/>
  <c r="AM86" i="45"/>
  <c r="AN86" i="45"/>
  <c r="AO86" i="45"/>
  <c r="AP86" i="45"/>
  <c r="AQ86" i="45"/>
  <c r="AR86" i="45"/>
  <c r="AS86" i="45"/>
  <c r="AT86" i="45"/>
  <c r="AU86" i="45"/>
  <c r="AV86" i="45"/>
  <c r="AW86" i="45"/>
  <c r="K153" i="67" a="1"/>
  <c r="K153" i="67" s="1"/>
  <c r="F153" i="67" s="1" a="1"/>
  <c r="F153" i="67" s="1"/>
  <c r="E153" i="67" s="1"/>
  <c r="K152" i="67" a="1"/>
  <c r="K152" i="67" s="1"/>
  <c r="F152" i="67" s="1" a="1"/>
  <c r="F152" i="67" s="1"/>
  <c r="E152" i="67" s="1"/>
  <c r="K151" i="67" a="1"/>
  <c r="K151" i="67" s="1"/>
  <c r="F151" i="67" s="1" a="1"/>
  <c r="F151" i="67" s="1"/>
  <c r="E151" i="67" s="1"/>
  <c r="K150" i="67" a="1"/>
  <c r="K150" i="67" s="1"/>
  <c r="F150" i="67" s="1" a="1"/>
  <c r="F150" i="67" s="1"/>
  <c r="E150" i="67" s="1"/>
  <c r="L149" i="67"/>
  <c r="M149" i="67"/>
  <c r="N149" i="67"/>
  <c r="O149" i="67"/>
  <c r="P149" i="67"/>
  <c r="Q149" i="67"/>
  <c r="R149" i="67"/>
  <c r="S149" i="67"/>
  <c r="T149" i="67"/>
  <c r="U149" i="67"/>
  <c r="V149" i="67"/>
  <c r="W149" i="67"/>
  <c r="X149" i="67"/>
  <c r="Y149" i="67"/>
  <c r="Z149" i="67"/>
  <c r="AA149" i="67"/>
  <c r="AB149" i="67"/>
  <c r="AC149" i="67"/>
  <c r="AD149" i="67"/>
  <c r="AE149" i="67"/>
  <c r="AF149" i="67"/>
  <c r="AG149" i="67"/>
  <c r="AH149" i="67"/>
  <c r="AI149" i="67"/>
  <c r="AJ149" i="67"/>
  <c r="AK149" i="67"/>
  <c r="AL149" i="67"/>
  <c r="AM149" i="67"/>
  <c r="AN149" i="67"/>
  <c r="AO149" i="67"/>
  <c r="AP149" i="67"/>
  <c r="AQ149" i="67"/>
  <c r="AR149" i="67"/>
  <c r="AS149" i="67"/>
  <c r="AT149" i="67"/>
  <c r="L148" i="67"/>
  <c r="M148" i="67"/>
  <c r="N148" i="67"/>
  <c r="O148" i="67"/>
  <c r="P148" i="67"/>
  <c r="Q148" i="67"/>
  <c r="R148" i="67"/>
  <c r="S148" i="67"/>
  <c r="T148" i="67"/>
  <c r="U148" i="67"/>
  <c r="V148" i="67"/>
  <c r="W148" i="67"/>
  <c r="X148" i="67"/>
  <c r="Y148" i="67"/>
  <c r="Z148" i="67"/>
  <c r="AA148" i="67"/>
  <c r="AB148" i="67"/>
  <c r="AC148" i="67"/>
  <c r="AD148" i="67"/>
  <c r="AE148" i="67"/>
  <c r="AF148" i="67"/>
  <c r="AG148" i="67"/>
  <c r="AH148" i="67"/>
  <c r="AI148" i="67"/>
  <c r="AJ148" i="67"/>
  <c r="AK148" i="67"/>
  <c r="AL148" i="67"/>
  <c r="AM148" i="67"/>
  <c r="AN148" i="67"/>
  <c r="AO148" i="67"/>
  <c r="AP148" i="67"/>
  <c r="AQ148" i="67"/>
  <c r="AR148" i="67"/>
  <c r="AS148" i="67"/>
  <c r="AT148" i="67"/>
  <c r="K148" i="67"/>
  <c r="K149" i="67"/>
  <c r="AR145" i="67"/>
  <c r="AS145" i="67"/>
  <c r="AT145" i="67"/>
  <c r="AR146" i="67"/>
  <c r="AS146" i="67"/>
  <c r="AT146" i="67"/>
  <c r="AM145" i="67"/>
  <c r="AN145" i="67"/>
  <c r="AO145" i="67"/>
  <c r="AP145" i="67"/>
  <c r="AQ145" i="67"/>
  <c r="AM146" i="67"/>
  <c r="AN146" i="67"/>
  <c r="AO146" i="67"/>
  <c r="AP146" i="67"/>
  <c r="AQ146" i="67"/>
  <c r="AA145" i="67"/>
  <c r="AB145" i="67"/>
  <c r="AC145" i="67"/>
  <c r="AD145" i="67"/>
  <c r="AE145" i="67"/>
  <c r="AF145" i="67"/>
  <c r="AG145" i="67"/>
  <c r="AH145" i="67"/>
  <c r="AI145" i="67"/>
  <c r="AJ145" i="67"/>
  <c r="AK145" i="67"/>
  <c r="AL145" i="67"/>
  <c r="AA146" i="67"/>
  <c r="AB146" i="67"/>
  <c r="AC146" i="67"/>
  <c r="AD146" i="67"/>
  <c r="AE146" i="67"/>
  <c r="AF146" i="67"/>
  <c r="AG146" i="67"/>
  <c r="AH146" i="67"/>
  <c r="AI146" i="67"/>
  <c r="AJ146" i="67"/>
  <c r="AK146" i="67"/>
  <c r="AL146" i="67"/>
  <c r="L145" i="67"/>
  <c r="M145" i="67"/>
  <c r="N145" i="67"/>
  <c r="O145" i="67"/>
  <c r="P145" i="67"/>
  <c r="Q145" i="67"/>
  <c r="R145" i="67"/>
  <c r="S145" i="67"/>
  <c r="T145" i="67"/>
  <c r="U145" i="67"/>
  <c r="V145" i="67"/>
  <c r="W145" i="67"/>
  <c r="X145" i="67"/>
  <c r="Y145" i="67"/>
  <c r="Z145" i="67"/>
  <c r="L146" i="67"/>
  <c r="M146" i="67"/>
  <c r="N146" i="67"/>
  <c r="O146" i="67"/>
  <c r="P146" i="67"/>
  <c r="Q146" i="67"/>
  <c r="R146" i="67"/>
  <c r="S146" i="67"/>
  <c r="T146" i="67"/>
  <c r="U146" i="67"/>
  <c r="V146" i="67"/>
  <c r="W146" i="67"/>
  <c r="X146" i="67"/>
  <c r="Y146" i="67"/>
  <c r="Z146" i="67"/>
  <c r="K146" i="67"/>
  <c r="K145" i="67"/>
  <c r="L170" i="67"/>
  <c r="F170" i="67" s="1"/>
  <c r="L156" i="67"/>
  <c r="F156" i="67" s="1"/>
  <c r="L171" i="67"/>
  <c r="F171" i="67" s="1"/>
  <c r="L157" i="67"/>
  <c r="F157" i="67" s="1"/>
  <c r="L172" i="67"/>
  <c r="F172" i="67" s="1"/>
  <c r="L158" i="67"/>
  <c r="F158" i="67" s="1"/>
  <c r="L173" i="67"/>
  <c r="F173" i="67" s="1"/>
  <c r="L159" i="67"/>
  <c r="F159" i="67" s="1"/>
  <c r="L174" i="67"/>
  <c r="F174" i="67" s="1"/>
  <c r="L160" i="67"/>
  <c r="F160" i="67" s="1"/>
  <c r="L175" i="67"/>
  <c r="F175" i="67" s="1"/>
  <c r="L161" i="67"/>
  <c r="F161" i="67" s="1"/>
  <c r="L176" i="67"/>
  <c r="F176" i="67" s="1"/>
  <c r="L162" i="67"/>
  <c r="F162" i="67" s="1"/>
  <c r="L164" i="67"/>
  <c r="F164" i="67" s="1"/>
  <c r="L165" i="67"/>
  <c r="F165" i="67" s="1"/>
  <c r="L166" i="67"/>
  <c r="F166" i="67" s="1"/>
  <c r="L167" i="67"/>
  <c r="F167" i="67" s="1"/>
  <c r="L168" i="67"/>
  <c r="F168" i="67" s="1"/>
  <c r="L169" i="67"/>
  <c r="F169" i="67" s="1"/>
  <c r="L163" i="67"/>
  <c r="F163" i="67" s="1"/>
  <c r="C4" i="32"/>
  <c r="F119" i="67" a="1"/>
  <c r="F119" i="67" s="1"/>
  <c r="E119" i="67" s="1"/>
  <c r="C119" i="67" s="1"/>
  <c r="B119" i="67" s="1"/>
  <c r="F117" i="67"/>
  <c r="F116" i="67"/>
  <c r="F115" i="67"/>
  <c r="K137" i="67"/>
  <c r="F137" i="67" s="1"/>
  <c r="K135" i="67"/>
  <c r="F135" i="67" s="1"/>
  <c r="K136" i="67"/>
  <c r="F136" i="67" s="1"/>
  <c r="L128" i="67"/>
  <c r="F128" i="67" s="1"/>
  <c r="L131" i="67"/>
  <c r="F131" i="67" s="1"/>
  <c r="L125" i="67"/>
  <c r="F125" i="67" s="1"/>
  <c r="L132" i="67"/>
  <c r="F132" i="67" s="1"/>
  <c r="L126" i="67"/>
  <c r="F126" i="67" s="1"/>
  <c r="L133" i="67"/>
  <c r="F133" i="67" s="1"/>
  <c r="L127" i="67"/>
  <c r="F127" i="67" s="1"/>
  <c r="L129" i="67"/>
  <c r="F129" i="67" s="1"/>
  <c r="L130" i="67"/>
  <c r="F130" i="67" s="1"/>
  <c r="M123" i="67"/>
  <c r="M122" i="67"/>
  <c r="M121" i="67"/>
  <c r="L123" i="67"/>
  <c r="L122" i="67"/>
  <c r="L121" i="67"/>
  <c r="K123" i="67"/>
  <c r="K122" i="67"/>
  <c r="K121" i="67"/>
  <c r="F98" i="67"/>
  <c r="F97" i="67"/>
  <c r="F96" i="67"/>
  <c r="K111" i="67"/>
  <c r="F111" i="67" s="1"/>
  <c r="K109" i="67"/>
  <c r="F109" i="67" s="1"/>
  <c r="K110" i="67"/>
  <c r="F110" i="67" s="1"/>
  <c r="L107" i="67"/>
  <c r="F107" i="67" s="1"/>
  <c r="E107" i="67" s="1"/>
  <c r="D107" i="67" s="1"/>
  <c r="L106" i="67"/>
  <c r="F106" i="67" s="1"/>
  <c r="E106" i="67" s="1"/>
  <c r="D106" i="67" s="1"/>
  <c r="L105" i="67"/>
  <c r="F105" i="67" s="1"/>
  <c r="E105" i="67" s="1"/>
  <c r="D105" i="67" s="1"/>
  <c r="K103" i="67" a="1"/>
  <c r="K103" i="67" s="1"/>
  <c r="W103" i="67" a="1"/>
  <c r="W103" i="67" s="1"/>
  <c r="W100" i="67"/>
  <c r="W101" i="67"/>
  <c r="BE100" i="67"/>
  <c r="BE344" i="67" s="1"/>
  <c r="BF100" i="67"/>
  <c r="BF344" i="67" s="1"/>
  <c r="BE101" i="67"/>
  <c r="BE345" i="67" s="1"/>
  <c r="BF101" i="67"/>
  <c r="BF345" i="67" s="1"/>
  <c r="AV100" i="67"/>
  <c r="AV344" i="67" s="1"/>
  <c r="AW100" i="67"/>
  <c r="AW344" i="67" s="1"/>
  <c r="AX100" i="67"/>
  <c r="AX344" i="67" s="1"/>
  <c r="AY100" i="67"/>
  <c r="AY344" i="67" s="1"/>
  <c r="AZ100" i="67"/>
  <c r="AZ344" i="67" s="1"/>
  <c r="BA100" i="67"/>
  <c r="BA344" i="67" s="1"/>
  <c r="BB100" i="67"/>
  <c r="BB344" i="67" s="1"/>
  <c r="BC100" i="67"/>
  <c r="BC344" i="67" s="1"/>
  <c r="BD100" i="67"/>
  <c r="BD344" i="67" s="1"/>
  <c r="AV101" i="67"/>
  <c r="AV345" i="67" s="1"/>
  <c r="AW101" i="67"/>
  <c r="AW345" i="67" s="1"/>
  <c r="AX101" i="67"/>
  <c r="AX345" i="67" s="1"/>
  <c r="AY101" i="67"/>
  <c r="AY345" i="67" s="1"/>
  <c r="AZ101" i="67"/>
  <c r="AZ345" i="67" s="1"/>
  <c r="BA101" i="67"/>
  <c r="BA345" i="67" s="1"/>
  <c r="BB101" i="67"/>
  <c r="BB345" i="67" s="1"/>
  <c r="BC101" i="67"/>
  <c r="BC345" i="67" s="1"/>
  <c r="BD101" i="67"/>
  <c r="BD345" i="67" s="1"/>
  <c r="AR100" i="67"/>
  <c r="AR344" i="67" s="1"/>
  <c r="AS100" i="67"/>
  <c r="AS344" i="67" s="1"/>
  <c r="AT100" i="67"/>
  <c r="AT344" i="67" s="1"/>
  <c r="AU100" i="67"/>
  <c r="AU344" i="67" s="1"/>
  <c r="AR101" i="67"/>
  <c r="AR345" i="67" s="1"/>
  <c r="AS101" i="67"/>
  <c r="AS345" i="67" s="1"/>
  <c r="AT101" i="67"/>
  <c r="AT345" i="67" s="1"/>
  <c r="AU101" i="67"/>
  <c r="AU345" i="67" s="1"/>
  <c r="X100" i="67"/>
  <c r="X344" i="67" s="1"/>
  <c r="Y100" i="67"/>
  <c r="Y344" i="67" s="1"/>
  <c r="Z100" i="67"/>
  <c r="Z344" i="67" s="1"/>
  <c r="AA100" i="67"/>
  <c r="AA344" i="67" s="1"/>
  <c r="AB100" i="67"/>
  <c r="AB344" i="67" s="1"/>
  <c r="AC100" i="67"/>
  <c r="AC344" i="67" s="1"/>
  <c r="AD100" i="67"/>
  <c r="AD344" i="67" s="1"/>
  <c r="AE100" i="67"/>
  <c r="AE344" i="67" s="1"/>
  <c r="AF100" i="67"/>
  <c r="AF344" i="67" s="1"/>
  <c r="AG100" i="67"/>
  <c r="AG344" i="67" s="1"/>
  <c r="AH100" i="67"/>
  <c r="AH344" i="67" s="1"/>
  <c r="AI100" i="67"/>
  <c r="AI344" i="67" s="1"/>
  <c r="AJ100" i="67"/>
  <c r="AJ344" i="67" s="1"/>
  <c r="AK100" i="67"/>
  <c r="AK344" i="67" s="1"/>
  <c r="AL100" i="67"/>
  <c r="AL344" i="67" s="1"/>
  <c r="AM100" i="67"/>
  <c r="AM344" i="67" s="1"/>
  <c r="AN100" i="67"/>
  <c r="AN344" i="67" s="1"/>
  <c r="AO100" i="67"/>
  <c r="AO344" i="67" s="1"/>
  <c r="AP100" i="67"/>
  <c r="AP344" i="67" s="1"/>
  <c r="AQ100" i="67"/>
  <c r="AQ344" i="67" s="1"/>
  <c r="X101" i="67"/>
  <c r="X345" i="67" s="1"/>
  <c r="Y101" i="67"/>
  <c r="Y345" i="67" s="1"/>
  <c r="Z101" i="67"/>
  <c r="Z345" i="67" s="1"/>
  <c r="AA101" i="67"/>
  <c r="AA345" i="67" s="1"/>
  <c r="AB101" i="67"/>
  <c r="AB345" i="67" s="1"/>
  <c r="AC101" i="67"/>
  <c r="AC345" i="67" s="1"/>
  <c r="AD101" i="67"/>
  <c r="AD345" i="67" s="1"/>
  <c r="AE101" i="67"/>
  <c r="AE345" i="67" s="1"/>
  <c r="AF101" i="67"/>
  <c r="AF345" i="67" s="1"/>
  <c r="AG101" i="67"/>
  <c r="AG345" i="67" s="1"/>
  <c r="AH101" i="67"/>
  <c r="AH345" i="67" s="1"/>
  <c r="AI101" i="67"/>
  <c r="AI345" i="67" s="1"/>
  <c r="AJ101" i="67"/>
  <c r="AJ345" i="67" s="1"/>
  <c r="AK101" i="67"/>
  <c r="AK345" i="67" s="1"/>
  <c r="AL101" i="67"/>
  <c r="AL345" i="67" s="1"/>
  <c r="AM101" i="67"/>
  <c r="AM345" i="67" s="1"/>
  <c r="AN101" i="67"/>
  <c r="AN345" i="67" s="1"/>
  <c r="AO101" i="67"/>
  <c r="AO345" i="67" s="1"/>
  <c r="AP101" i="67"/>
  <c r="AP345" i="67" s="1"/>
  <c r="AQ101" i="67"/>
  <c r="AQ345" i="67" s="1"/>
  <c r="K74" i="67" a="1"/>
  <c r="K74" i="67" s="1"/>
  <c r="F74" i="67" s="1" a="1"/>
  <c r="F74" i="67" s="1"/>
  <c r="F72" i="67"/>
  <c r="F71" i="67"/>
  <c r="F70" i="67"/>
  <c r="K92" i="67"/>
  <c r="F92" i="67" s="1"/>
  <c r="K90" i="67"/>
  <c r="F90" i="67" s="1"/>
  <c r="K91" i="67"/>
  <c r="F91" i="67" s="1"/>
  <c r="L86" i="67" a="1"/>
  <c r="L86" i="67" s="1"/>
  <c r="F86" i="67" s="1"/>
  <c r="L80" i="67" a="1"/>
  <c r="L80" i="67" s="1"/>
  <c r="F80" i="67" s="1"/>
  <c r="L83" i="67" a="1"/>
  <c r="L83" i="67" s="1"/>
  <c r="F83" i="67" s="1"/>
  <c r="L51" i="67" a="1"/>
  <c r="L51" i="67" s="1"/>
  <c r="F51" i="67" s="1"/>
  <c r="F41" i="67"/>
  <c r="F40" i="67"/>
  <c r="F39" i="67"/>
  <c r="K66" i="67"/>
  <c r="F66" i="67" s="1"/>
  <c r="K64" i="67"/>
  <c r="F64" i="67" s="1"/>
  <c r="K65" i="67"/>
  <c r="F65" i="67" s="1"/>
  <c r="L59" i="67" a="1"/>
  <c r="L59" i="67" s="1"/>
  <c r="F59" i="67" s="1"/>
  <c r="L55" i="67" a="1"/>
  <c r="L55" i="67" s="1"/>
  <c r="F55" i="67" s="1"/>
  <c r="K49" i="67" a="1"/>
  <c r="K49" i="67" s="1"/>
  <c r="F49" i="67" s="1" a="1"/>
  <c r="F49" i="67" s="1"/>
  <c r="E49" i="67" s="1"/>
  <c r="K48" i="67" a="1"/>
  <c r="K48" i="67" s="1"/>
  <c r="F48" i="67" s="1" a="1"/>
  <c r="F48" i="67" s="1"/>
  <c r="E48" i="67" s="1"/>
  <c r="K47" i="67" a="1"/>
  <c r="K47" i="67" s="1"/>
  <c r="F47" i="67" s="1" a="1"/>
  <c r="F47" i="67" s="1"/>
  <c r="E47" i="67" s="1"/>
  <c r="K46" i="67" a="1"/>
  <c r="K46" i="67" s="1"/>
  <c r="AT43" i="67"/>
  <c r="AT44" i="67"/>
  <c r="AD43" i="67"/>
  <c r="AE43" i="67"/>
  <c r="AF43" i="67"/>
  <c r="AG43" i="67"/>
  <c r="AH43" i="67"/>
  <c r="AI43" i="67"/>
  <c r="AJ43" i="67"/>
  <c r="AK43" i="67"/>
  <c r="AL43" i="67"/>
  <c r="AM43" i="67"/>
  <c r="AN43" i="67"/>
  <c r="AO43" i="67"/>
  <c r="AP43" i="67"/>
  <c r="AQ43" i="67"/>
  <c r="AR43" i="67"/>
  <c r="AS43" i="67"/>
  <c r="AD44" i="67"/>
  <c r="AE44" i="67"/>
  <c r="AF44" i="67"/>
  <c r="AG44" i="67"/>
  <c r="AH44" i="67"/>
  <c r="AI44" i="67"/>
  <c r="AJ44" i="67"/>
  <c r="AK44" i="67"/>
  <c r="AL44" i="67"/>
  <c r="AM44" i="67"/>
  <c r="AN44" i="67"/>
  <c r="AO44" i="67"/>
  <c r="AP44" i="67"/>
  <c r="AQ44" i="67"/>
  <c r="AR44" i="67"/>
  <c r="AS44" i="67"/>
  <c r="L43" i="67"/>
  <c r="M43" i="67"/>
  <c r="N43" i="67"/>
  <c r="O43" i="67"/>
  <c r="P43" i="67"/>
  <c r="Q43" i="67"/>
  <c r="R43" i="67"/>
  <c r="S43" i="67"/>
  <c r="T43" i="67"/>
  <c r="U43" i="67"/>
  <c r="V43" i="67"/>
  <c r="W43" i="67"/>
  <c r="X43" i="67"/>
  <c r="Y43" i="67"/>
  <c r="Z43" i="67"/>
  <c r="AA43" i="67"/>
  <c r="AB43" i="67"/>
  <c r="AC43" i="67"/>
  <c r="L44" i="67"/>
  <c r="M44" i="67"/>
  <c r="N44" i="67"/>
  <c r="O44" i="67"/>
  <c r="P44" i="67"/>
  <c r="Q44" i="67"/>
  <c r="R44" i="67"/>
  <c r="S44" i="67"/>
  <c r="T44" i="67"/>
  <c r="U44" i="67"/>
  <c r="V44" i="67"/>
  <c r="W44" i="67"/>
  <c r="X44" i="67"/>
  <c r="Y44" i="67"/>
  <c r="Z44" i="67"/>
  <c r="AA44" i="67"/>
  <c r="AB44" i="67"/>
  <c r="AC44" i="67"/>
  <c r="K44" i="67"/>
  <c r="K43" i="67"/>
  <c r="E9" i="67"/>
  <c r="E8" i="67"/>
  <c r="F6" i="67"/>
  <c r="F5" i="67"/>
  <c r="F4" i="67"/>
  <c r="K35" i="67"/>
  <c r="F35" i="67" s="1"/>
  <c r="K33" i="67"/>
  <c r="F33" i="67" s="1"/>
  <c r="K34" i="67"/>
  <c r="F34" i="67" s="1"/>
  <c r="L27" i="67" a="1"/>
  <c r="L27" i="67" s="1"/>
  <c r="F27" i="67" s="1"/>
  <c r="L17" i="67" a="1"/>
  <c r="L17" i="67" s="1"/>
  <c r="F17" i="67" s="1"/>
  <c r="L22" i="67" a="1"/>
  <c r="L22" i="67" s="1"/>
  <c r="F22" i="67" s="1"/>
  <c r="K15" i="67" a="1"/>
  <c r="K15" i="67" s="1"/>
  <c r="B9" i="55"/>
  <c r="K13" i="67" a="1"/>
  <c r="K11" i="67" a="1"/>
  <c r="K312" i="67" l="1"/>
  <c r="F312" i="67" s="1"/>
  <c r="K335" i="67"/>
  <c r="F335" i="67" s="1"/>
  <c r="K354" i="67"/>
  <c r="F354" i="67" s="1"/>
  <c r="K313" i="67"/>
  <c r="F313" i="67" s="1"/>
  <c r="K336" i="67"/>
  <c r="F336" i="67" s="1"/>
  <c r="K355" i="67"/>
  <c r="F355" i="67" s="1"/>
  <c r="F101" i="67" a="1"/>
  <c r="F101" i="67" s="1"/>
  <c r="W345" i="67"/>
  <c r="F345" i="67" s="1" a="1"/>
  <c r="F345" i="67" s="1"/>
  <c r="E345" i="67" s="1"/>
  <c r="F100" i="67" a="1"/>
  <c r="F100" i="67" s="1"/>
  <c r="W344" i="67"/>
  <c r="F344" i="67" s="1" a="1"/>
  <c r="F344" i="67" s="1"/>
  <c r="E344" i="67" s="1"/>
  <c r="C344" i="67" s="1"/>
  <c r="B344" i="67" s="1"/>
  <c r="F15" i="67" a="1"/>
  <c r="F15" i="67" s="1"/>
  <c r="E15" i="67" s="1"/>
  <c r="F46" i="67" a="1"/>
  <c r="F46" i="67" s="1"/>
  <c r="E46" i="67" s="1"/>
  <c r="C46" i="67" s="1"/>
  <c r="B46" i="67" s="1"/>
  <c r="K11" i="67"/>
  <c r="F12" i="67" a="1"/>
  <c r="F12" i="67" s="1"/>
  <c r="E12" i="67" s="1"/>
  <c r="K13" i="67"/>
  <c r="F14" i="67" a="1"/>
  <c r="F14" i="67" s="1"/>
  <c r="E14" i="67" s="1"/>
  <c r="F267" i="67"/>
  <c r="K290" i="67"/>
  <c r="F290" i="67" s="1"/>
  <c r="F268" i="67"/>
  <c r="K291" i="67"/>
  <c r="F291" i="67" s="1"/>
  <c r="F198" i="67"/>
  <c r="C178" i="67"/>
  <c r="B178" i="67" s="1"/>
  <c r="F188" i="67" a="1"/>
  <c r="F188" i="67" s="1"/>
  <c r="E188" i="67" s="1"/>
  <c r="F145" i="67" a="1"/>
  <c r="F145" i="67" s="1"/>
  <c r="E145" i="67" s="1"/>
  <c r="F149" i="67" a="1"/>
  <c r="F149" i="67" s="1"/>
  <c r="E149" i="67" s="1"/>
  <c r="F189" i="67" a="1"/>
  <c r="F189" i="67" s="1"/>
  <c r="E189" i="67" s="1"/>
  <c r="F146" i="67" a="1"/>
  <c r="F146" i="67" s="1"/>
  <c r="E146" i="67" s="1"/>
  <c r="F148" i="67" a="1"/>
  <c r="F148" i="67" s="1"/>
  <c r="E148" i="67" s="1"/>
  <c r="E156" i="67"/>
  <c r="C209" i="67"/>
  <c r="B209" i="67" s="1"/>
  <c r="C191" i="67"/>
  <c r="B191" i="67" s="1"/>
  <c r="E163" i="67"/>
  <c r="D163" i="67" s="1"/>
  <c r="C215" i="67"/>
  <c r="B215" i="67" s="1"/>
  <c r="E170" i="67"/>
  <c r="D170" i="67" s="1"/>
  <c r="F199" i="67"/>
  <c r="C184" i="67"/>
  <c r="B184" i="67" s="1"/>
  <c r="F201" i="67"/>
  <c r="F229" i="67"/>
  <c r="F239" i="67"/>
  <c r="F202" i="67"/>
  <c r="F230" i="67"/>
  <c r="F240" i="67"/>
  <c r="F203" i="67"/>
  <c r="F231" i="67"/>
  <c r="F241" i="67"/>
  <c r="F232" i="67"/>
  <c r="F242" i="67"/>
  <c r="F205" i="67"/>
  <c r="F219" i="67" a="1"/>
  <c r="F219" i="67" s="1"/>
  <c r="E219" i="67" s="1"/>
  <c r="C219" i="67" s="1"/>
  <c r="B219" i="67" s="1"/>
  <c r="F206" i="67"/>
  <c r="F234" i="67"/>
  <c r="F207" i="67"/>
  <c r="F235" i="67"/>
  <c r="F236" i="67"/>
  <c r="F197" i="67"/>
  <c r="F237" i="67"/>
  <c r="F244" i="67"/>
  <c r="C244" i="67" s="1"/>
  <c r="B244" i="67" s="1"/>
  <c r="K266" i="67"/>
  <c r="D156" i="67"/>
  <c r="K154" i="67" a="1"/>
  <c r="K154" i="67" s="1"/>
  <c r="F154" i="67" s="1" a="1"/>
  <c r="F154" i="67" s="1"/>
  <c r="E154" i="67" s="1"/>
  <c r="E128" i="67"/>
  <c r="D128" i="67" s="1"/>
  <c r="F121" i="67" a="1"/>
  <c r="F121" i="67" s="1"/>
  <c r="E121" i="67" s="1"/>
  <c r="F122" i="67" a="1"/>
  <c r="F122" i="67" s="1"/>
  <c r="E122" i="67" s="1"/>
  <c r="F123" i="67" a="1"/>
  <c r="F123" i="67" s="1"/>
  <c r="E123" i="67" s="1"/>
  <c r="E131" i="67"/>
  <c r="D131" i="67" s="1"/>
  <c r="C135" i="67"/>
  <c r="B135" i="67" s="1"/>
  <c r="C115" i="67"/>
  <c r="B115" i="67" s="1"/>
  <c r="E125" i="67"/>
  <c r="D125" i="67" s="1"/>
  <c r="C109" i="67"/>
  <c r="B109" i="67" s="1"/>
  <c r="E101" i="67"/>
  <c r="E100" i="67"/>
  <c r="C96" i="67"/>
  <c r="B96" i="67" s="1"/>
  <c r="C105" i="67"/>
  <c r="B105" i="67" s="1"/>
  <c r="E74" i="67"/>
  <c r="C74" i="67" s="1"/>
  <c r="B74" i="67" s="1"/>
  <c r="F85" i="67"/>
  <c r="C90" i="67"/>
  <c r="B90" i="67" s="1"/>
  <c r="F84" i="67"/>
  <c r="F87" i="67"/>
  <c r="F88" i="67"/>
  <c r="F81" i="67"/>
  <c r="F82" i="67"/>
  <c r="C70" i="67"/>
  <c r="B70" i="67" s="1"/>
  <c r="C4" i="67"/>
  <c r="B4" i="67" s="1"/>
  <c r="F44" i="67" a="1"/>
  <c r="F44" i="67" s="1"/>
  <c r="E44" i="67" s="1"/>
  <c r="F43" i="67" a="1"/>
  <c r="F43" i="67" s="1"/>
  <c r="E43" i="67" s="1"/>
  <c r="F56" i="67"/>
  <c r="F57" i="67"/>
  <c r="C33" i="67"/>
  <c r="B33" i="67" s="1"/>
  <c r="F58" i="67"/>
  <c r="F60" i="67"/>
  <c r="F61" i="67"/>
  <c r="F20" i="67"/>
  <c r="F52" i="67"/>
  <c r="F62" i="67"/>
  <c r="F53" i="67"/>
  <c r="F54" i="67"/>
  <c r="C64" i="67"/>
  <c r="B64" i="67" s="1"/>
  <c r="C39" i="67"/>
  <c r="B39" i="67" s="1"/>
  <c r="F25" i="67"/>
  <c r="F18" i="67"/>
  <c r="F28" i="67"/>
  <c r="F19" i="67"/>
  <c r="F29" i="67"/>
  <c r="F21" i="67"/>
  <c r="F31" i="67"/>
  <c r="F30" i="67"/>
  <c r="F23" i="67"/>
  <c r="F24" i="67"/>
  <c r="F26" i="67"/>
  <c r="C8" i="67"/>
  <c r="K311" i="67" l="1"/>
  <c r="F311" i="67" s="1"/>
  <c r="C311" i="67" s="1"/>
  <c r="B311" i="67" s="1"/>
  <c r="B294" i="67" s="1"/>
  <c r="A294" i="67" s="1"/>
  <c r="K334" i="67"/>
  <c r="F334" i="67" s="1"/>
  <c r="C334" i="67" s="1"/>
  <c r="B334" i="67" s="1"/>
  <c r="B316" i="67" s="1"/>
  <c r="A316" i="67" s="1"/>
  <c r="K353" i="67"/>
  <c r="F353" i="67" s="1"/>
  <c r="C353" i="67" s="1"/>
  <c r="B353" i="67" s="1"/>
  <c r="B339" i="67" s="1"/>
  <c r="A339" i="67" s="1"/>
  <c r="C188" i="67"/>
  <c r="B188" i="67" s="1"/>
  <c r="E200" i="67"/>
  <c r="D200" i="67" s="1"/>
  <c r="C148" i="67"/>
  <c r="B148" i="67" s="1"/>
  <c r="F13" i="67" a="1"/>
  <c r="F13" i="67" s="1"/>
  <c r="E13" i="67" s="1"/>
  <c r="F11" i="67" a="1"/>
  <c r="F11" i="67" s="1"/>
  <c r="E11" i="67" s="1"/>
  <c r="F266" i="67"/>
  <c r="C266" i="67" s="1"/>
  <c r="B266" i="67" s="1"/>
  <c r="B249" i="67" s="1"/>
  <c r="A249" i="67" s="1"/>
  <c r="K289" i="67"/>
  <c r="F289" i="67" s="1"/>
  <c r="C289" i="67" s="1"/>
  <c r="B289" i="67" s="1"/>
  <c r="B271" i="67" s="1"/>
  <c r="A271" i="67" s="1"/>
  <c r="E204" i="67"/>
  <c r="D204" i="67" s="1"/>
  <c r="C145" i="67"/>
  <c r="B145" i="67" s="1"/>
  <c r="E238" i="67"/>
  <c r="D238" i="67" s="1"/>
  <c r="E228" i="67"/>
  <c r="D228" i="67" s="1"/>
  <c r="E196" i="67"/>
  <c r="D196" i="67" s="1"/>
  <c r="C156" i="67"/>
  <c r="B156" i="67" s="1"/>
  <c r="E233" i="67"/>
  <c r="D233" i="67" s="1"/>
  <c r="C125" i="67"/>
  <c r="B125" i="67" s="1"/>
  <c r="C121" i="67"/>
  <c r="B121" i="67" s="1"/>
  <c r="E83" i="67"/>
  <c r="D83" i="67" s="1"/>
  <c r="C100" i="67"/>
  <c r="B100" i="67" s="1"/>
  <c r="E86" i="67"/>
  <c r="D86" i="67" s="1"/>
  <c r="B8" i="67"/>
  <c r="E59" i="67"/>
  <c r="D59" i="67" s="1"/>
  <c r="E80" i="67"/>
  <c r="D80" i="67" s="1"/>
  <c r="E55" i="67"/>
  <c r="D55" i="67" s="1"/>
  <c r="E51" i="67"/>
  <c r="D51" i="67" s="1"/>
  <c r="C43" i="67"/>
  <c r="B43" i="67" s="1"/>
  <c r="E17" i="67"/>
  <c r="D17" i="67" s="1"/>
  <c r="E22" i="67"/>
  <c r="D22" i="67" s="1"/>
  <c r="E27" i="67"/>
  <c r="D27" i="67" s="1"/>
  <c r="C196" i="67" l="1"/>
  <c r="B196" i="67" s="1"/>
  <c r="B183" i="67" s="1"/>
  <c r="A183" i="67" s="1"/>
  <c r="C228" i="67"/>
  <c r="B228" i="67" s="1"/>
  <c r="C11" i="67"/>
  <c r="B11" i="67" s="1"/>
  <c r="B140" i="67"/>
  <c r="A140" i="67" s="1"/>
  <c r="B114" i="67"/>
  <c r="A114" i="67" s="1"/>
  <c r="C80" i="67"/>
  <c r="B80" i="67" s="1"/>
  <c r="C51" i="67"/>
  <c r="B51" i="67" s="1"/>
  <c r="B38" i="67" s="1"/>
  <c r="A38" i="67" s="1"/>
  <c r="C17" i="67"/>
  <c r="B17" i="67" s="1"/>
  <c r="B3" i="67" l="1"/>
  <c r="A3" i="67" s="1"/>
  <c r="AB33" i="66"/>
  <c r="A30" i="66"/>
  <c r="A31" i="66"/>
  <c r="A32" i="66"/>
  <c r="A33" i="66"/>
  <c r="A34" i="66"/>
  <c r="A35" i="66"/>
  <c r="A36" i="66"/>
  <c r="A29" i="66"/>
  <c r="Y3" i="66"/>
  <c r="Z3" i="66"/>
  <c r="AA3" i="66"/>
  <c r="Y4" i="66"/>
  <c r="Y33" i="66" s="1"/>
  <c r="Z4" i="66"/>
  <c r="Z33" i="66" s="1"/>
  <c r="AA4" i="66"/>
  <c r="AA33" i="66" s="1"/>
  <c r="AC33" i="66" s="1"/>
  <c r="Y5" i="66"/>
  <c r="Y34" i="66" s="1"/>
  <c r="Z5" i="66"/>
  <c r="Z34" i="66" s="1"/>
  <c r="AA5" i="66"/>
  <c r="Y6" i="66"/>
  <c r="Y35" i="66" s="1"/>
  <c r="Z6" i="66"/>
  <c r="Z35" i="66" s="1"/>
  <c r="AA6" i="66"/>
  <c r="AA35" i="66" s="1"/>
  <c r="AC35" i="66" s="1"/>
  <c r="Y7" i="66"/>
  <c r="Z7" i="66"/>
  <c r="AA7" i="66"/>
  <c r="Y8" i="66"/>
  <c r="Z8" i="66"/>
  <c r="AA8" i="66"/>
  <c r="Y9" i="66"/>
  <c r="Z9" i="66"/>
  <c r="AA9" i="66"/>
  <c r="Y10" i="66"/>
  <c r="Z10" i="66"/>
  <c r="AA10" i="66"/>
  <c r="Y11" i="66"/>
  <c r="Z11" i="66"/>
  <c r="AA11" i="66"/>
  <c r="Y12" i="66"/>
  <c r="Z12" i="66"/>
  <c r="AA12" i="66"/>
  <c r="Y13" i="66"/>
  <c r="Y36" i="66" s="1"/>
  <c r="Z13" i="66"/>
  <c r="AA13" i="66"/>
  <c r="Y14" i="66"/>
  <c r="Z14" i="66"/>
  <c r="AA14" i="66"/>
  <c r="Y15" i="66"/>
  <c r="Z15" i="66"/>
  <c r="AA15" i="66"/>
  <c r="Y16" i="66"/>
  <c r="Z16" i="66"/>
  <c r="AA16" i="66"/>
  <c r="Y17" i="66"/>
  <c r="Z17" i="66"/>
  <c r="AA17" i="66"/>
  <c r="Y18" i="66"/>
  <c r="Z18" i="66"/>
  <c r="AA18" i="66"/>
  <c r="Y19" i="66"/>
  <c r="Z19" i="66"/>
  <c r="AA19" i="66"/>
  <c r="Y20" i="66"/>
  <c r="Z20" i="66"/>
  <c r="AA20" i="66"/>
  <c r="Y21" i="66"/>
  <c r="Z21" i="66"/>
  <c r="AA21" i="66"/>
  <c r="Y22" i="66"/>
  <c r="Z22" i="66"/>
  <c r="AA22" i="66"/>
  <c r="Y23" i="66"/>
  <c r="Z23" i="66"/>
  <c r="AA23" i="66"/>
  <c r="Y24" i="66"/>
  <c r="Z24" i="66"/>
  <c r="AA24" i="66"/>
  <c r="B3" i="66"/>
  <c r="C3" i="66"/>
  <c r="D3" i="66"/>
  <c r="E3" i="66"/>
  <c r="F3" i="66"/>
  <c r="G3" i="66"/>
  <c r="H3" i="66"/>
  <c r="I3" i="66"/>
  <c r="J3" i="66"/>
  <c r="K3" i="66"/>
  <c r="L3" i="66"/>
  <c r="M3" i="66"/>
  <c r="N3" i="66"/>
  <c r="O3" i="66"/>
  <c r="P3" i="66"/>
  <c r="Q3" i="66"/>
  <c r="R3" i="66"/>
  <c r="S3" i="66"/>
  <c r="T3" i="66"/>
  <c r="U3" i="66"/>
  <c r="V3" i="66"/>
  <c r="W3" i="66"/>
  <c r="X3" i="66"/>
  <c r="B4" i="66"/>
  <c r="B29" i="66" s="1"/>
  <c r="C4" i="66"/>
  <c r="C29" i="66" s="1"/>
  <c r="D4" i="66"/>
  <c r="D29" i="66" s="1"/>
  <c r="E4" i="66"/>
  <c r="F4" i="66"/>
  <c r="F29" i="66" s="1"/>
  <c r="G4" i="66"/>
  <c r="H4" i="66"/>
  <c r="H29" i="66" s="1"/>
  <c r="I4" i="66"/>
  <c r="I29" i="66" s="1"/>
  <c r="J4" i="66"/>
  <c r="J29" i="66" s="1"/>
  <c r="K4" i="66"/>
  <c r="L4" i="66"/>
  <c r="M4" i="66"/>
  <c r="N4" i="66"/>
  <c r="N33" i="66" s="1"/>
  <c r="O4" i="66"/>
  <c r="O33" i="66" s="1"/>
  <c r="P4" i="66"/>
  <c r="Q4" i="66"/>
  <c r="Q33" i="66" s="1"/>
  <c r="R4" i="66"/>
  <c r="S4" i="66"/>
  <c r="T4" i="66"/>
  <c r="T33" i="66" s="1"/>
  <c r="U4" i="66"/>
  <c r="U33" i="66" s="1"/>
  <c r="V4" i="66"/>
  <c r="V33" i="66" s="1"/>
  <c r="W4" i="66"/>
  <c r="W33" i="66" s="1"/>
  <c r="X4" i="66"/>
  <c r="X33" i="66" s="1"/>
  <c r="B5" i="66"/>
  <c r="C5" i="66"/>
  <c r="C30" i="66" s="1"/>
  <c r="D5" i="66"/>
  <c r="D30" i="66" s="1"/>
  <c r="E5" i="66"/>
  <c r="E30" i="66" s="1"/>
  <c r="F5" i="66"/>
  <c r="F30" i="66" s="1"/>
  <c r="G5" i="66"/>
  <c r="G30" i="66" s="1"/>
  <c r="H5" i="66"/>
  <c r="I5" i="66"/>
  <c r="I30" i="66" s="1"/>
  <c r="J5" i="66"/>
  <c r="K5" i="66"/>
  <c r="K30" i="66" s="1"/>
  <c r="L5" i="66"/>
  <c r="L30" i="66" s="1"/>
  <c r="M5" i="66"/>
  <c r="M34" i="66" s="1"/>
  <c r="N5" i="66"/>
  <c r="O5" i="66"/>
  <c r="O34" i="66" s="1"/>
  <c r="P5" i="66"/>
  <c r="P34" i="66" s="1"/>
  <c r="Q5" i="66"/>
  <c r="Q34" i="66" s="1"/>
  <c r="R5" i="66"/>
  <c r="R34" i="66" s="1"/>
  <c r="S5" i="66"/>
  <c r="S34" i="66" s="1"/>
  <c r="T5" i="66"/>
  <c r="U5" i="66"/>
  <c r="V5" i="66"/>
  <c r="V34" i="66" s="1"/>
  <c r="W5" i="66"/>
  <c r="W34" i="66" s="1"/>
  <c r="X5" i="66"/>
  <c r="X34" i="66" s="1"/>
  <c r="B6" i="66"/>
  <c r="C6" i="66"/>
  <c r="D6" i="66"/>
  <c r="D31" i="66" s="1"/>
  <c r="E6" i="66"/>
  <c r="E31" i="66" s="1"/>
  <c r="F6" i="66"/>
  <c r="F31" i="66" s="1"/>
  <c r="G6" i="66"/>
  <c r="G31" i="66" s="1"/>
  <c r="H6" i="66"/>
  <c r="I6" i="66"/>
  <c r="J6" i="66"/>
  <c r="J31" i="66" s="1"/>
  <c r="K6" i="66"/>
  <c r="K31" i="66" s="1"/>
  <c r="L6" i="66"/>
  <c r="L31" i="66" s="1"/>
  <c r="M6" i="66"/>
  <c r="N6" i="66"/>
  <c r="O6" i="66"/>
  <c r="P6" i="66"/>
  <c r="P35" i="66" s="1"/>
  <c r="Q6" i="66"/>
  <c r="Q35" i="66" s="1"/>
  <c r="R6" i="66"/>
  <c r="R35" i="66" s="1"/>
  <c r="S6" i="66"/>
  <c r="S35" i="66" s="1"/>
  <c r="T6" i="66"/>
  <c r="T35" i="66" s="1"/>
  <c r="U6" i="66"/>
  <c r="V6" i="66"/>
  <c r="V35" i="66" s="1"/>
  <c r="W6" i="66"/>
  <c r="W35" i="66" s="1"/>
  <c r="X6" i="66"/>
  <c r="X35" i="66" s="1"/>
  <c r="B7" i="66"/>
  <c r="C7" i="66"/>
  <c r="D7" i="66"/>
  <c r="E7" i="66"/>
  <c r="F7" i="66"/>
  <c r="G7" i="66"/>
  <c r="H7" i="66"/>
  <c r="I7" i="66"/>
  <c r="J7" i="66"/>
  <c r="K7" i="66"/>
  <c r="L7" i="66"/>
  <c r="M7" i="66"/>
  <c r="N7" i="66"/>
  <c r="O7" i="66"/>
  <c r="P7" i="66"/>
  <c r="Q7" i="66"/>
  <c r="R7" i="66"/>
  <c r="S7" i="66"/>
  <c r="T7" i="66"/>
  <c r="U7" i="66"/>
  <c r="V7" i="66"/>
  <c r="W7" i="66"/>
  <c r="X7" i="66"/>
  <c r="B8" i="66"/>
  <c r="C8" i="66"/>
  <c r="D8" i="66"/>
  <c r="E8" i="66"/>
  <c r="F8" i="66"/>
  <c r="G8" i="66"/>
  <c r="H8" i="66"/>
  <c r="I8" i="66"/>
  <c r="J8" i="66"/>
  <c r="K8" i="66"/>
  <c r="L8" i="66"/>
  <c r="M8" i="66"/>
  <c r="N8" i="66"/>
  <c r="O8" i="66"/>
  <c r="P8" i="66"/>
  <c r="Q8" i="66"/>
  <c r="R8" i="66"/>
  <c r="S8" i="66"/>
  <c r="T8" i="66"/>
  <c r="U8" i="66"/>
  <c r="V8" i="66"/>
  <c r="W8" i="66"/>
  <c r="X8" i="66"/>
  <c r="B9" i="66"/>
  <c r="C9" i="66"/>
  <c r="D9" i="66"/>
  <c r="E9" i="66"/>
  <c r="F9" i="66"/>
  <c r="G9" i="66"/>
  <c r="H9" i="66"/>
  <c r="I9" i="66"/>
  <c r="J9" i="66"/>
  <c r="K9" i="66"/>
  <c r="L9" i="66"/>
  <c r="M9" i="66"/>
  <c r="N9" i="66"/>
  <c r="O9" i="66"/>
  <c r="P9" i="66"/>
  <c r="Q9" i="66"/>
  <c r="R9" i="66"/>
  <c r="S9" i="66"/>
  <c r="T9" i="66"/>
  <c r="U9" i="66"/>
  <c r="V9" i="66"/>
  <c r="W9" i="66"/>
  <c r="X9" i="66"/>
  <c r="B10" i="66"/>
  <c r="C10" i="66"/>
  <c r="D10" i="66"/>
  <c r="E10" i="66"/>
  <c r="F10" i="66"/>
  <c r="G10" i="66"/>
  <c r="H10" i="66"/>
  <c r="I10" i="66"/>
  <c r="J10" i="66"/>
  <c r="K10" i="66"/>
  <c r="L10" i="66"/>
  <c r="M10" i="66"/>
  <c r="N10" i="66"/>
  <c r="O10" i="66"/>
  <c r="P10" i="66"/>
  <c r="Q10" i="66"/>
  <c r="R10" i="66"/>
  <c r="S10" i="66"/>
  <c r="T10" i="66"/>
  <c r="U10" i="66"/>
  <c r="V10" i="66"/>
  <c r="W10" i="66"/>
  <c r="X10" i="66"/>
  <c r="B11" i="66"/>
  <c r="C11" i="66"/>
  <c r="D11" i="66"/>
  <c r="E11" i="66"/>
  <c r="F11" i="66"/>
  <c r="G11" i="66"/>
  <c r="H11" i="66"/>
  <c r="I11" i="66"/>
  <c r="J11" i="66"/>
  <c r="K11" i="66"/>
  <c r="L11" i="66"/>
  <c r="M11" i="66"/>
  <c r="N11" i="66"/>
  <c r="O11" i="66"/>
  <c r="P11" i="66"/>
  <c r="Q11" i="66"/>
  <c r="R11" i="66"/>
  <c r="S11" i="66"/>
  <c r="T11" i="66"/>
  <c r="U11" i="66"/>
  <c r="V11" i="66"/>
  <c r="W11" i="66"/>
  <c r="X11" i="66"/>
  <c r="B12" i="66"/>
  <c r="C12" i="66"/>
  <c r="D12" i="66"/>
  <c r="E12" i="66"/>
  <c r="F12" i="66"/>
  <c r="G12" i="66"/>
  <c r="H12" i="66"/>
  <c r="I12" i="66"/>
  <c r="J12" i="66"/>
  <c r="K12" i="66"/>
  <c r="L12" i="66"/>
  <c r="M12" i="66"/>
  <c r="N12" i="66"/>
  <c r="O12" i="66"/>
  <c r="P12" i="66"/>
  <c r="Q12" i="66"/>
  <c r="R12" i="66"/>
  <c r="S12" i="66"/>
  <c r="T12" i="66"/>
  <c r="U12" i="66"/>
  <c r="V12" i="66"/>
  <c r="W12" i="66"/>
  <c r="X12" i="66"/>
  <c r="B13" i="66"/>
  <c r="C13" i="66"/>
  <c r="C32" i="66" s="1"/>
  <c r="D13" i="66"/>
  <c r="E13" i="66"/>
  <c r="E32" i="66" s="1"/>
  <c r="F13" i="66"/>
  <c r="F32" i="66" s="1"/>
  <c r="G13" i="66"/>
  <c r="G32" i="66" s="1"/>
  <c r="H13" i="66"/>
  <c r="H32" i="66" s="1"/>
  <c r="I13" i="66"/>
  <c r="I32" i="66" s="1"/>
  <c r="J13" i="66"/>
  <c r="K13" i="66"/>
  <c r="K32" i="66" s="1"/>
  <c r="L13" i="66"/>
  <c r="L32" i="66" s="1"/>
  <c r="M13" i="66"/>
  <c r="N13" i="66"/>
  <c r="N36" i="66" s="1"/>
  <c r="O13" i="66"/>
  <c r="O36" i="66" s="1"/>
  <c r="P13" i="66"/>
  <c r="P36" i="66" s="1"/>
  <c r="Q13" i="66"/>
  <c r="Q36" i="66" s="1"/>
  <c r="R13" i="66"/>
  <c r="R36" i="66" s="1"/>
  <c r="S13" i="66"/>
  <c r="S36" i="66" s="1"/>
  <c r="T13" i="66"/>
  <c r="T36" i="66" s="1"/>
  <c r="U13" i="66"/>
  <c r="U36" i="66" s="1"/>
  <c r="V13" i="66"/>
  <c r="W13" i="66"/>
  <c r="W36" i="66" s="1"/>
  <c r="X13" i="66"/>
  <c r="X36" i="66" s="1"/>
  <c r="B14" i="66"/>
  <c r="C14" i="66"/>
  <c r="D14" i="66"/>
  <c r="E14" i="66"/>
  <c r="F14" i="66"/>
  <c r="G14" i="66"/>
  <c r="H14" i="66"/>
  <c r="I14" i="66"/>
  <c r="J14" i="66"/>
  <c r="K14" i="66"/>
  <c r="L14" i="66"/>
  <c r="M14" i="66"/>
  <c r="N14" i="66"/>
  <c r="O14" i="66"/>
  <c r="P14" i="66"/>
  <c r="Q14" i="66"/>
  <c r="R14" i="66"/>
  <c r="S14" i="66"/>
  <c r="T14" i="66"/>
  <c r="U14" i="66"/>
  <c r="V14" i="66"/>
  <c r="W14" i="66"/>
  <c r="X14" i="66"/>
  <c r="B15" i="66"/>
  <c r="C15" i="66"/>
  <c r="D15" i="66"/>
  <c r="E15" i="66"/>
  <c r="F15" i="66"/>
  <c r="G15" i="66"/>
  <c r="H15" i="66"/>
  <c r="I15" i="66"/>
  <c r="J15" i="66"/>
  <c r="K15" i="66"/>
  <c r="L15" i="66"/>
  <c r="M15" i="66"/>
  <c r="N15" i="66"/>
  <c r="O15" i="66"/>
  <c r="P15" i="66"/>
  <c r="Q15" i="66"/>
  <c r="R15" i="66"/>
  <c r="S15" i="66"/>
  <c r="T15" i="66"/>
  <c r="U15" i="66"/>
  <c r="V15" i="66"/>
  <c r="W15" i="66"/>
  <c r="X15" i="66"/>
  <c r="B16" i="66"/>
  <c r="C16" i="66"/>
  <c r="D16" i="66"/>
  <c r="E16" i="66"/>
  <c r="F16" i="66"/>
  <c r="G16" i="66"/>
  <c r="H16" i="66"/>
  <c r="I16" i="66"/>
  <c r="J16" i="66"/>
  <c r="K16" i="66"/>
  <c r="L16" i="66"/>
  <c r="M16" i="66"/>
  <c r="N16" i="66"/>
  <c r="O16" i="66"/>
  <c r="P16" i="66"/>
  <c r="Q16" i="66"/>
  <c r="R16" i="66"/>
  <c r="S16" i="66"/>
  <c r="T16" i="66"/>
  <c r="U16" i="66"/>
  <c r="V16" i="66"/>
  <c r="W16" i="66"/>
  <c r="X16" i="66"/>
  <c r="B17" i="66"/>
  <c r="C17" i="66"/>
  <c r="D17" i="66"/>
  <c r="E17" i="66"/>
  <c r="F17" i="66"/>
  <c r="G17" i="66"/>
  <c r="H17" i="66"/>
  <c r="I17" i="66"/>
  <c r="J17" i="66"/>
  <c r="K17" i="66"/>
  <c r="L17" i="66"/>
  <c r="M17" i="66"/>
  <c r="N17" i="66"/>
  <c r="O17" i="66"/>
  <c r="P17" i="66"/>
  <c r="Q17" i="66"/>
  <c r="R17" i="66"/>
  <c r="S17" i="66"/>
  <c r="T17" i="66"/>
  <c r="U17" i="66"/>
  <c r="V17" i="66"/>
  <c r="W17" i="66"/>
  <c r="X17" i="66"/>
  <c r="B18" i="66"/>
  <c r="C18" i="66"/>
  <c r="D18" i="66"/>
  <c r="E18" i="66"/>
  <c r="F18" i="66"/>
  <c r="G18" i="66"/>
  <c r="H18" i="66"/>
  <c r="I18" i="66"/>
  <c r="J18" i="66"/>
  <c r="K18" i="66"/>
  <c r="L18" i="66"/>
  <c r="M18" i="66"/>
  <c r="N18" i="66"/>
  <c r="O18" i="66"/>
  <c r="P18" i="66"/>
  <c r="Q18" i="66"/>
  <c r="R18" i="66"/>
  <c r="S18" i="66"/>
  <c r="T18" i="66"/>
  <c r="U18" i="66"/>
  <c r="V18" i="66"/>
  <c r="W18" i="66"/>
  <c r="X18" i="66"/>
  <c r="B19" i="66"/>
  <c r="C19" i="66"/>
  <c r="D19" i="66"/>
  <c r="E19" i="66"/>
  <c r="F19" i="66"/>
  <c r="G19" i="66"/>
  <c r="H19" i="66"/>
  <c r="I19" i="66"/>
  <c r="J19" i="66"/>
  <c r="K19" i="66"/>
  <c r="L19" i="66"/>
  <c r="M19" i="66"/>
  <c r="N19" i="66"/>
  <c r="O19" i="66"/>
  <c r="P19" i="66"/>
  <c r="Q19" i="66"/>
  <c r="R19" i="66"/>
  <c r="S19" i="66"/>
  <c r="T19" i="66"/>
  <c r="U19" i="66"/>
  <c r="V19" i="66"/>
  <c r="W19" i="66"/>
  <c r="X19" i="66"/>
  <c r="B20" i="66"/>
  <c r="C20" i="66"/>
  <c r="D20" i="66"/>
  <c r="E20" i="66"/>
  <c r="F20" i="66"/>
  <c r="G20" i="66"/>
  <c r="H20" i="66"/>
  <c r="I20" i="66"/>
  <c r="J20" i="66"/>
  <c r="K20" i="66"/>
  <c r="L20" i="66"/>
  <c r="M20" i="66"/>
  <c r="N20" i="66"/>
  <c r="O20" i="66"/>
  <c r="P20" i="66"/>
  <c r="Q20" i="66"/>
  <c r="R20" i="66"/>
  <c r="S20" i="66"/>
  <c r="T20" i="66"/>
  <c r="U20" i="66"/>
  <c r="V20" i="66"/>
  <c r="W20" i="66"/>
  <c r="X20" i="66"/>
  <c r="B21" i="66"/>
  <c r="C21" i="66"/>
  <c r="D21" i="66"/>
  <c r="E21" i="66"/>
  <c r="F21" i="66"/>
  <c r="G21" i="66"/>
  <c r="H21" i="66"/>
  <c r="I21" i="66"/>
  <c r="J21" i="66"/>
  <c r="K21" i="66"/>
  <c r="L21" i="66"/>
  <c r="M21" i="66"/>
  <c r="N21" i="66"/>
  <c r="O21" i="66"/>
  <c r="P21" i="66"/>
  <c r="Q21" i="66"/>
  <c r="R21" i="66"/>
  <c r="S21" i="66"/>
  <c r="T21" i="66"/>
  <c r="U21" i="66"/>
  <c r="V21" i="66"/>
  <c r="W21" i="66"/>
  <c r="X21" i="66"/>
  <c r="B22" i="66"/>
  <c r="C22" i="66"/>
  <c r="D22" i="66"/>
  <c r="E22" i="66"/>
  <c r="F22" i="66"/>
  <c r="G22" i="66"/>
  <c r="H22" i="66"/>
  <c r="I22" i="66"/>
  <c r="J22" i="66"/>
  <c r="K22" i="66"/>
  <c r="L22" i="66"/>
  <c r="M22" i="66"/>
  <c r="N22" i="66"/>
  <c r="O22" i="66"/>
  <c r="P22" i="66"/>
  <c r="Q22" i="66"/>
  <c r="R22" i="66"/>
  <c r="S22" i="66"/>
  <c r="T22" i="66"/>
  <c r="U22" i="66"/>
  <c r="V22" i="66"/>
  <c r="W22" i="66"/>
  <c r="X22" i="66"/>
  <c r="B23" i="66"/>
  <c r="C23" i="66"/>
  <c r="D23" i="66"/>
  <c r="E23" i="66"/>
  <c r="F23" i="66"/>
  <c r="G23" i="66"/>
  <c r="H23" i="66"/>
  <c r="I23" i="66"/>
  <c r="J23" i="66"/>
  <c r="K23" i="66"/>
  <c r="L23" i="66"/>
  <c r="M23" i="66"/>
  <c r="N23" i="66"/>
  <c r="O23" i="66"/>
  <c r="P23" i="66"/>
  <c r="Q23" i="66"/>
  <c r="R23" i="66"/>
  <c r="S23" i="66"/>
  <c r="T23" i="66"/>
  <c r="U23" i="66"/>
  <c r="V23" i="66"/>
  <c r="W23" i="66"/>
  <c r="X23" i="66"/>
  <c r="B24" i="66"/>
  <c r="C24" i="66"/>
  <c r="D24" i="66"/>
  <c r="E24" i="66"/>
  <c r="F24" i="66"/>
  <c r="G24" i="66"/>
  <c r="H24" i="66"/>
  <c r="I24" i="66"/>
  <c r="J24" i="66"/>
  <c r="K24" i="66"/>
  <c r="L24" i="66"/>
  <c r="M24" i="66"/>
  <c r="N24" i="66"/>
  <c r="O24" i="66"/>
  <c r="P24" i="66"/>
  <c r="Q24" i="66"/>
  <c r="R24" i="66"/>
  <c r="S24" i="66"/>
  <c r="T24" i="66"/>
  <c r="U24" i="66"/>
  <c r="V24" i="66"/>
  <c r="W24" i="66"/>
  <c r="X24" i="66"/>
  <c r="B32" i="66"/>
  <c r="B30" i="66"/>
  <c r="B31" i="66"/>
  <c r="AA36" i="66"/>
  <c r="AC36" i="66" s="1"/>
  <c r="Z36" i="66"/>
  <c r="V36" i="66"/>
  <c r="M36" i="66"/>
  <c r="U35" i="66"/>
  <c r="O35" i="66"/>
  <c r="N35" i="66"/>
  <c r="M35" i="66"/>
  <c r="AA34" i="66"/>
  <c r="AC34" i="66" s="1"/>
  <c r="U34" i="66"/>
  <c r="T34" i="66"/>
  <c r="N34" i="66"/>
  <c r="S33" i="66"/>
  <c r="R33" i="66"/>
  <c r="P33" i="66"/>
  <c r="M33" i="66"/>
  <c r="J32" i="66"/>
  <c r="D32" i="66"/>
  <c r="I31" i="66"/>
  <c r="H31" i="66"/>
  <c r="C31" i="66"/>
  <c r="J30" i="66"/>
  <c r="H30" i="66"/>
  <c r="G29" i="66"/>
  <c r="E29" i="66"/>
  <c r="A5" i="58"/>
  <c r="N5" i="58"/>
  <c r="O5" i="58"/>
  <c r="P5" i="58"/>
  <c r="Q5" i="58"/>
  <c r="R5" i="58"/>
  <c r="S5" i="58"/>
  <c r="T5" i="58"/>
  <c r="U5" i="58"/>
  <c r="V5" i="58"/>
  <c r="W5" i="58"/>
  <c r="X5" i="58"/>
  <c r="Y5" i="58"/>
  <c r="O7" i="58"/>
  <c r="P7" i="58"/>
  <c r="Q7" i="58"/>
  <c r="R7" i="58"/>
  <c r="S7" i="58"/>
  <c r="T7" i="58"/>
  <c r="U7" i="58"/>
  <c r="V7" i="58"/>
  <c r="W7" i="58"/>
  <c r="X7" i="58"/>
  <c r="Y7" i="58"/>
  <c r="N7" i="58"/>
  <c r="L29" i="66" l="1"/>
  <c r="L33" i="66"/>
  <c r="K29" i="66"/>
  <c r="AD35" i="66"/>
  <c r="AD36" i="66"/>
  <c r="AD33" i="66"/>
  <c r="AD34" i="66"/>
  <c r="C8" i="56"/>
  <c r="D8" i="56"/>
  <c r="E8" i="56"/>
  <c r="F8" i="56"/>
  <c r="G8" i="56"/>
  <c r="H8" i="56"/>
  <c r="I8" i="56"/>
  <c r="J8" i="56"/>
  <c r="K8" i="56"/>
  <c r="L8" i="56"/>
  <c r="M8" i="56"/>
  <c r="B8" i="56"/>
  <c r="C6" i="56"/>
  <c r="D6" i="56"/>
  <c r="E6" i="56"/>
  <c r="F6" i="56"/>
  <c r="G6" i="56"/>
  <c r="H6" i="56"/>
  <c r="I6" i="56"/>
  <c r="J6" i="56"/>
  <c r="K6" i="56"/>
  <c r="L6" i="56"/>
  <c r="M6" i="56"/>
  <c r="B6" i="56"/>
  <c r="C8" i="55"/>
  <c r="D8" i="55"/>
  <c r="E8" i="55"/>
  <c r="F8" i="55"/>
  <c r="G8" i="55"/>
  <c r="H8" i="55"/>
  <c r="I8" i="55"/>
  <c r="J8" i="55"/>
  <c r="K8" i="55"/>
  <c r="L8" i="55"/>
  <c r="M8" i="55"/>
  <c r="B8" i="55"/>
  <c r="C6" i="55"/>
  <c r="D6" i="55"/>
  <c r="E6" i="55"/>
  <c r="F6" i="55"/>
  <c r="G6" i="55"/>
  <c r="H6" i="55"/>
  <c r="I6" i="55"/>
  <c r="J6" i="55"/>
  <c r="K6" i="55"/>
  <c r="L6" i="55"/>
  <c r="M6" i="55"/>
  <c r="B6" i="55"/>
  <c r="C5" i="63"/>
  <c r="C4" i="63"/>
  <c r="C3" i="63"/>
  <c r="B5" i="63"/>
  <c r="B4" i="63"/>
  <c r="B3" i="63"/>
  <c r="C23" i="65"/>
  <c r="C6" i="65" s="1"/>
  <c r="D23" i="65"/>
  <c r="D6" i="65" s="1"/>
  <c r="E23" i="65"/>
  <c r="E6" i="65" s="1"/>
  <c r="F23" i="65"/>
  <c r="F6" i="65" s="1"/>
  <c r="G23" i="65"/>
  <c r="G6" i="65" s="1"/>
  <c r="H23" i="65"/>
  <c r="H6" i="65" s="1"/>
  <c r="I23" i="65"/>
  <c r="I6" i="65" s="1"/>
  <c r="J23" i="65"/>
  <c r="J6" i="65" s="1"/>
  <c r="K23" i="65"/>
  <c r="K6" i="65" s="1"/>
  <c r="L23" i="65"/>
  <c r="L6" i="65" s="1"/>
  <c r="M23" i="65"/>
  <c r="M6" i="65" s="1"/>
  <c r="B23" i="65"/>
  <c r="B6" i="65" s="1"/>
  <c r="C22" i="65"/>
  <c r="C5" i="65" s="1"/>
  <c r="D22" i="65"/>
  <c r="D5" i="65" s="1"/>
  <c r="E22" i="65"/>
  <c r="E5" i="65" s="1"/>
  <c r="F22" i="65"/>
  <c r="F5" i="65" s="1"/>
  <c r="G22" i="65"/>
  <c r="G5" i="65" s="1"/>
  <c r="H22" i="65"/>
  <c r="H5" i="65" s="1"/>
  <c r="I22" i="65"/>
  <c r="I5" i="65" s="1"/>
  <c r="J22" i="65"/>
  <c r="J5" i="65" s="1"/>
  <c r="K22" i="65"/>
  <c r="K5" i="65" s="1"/>
  <c r="L22" i="65"/>
  <c r="L5" i="65" s="1"/>
  <c r="M22" i="65"/>
  <c r="M5" i="65" s="1"/>
  <c r="B22" i="65"/>
  <c r="B5" i="65" s="1"/>
  <c r="P4" i="64"/>
  <c r="O4" i="64"/>
  <c r="K78" i="67" s="1" a="1"/>
  <c r="K78" i="67" s="1"/>
  <c r="F78" i="67" s="1" a="1"/>
  <c r="F78" i="67" s="1"/>
  <c r="E78" i="67" s="1"/>
  <c r="P3" i="64"/>
  <c r="O3" i="64"/>
  <c r="K77" i="67" s="1" a="1"/>
  <c r="K77" i="67" s="1"/>
  <c r="F77" i="67" s="1" a="1"/>
  <c r="F77" i="67" s="1"/>
  <c r="E77" i="67" s="1"/>
  <c r="P2" i="64"/>
  <c r="O2" i="64"/>
  <c r="K76" i="67" s="1" a="1"/>
  <c r="K76" i="67" s="1"/>
  <c r="F76" i="67" s="1" a="1"/>
  <c r="F76" i="67" s="1"/>
  <c r="E76" i="67" s="1"/>
  <c r="A4" i="63"/>
  <c r="A5" i="63"/>
  <c r="A3" i="63"/>
  <c r="A6" i="57"/>
  <c r="A15" i="57"/>
  <c r="A24" i="57"/>
  <c r="A23" i="57"/>
  <c r="N11" i="65"/>
  <c r="N10" i="65"/>
  <c r="N4" i="65"/>
  <c r="O4" i="65" s="1"/>
  <c r="O3" i="65"/>
  <c r="O10" i="65" s="1"/>
  <c r="N3" i="65"/>
  <c r="C76" i="67" l="1"/>
  <c r="B76" i="67" s="1"/>
  <c r="B69" i="67" s="1"/>
  <c r="A69" i="67" s="1"/>
  <c r="AU103" i="67" a="1"/>
  <c r="AU103" i="67" s="1"/>
  <c r="AI103" i="67" a="1"/>
  <c r="AI103" i="67" s="1"/>
  <c r="N6" i="65"/>
  <c r="O6" i="65" s="1"/>
  <c r="Q13" i="65" s="1"/>
  <c r="N5" i="65"/>
  <c r="O5" i="65" s="1"/>
  <c r="Q12" i="65" s="1"/>
  <c r="Q11" i="65"/>
  <c r="O11" i="65"/>
  <c r="Q10" i="65"/>
  <c r="F103" i="67" l="1" a="1"/>
  <c r="F103" i="67" s="1"/>
  <c r="E103" i="67" s="1"/>
  <c r="C103" i="67" s="1"/>
  <c r="B103" i="67" s="1"/>
  <c r="B95" i="67" s="1"/>
  <c r="A95" i="67" s="1"/>
  <c r="O13" i="65"/>
  <c r="N13" i="65" s="1"/>
  <c r="O12" i="65"/>
  <c r="N12" i="65" s="1"/>
  <c r="G48" i="53"/>
  <c r="G49" i="53"/>
  <c r="G47" i="53"/>
  <c r="E5" i="63"/>
  <c r="D5" i="63"/>
  <c r="E4" i="63"/>
  <c r="D4" i="63"/>
  <c r="E3" i="63"/>
  <c r="D3" i="63"/>
  <c r="D6" i="63" l="1"/>
  <c r="F6" i="63" s="1"/>
  <c r="E6" i="63"/>
  <c r="G6" i="63" s="1"/>
  <c r="C7" i="58"/>
  <c r="D7" i="58"/>
  <c r="E7" i="58"/>
  <c r="F7" i="58"/>
  <c r="G7" i="58"/>
  <c r="H7" i="58"/>
  <c r="I7" i="58"/>
  <c r="J7" i="58"/>
  <c r="K7" i="58"/>
  <c r="L7" i="58"/>
  <c r="M7" i="58"/>
  <c r="C6" i="58"/>
  <c r="D6" i="58"/>
  <c r="E6" i="58"/>
  <c r="F6" i="58"/>
  <c r="G6" i="58"/>
  <c r="H6" i="58"/>
  <c r="I6" i="58"/>
  <c r="J6" i="58"/>
  <c r="K6" i="58"/>
  <c r="L6" i="58"/>
  <c r="M6" i="58"/>
  <c r="N6" i="58"/>
  <c r="O6" i="58"/>
  <c r="P6" i="58"/>
  <c r="P10" i="58" s="1"/>
  <c r="Q6" i="58"/>
  <c r="R6" i="58"/>
  <c r="S6" i="58"/>
  <c r="T6" i="58"/>
  <c r="U6" i="58"/>
  <c r="V6" i="58"/>
  <c r="W6" i="58"/>
  <c r="X6" i="58"/>
  <c r="Y6" i="58"/>
  <c r="Y10" i="58" s="1"/>
  <c r="Y8" i="58" s="1"/>
  <c r="C3" i="58"/>
  <c r="D3" i="58"/>
  <c r="E3" i="58"/>
  <c r="F3" i="58"/>
  <c r="G3" i="58"/>
  <c r="H3" i="58"/>
  <c r="I3" i="58"/>
  <c r="J3" i="58"/>
  <c r="K3" i="58"/>
  <c r="L3" i="58"/>
  <c r="M3" i="58"/>
  <c r="N3" i="58"/>
  <c r="O3" i="58"/>
  <c r="P3" i="58"/>
  <c r="Q3" i="58"/>
  <c r="R3" i="58"/>
  <c r="S3" i="58"/>
  <c r="T3" i="58"/>
  <c r="U3" i="58"/>
  <c r="V3" i="58"/>
  <c r="W3" i="58"/>
  <c r="X3" i="58"/>
  <c r="Y3" i="58"/>
  <c r="C4" i="58"/>
  <c r="C5" i="58" s="1"/>
  <c r="D4" i="58"/>
  <c r="D5" i="58" s="1"/>
  <c r="E4" i="58"/>
  <c r="E5" i="58" s="1"/>
  <c r="F4" i="58"/>
  <c r="F5" i="58" s="1"/>
  <c r="G4" i="58"/>
  <c r="G5" i="58" s="1"/>
  <c r="H4" i="58"/>
  <c r="H5" i="58" s="1"/>
  <c r="I4" i="58"/>
  <c r="I5" i="58" s="1"/>
  <c r="J4" i="58"/>
  <c r="J5" i="58" s="1"/>
  <c r="K4" i="58"/>
  <c r="K5" i="58" s="1"/>
  <c r="L4" i="58"/>
  <c r="L5" i="58" s="1"/>
  <c r="M4" i="58"/>
  <c r="M5" i="58" s="1"/>
  <c r="N4" i="58"/>
  <c r="O4" i="58"/>
  <c r="P4" i="58"/>
  <c r="Q4" i="58"/>
  <c r="R4" i="58"/>
  <c r="S4" i="58"/>
  <c r="T4" i="58"/>
  <c r="U4" i="58"/>
  <c r="V4" i="58"/>
  <c r="W4" i="58"/>
  <c r="X4" i="58"/>
  <c r="Y4" i="58"/>
  <c r="B7" i="58"/>
  <c r="B6" i="58"/>
  <c r="B4" i="58"/>
  <c r="B5" i="58" s="1"/>
  <c r="B3" i="58"/>
  <c r="C21" i="57"/>
  <c r="D21" i="57"/>
  <c r="E21" i="57"/>
  <c r="F21" i="57"/>
  <c r="G21" i="57"/>
  <c r="H21" i="57"/>
  <c r="I21" i="57"/>
  <c r="J21" i="57"/>
  <c r="K21" i="57"/>
  <c r="L21" i="57"/>
  <c r="M21" i="57"/>
  <c r="C22" i="57"/>
  <c r="D22" i="57"/>
  <c r="E22" i="57"/>
  <c r="F22" i="57"/>
  <c r="G22" i="57"/>
  <c r="H22" i="57"/>
  <c r="I22" i="57"/>
  <c r="J22" i="57"/>
  <c r="K22" i="57"/>
  <c r="L22" i="57"/>
  <c r="M22" i="57"/>
  <c r="C23" i="57"/>
  <c r="D23" i="57"/>
  <c r="E23" i="57"/>
  <c r="F23" i="57"/>
  <c r="G23" i="57"/>
  <c r="H23" i="57"/>
  <c r="I23" i="57"/>
  <c r="J23" i="57"/>
  <c r="K23" i="57"/>
  <c r="L23" i="57"/>
  <c r="M23" i="57"/>
  <c r="C24" i="57"/>
  <c r="D24" i="57"/>
  <c r="E24" i="57"/>
  <c r="F24" i="57"/>
  <c r="G24" i="57"/>
  <c r="H24" i="57"/>
  <c r="I24" i="57"/>
  <c r="I25" i="57" s="1"/>
  <c r="J24" i="57"/>
  <c r="K24" i="57"/>
  <c r="L24" i="57"/>
  <c r="M24" i="57"/>
  <c r="B24" i="57"/>
  <c r="B23" i="57"/>
  <c r="B22" i="57"/>
  <c r="B21" i="57"/>
  <c r="Q12" i="57"/>
  <c r="Q13" i="57"/>
  <c r="Q14" i="57"/>
  <c r="Q15" i="57"/>
  <c r="P15" i="57"/>
  <c r="P14" i="57"/>
  <c r="P13" i="57"/>
  <c r="P12" i="57"/>
  <c r="L208" i="53"/>
  <c r="L207" i="53"/>
  <c r="R200" i="53"/>
  <c r="R201" i="53"/>
  <c r="CA79" i="45"/>
  <c r="R199" i="53" s="1"/>
  <c r="U47" i="50" a="1"/>
  <c r="U47" i="50" s="1"/>
  <c r="Z47" i="50" a="1"/>
  <c r="Z47" i="50" s="1"/>
  <c r="Y47" i="50" a="1"/>
  <c r="Y47" i="50" s="1"/>
  <c r="W47" i="50" a="1"/>
  <c r="W47" i="50" s="1"/>
  <c r="V47" i="50" a="1"/>
  <c r="V47" i="50" s="1"/>
  <c r="T47" i="50" a="1"/>
  <c r="T47" i="50" s="1"/>
  <c r="Q47" i="50" a="1"/>
  <c r="Q47" i="50" s="1"/>
  <c r="M47" i="50" a="1"/>
  <c r="M47" i="50" s="1"/>
  <c r="F47" i="50" a="1"/>
  <c r="F47" i="50" s="1"/>
  <c r="E47" i="50" s="1"/>
  <c r="D47" i="50" a="1"/>
  <c r="D47" i="50" s="1"/>
  <c r="C45" i="50"/>
  <c r="C9" i="56"/>
  <c r="D9" i="56"/>
  <c r="E9" i="56"/>
  <c r="F9" i="56"/>
  <c r="G9" i="56"/>
  <c r="H9" i="56"/>
  <c r="I9" i="56"/>
  <c r="J9" i="56"/>
  <c r="K9" i="56"/>
  <c r="L9" i="56"/>
  <c r="M9" i="56"/>
  <c r="B9" i="56"/>
  <c r="C7" i="56"/>
  <c r="D7" i="56"/>
  <c r="E7" i="56"/>
  <c r="F7" i="56"/>
  <c r="G7" i="56"/>
  <c r="H7" i="56"/>
  <c r="I7" i="56"/>
  <c r="J7" i="56"/>
  <c r="K7" i="56"/>
  <c r="L7" i="56"/>
  <c r="M7" i="56"/>
  <c r="B7" i="56"/>
  <c r="C5" i="56"/>
  <c r="D5" i="56"/>
  <c r="E5" i="56"/>
  <c r="F5" i="56"/>
  <c r="G5" i="56"/>
  <c r="H5" i="56"/>
  <c r="I5" i="56"/>
  <c r="J5" i="56"/>
  <c r="K5" i="56"/>
  <c r="L5" i="56"/>
  <c r="M5" i="56"/>
  <c r="B5" i="56"/>
  <c r="C25" i="57" l="1"/>
  <c r="G25" i="57"/>
  <c r="K222" i="67" a="1"/>
  <c r="F225" i="67" s="1" a="1"/>
  <c r="F225" i="67" s="1"/>
  <c r="E225" i="67" s="1"/>
  <c r="C47" i="50"/>
  <c r="M10" i="58"/>
  <c r="M8" i="58" s="1"/>
  <c r="J25" i="57"/>
  <c r="L10" i="58"/>
  <c r="L8" i="58" s="1"/>
  <c r="J10" i="58"/>
  <c r="J8" i="58" s="1"/>
  <c r="K25" i="57"/>
  <c r="H25" i="57"/>
  <c r="F25" i="57"/>
  <c r="L25" i="57"/>
  <c r="B10" i="58"/>
  <c r="K10" i="58"/>
  <c r="K8" i="58" s="1"/>
  <c r="I10" i="58"/>
  <c r="I8" i="58" s="1"/>
  <c r="H10" i="58"/>
  <c r="H8" i="58" s="1"/>
  <c r="G10" i="58"/>
  <c r="G8" i="58" s="1"/>
  <c r="F10" i="58"/>
  <c r="F8" i="58" s="1"/>
  <c r="E10" i="58"/>
  <c r="E8" i="58" s="1"/>
  <c r="D10" i="58"/>
  <c r="D25" i="57"/>
  <c r="N10" i="58"/>
  <c r="N8" i="58" s="1"/>
  <c r="X10" i="58"/>
  <c r="X8" i="58" s="1"/>
  <c r="W10" i="58"/>
  <c r="W8" i="58" s="1"/>
  <c r="V10" i="58"/>
  <c r="V8" i="58" s="1"/>
  <c r="U10" i="58"/>
  <c r="T10" i="58"/>
  <c r="T8" i="58" s="1"/>
  <c r="S10" i="58"/>
  <c r="S8" i="58" s="1"/>
  <c r="R10" i="58"/>
  <c r="R8" i="58" s="1"/>
  <c r="Q10" i="58"/>
  <c r="Q8" i="58" s="1"/>
  <c r="M25" i="57"/>
  <c r="C49" i="50"/>
  <c r="O10" i="58"/>
  <c r="O8" i="58" s="1"/>
  <c r="C10" i="58"/>
  <c r="C8" i="58" s="1"/>
  <c r="C48" i="50"/>
  <c r="C50" i="50"/>
  <c r="C52" i="50"/>
  <c r="U8" i="58"/>
  <c r="C51" i="50"/>
  <c r="C53" i="50"/>
  <c r="C54" i="50"/>
  <c r="C55" i="50"/>
  <c r="C56" i="50"/>
  <c r="E25" i="57"/>
  <c r="C57" i="50"/>
  <c r="P8" i="58"/>
  <c r="D8" i="58"/>
  <c r="C58" i="50"/>
  <c r="L199" i="53"/>
  <c r="D47" i="32" a="1"/>
  <c r="D47" i="32" s="1"/>
  <c r="C47" i="32" s="1"/>
  <c r="C45" i="32"/>
  <c r="K222" i="67" l="1"/>
  <c r="F222" i="67" s="1" a="1"/>
  <c r="F222" i="67" s="1"/>
  <c r="E222" i="67" s="1"/>
  <c r="F224" i="67" a="1"/>
  <c r="F224" i="67" s="1"/>
  <c r="E224" i="67" s="1"/>
  <c r="F223" i="67" a="1"/>
  <c r="F223" i="67" s="1"/>
  <c r="E223" i="67" s="1"/>
  <c r="F226" i="67" a="1"/>
  <c r="F226" i="67" s="1"/>
  <c r="E226" i="67" s="1"/>
  <c r="C48" i="32"/>
  <c r="C56" i="32"/>
  <c r="C53" i="32"/>
  <c r="C58" i="32"/>
  <c r="C55" i="32"/>
  <c r="C52" i="32"/>
  <c r="C51" i="32"/>
  <c r="C57" i="32"/>
  <c r="C54" i="32"/>
  <c r="C50" i="32"/>
  <c r="C49" i="32"/>
  <c r="B6" i="61"/>
  <c r="C6" i="61"/>
  <c r="D6" i="61"/>
  <c r="E6" i="61"/>
  <c r="F6" i="61"/>
  <c r="G6" i="61"/>
  <c r="H6" i="61"/>
  <c r="I6" i="61"/>
  <c r="J6" i="61"/>
  <c r="K6" i="61"/>
  <c r="L6" i="61"/>
  <c r="M6" i="61"/>
  <c r="N7" i="61"/>
  <c r="A7" i="61"/>
  <c r="C222" i="67" l="1"/>
  <c r="B222" i="67" s="1"/>
  <c r="B214" i="67" s="1"/>
  <c r="A214" i="67" s="1"/>
  <c r="R91" i="53"/>
  <c r="A6" i="60" l="1"/>
  <c r="A7" i="60"/>
  <c r="A8" i="60"/>
  <c r="A9" i="60"/>
  <c r="A10" i="60"/>
  <c r="A11" i="60"/>
  <c r="A12" i="60"/>
  <c r="A13" i="60"/>
  <c r="A14" i="60"/>
  <c r="A15" i="60"/>
  <c r="A16" i="60"/>
  <c r="A17" i="60"/>
  <c r="A18" i="60"/>
  <c r="A19" i="60"/>
  <c r="A20" i="60"/>
  <c r="A21" i="60"/>
  <c r="A22" i="60"/>
  <c r="A23" i="60"/>
  <c r="A24" i="60"/>
  <c r="A4" i="60"/>
  <c r="B4" i="62" l="1"/>
  <c r="B5" i="62"/>
  <c r="B6" i="62"/>
  <c r="B7" i="62"/>
  <c r="B8" i="62"/>
  <c r="B9" i="62"/>
  <c r="B10" i="62"/>
  <c r="B11" i="62"/>
  <c r="B12" i="62"/>
  <c r="B13" i="62"/>
  <c r="B14" i="62"/>
  <c r="B15" i="62"/>
  <c r="B16" i="62"/>
  <c r="B17" i="62"/>
  <c r="B18" i="62"/>
  <c r="B19" i="62"/>
  <c r="B20" i="62"/>
  <c r="B21" i="62"/>
  <c r="B22" i="62"/>
  <c r="B23" i="62"/>
  <c r="B24" i="62"/>
  <c r="B25" i="62"/>
  <c r="B26" i="62"/>
  <c r="B27" i="62"/>
  <c r="B28" i="62"/>
  <c r="B29" i="62"/>
  <c r="A4" i="62"/>
  <c r="A5" i="62"/>
  <c r="A6" i="62"/>
  <c r="A7" i="62"/>
  <c r="A8" i="62"/>
  <c r="A9" i="62"/>
  <c r="A10" i="62"/>
  <c r="A11" i="62"/>
  <c r="A12" i="62"/>
  <c r="A13" i="62"/>
  <c r="A14" i="62"/>
  <c r="A15" i="62"/>
  <c r="A16" i="62"/>
  <c r="A17" i="62"/>
  <c r="A18" i="62"/>
  <c r="A19" i="62"/>
  <c r="A20" i="62"/>
  <c r="A21" i="62"/>
  <c r="A22" i="62"/>
  <c r="A23" i="62"/>
  <c r="A24" i="62"/>
  <c r="A25" i="62"/>
  <c r="A26" i="62"/>
  <c r="A27" i="62"/>
  <c r="A28" i="62"/>
  <c r="A29" i="62"/>
  <c r="CB79" i="45" l="1"/>
  <c r="R89" i="53" s="1"/>
  <c r="CC79" i="45"/>
  <c r="B8" i="57"/>
  <c r="R90" i="53" l="1"/>
  <c r="L89" i="53" s="1"/>
  <c r="L97" i="53"/>
  <c r="L98" i="53"/>
  <c r="O6" i="59"/>
  <c r="P6" i="59"/>
  <c r="Q6" i="59"/>
  <c r="R6" i="59"/>
  <c r="S6" i="59"/>
  <c r="T6" i="59"/>
  <c r="U6" i="59"/>
  <c r="V6" i="59"/>
  <c r="W6" i="59"/>
  <c r="X6" i="59"/>
  <c r="Y6" i="59"/>
  <c r="N6" i="59"/>
  <c r="O5" i="59"/>
  <c r="P5" i="59"/>
  <c r="Q5" i="59"/>
  <c r="R5" i="59"/>
  <c r="S5" i="59"/>
  <c r="T5" i="59"/>
  <c r="U5" i="59"/>
  <c r="V5" i="59"/>
  <c r="W5" i="59"/>
  <c r="X5" i="59"/>
  <c r="Y5" i="59"/>
  <c r="N5" i="59"/>
  <c r="C3" i="59"/>
  <c r="D3" i="59"/>
  <c r="E3" i="59"/>
  <c r="F3" i="59"/>
  <c r="G3" i="59"/>
  <c r="H3" i="59"/>
  <c r="I3" i="59"/>
  <c r="J3" i="59"/>
  <c r="K3" i="59"/>
  <c r="L3" i="59"/>
  <c r="M3" i="59"/>
  <c r="N3" i="59"/>
  <c r="O3" i="59"/>
  <c r="P3" i="59"/>
  <c r="Q3" i="59"/>
  <c r="R3" i="59"/>
  <c r="S3" i="59"/>
  <c r="T3" i="59"/>
  <c r="U3" i="59"/>
  <c r="V3" i="59"/>
  <c r="W3" i="59"/>
  <c r="X3" i="59"/>
  <c r="Y3" i="59"/>
  <c r="C4" i="59"/>
  <c r="D4" i="59"/>
  <c r="E4" i="59"/>
  <c r="F4" i="59"/>
  <c r="G4" i="59"/>
  <c r="H4" i="59"/>
  <c r="I4" i="59"/>
  <c r="J4" i="59"/>
  <c r="K4" i="59"/>
  <c r="L4" i="59"/>
  <c r="M4" i="59"/>
  <c r="N4" i="59"/>
  <c r="O4" i="59"/>
  <c r="P4" i="59"/>
  <c r="Q4" i="59"/>
  <c r="R4" i="59"/>
  <c r="S4" i="59"/>
  <c r="T4" i="59"/>
  <c r="U4" i="59"/>
  <c r="V4" i="59"/>
  <c r="W4" i="59"/>
  <c r="X4" i="59"/>
  <c r="Y4" i="59"/>
  <c r="B4" i="59"/>
  <c r="B3" i="59"/>
  <c r="C12" i="57"/>
  <c r="D12" i="57"/>
  <c r="E12" i="57"/>
  <c r="F12" i="57"/>
  <c r="G12" i="57"/>
  <c r="H12" i="57"/>
  <c r="I12" i="57"/>
  <c r="J12" i="57"/>
  <c r="K12" i="57"/>
  <c r="L12" i="57"/>
  <c r="M12" i="57"/>
  <c r="C13" i="57"/>
  <c r="D13" i="57"/>
  <c r="E13" i="57"/>
  <c r="F13" i="57"/>
  <c r="G13" i="57"/>
  <c r="H13" i="57"/>
  <c r="I13" i="57"/>
  <c r="J13" i="57"/>
  <c r="K13" i="57"/>
  <c r="L13" i="57"/>
  <c r="M13" i="57"/>
  <c r="C14" i="57"/>
  <c r="D14" i="57"/>
  <c r="E14" i="57"/>
  <c r="F14" i="57"/>
  <c r="G14" i="57"/>
  <c r="H14" i="57"/>
  <c r="I14" i="57"/>
  <c r="J14" i="57"/>
  <c r="K14" i="57"/>
  <c r="L14" i="57"/>
  <c r="M14" i="57"/>
  <c r="C15" i="57"/>
  <c r="D15" i="57"/>
  <c r="E15" i="57"/>
  <c r="F15" i="57"/>
  <c r="G15" i="57"/>
  <c r="H15" i="57"/>
  <c r="I15" i="57"/>
  <c r="J15" i="57"/>
  <c r="K15" i="57"/>
  <c r="L15" i="57"/>
  <c r="M15" i="57"/>
  <c r="B12" i="57"/>
  <c r="B13" i="57"/>
  <c r="B14" i="57"/>
  <c r="B15" i="57"/>
  <c r="B16" i="57" s="1"/>
  <c r="C3" i="57"/>
  <c r="D3" i="57"/>
  <c r="E3" i="57"/>
  <c r="F3" i="57"/>
  <c r="G3" i="57"/>
  <c r="H3" i="57"/>
  <c r="I3" i="57"/>
  <c r="J3" i="57"/>
  <c r="K3" i="57"/>
  <c r="L3" i="57"/>
  <c r="M3" i="57"/>
  <c r="C4" i="57"/>
  <c r="D4" i="57"/>
  <c r="E4" i="57"/>
  <c r="F4" i="57"/>
  <c r="G4" i="57"/>
  <c r="H4" i="57"/>
  <c r="I4" i="57"/>
  <c r="J4" i="57"/>
  <c r="K4" i="57"/>
  <c r="L4" i="57"/>
  <c r="M4" i="57"/>
  <c r="C5" i="57"/>
  <c r="D5" i="57"/>
  <c r="E5" i="57"/>
  <c r="F5" i="57"/>
  <c r="G5" i="57"/>
  <c r="H5" i="57"/>
  <c r="I5" i="57"/>
  <c r="J5" i="57"/>
  <c r="K5" i="57"/>
  <c r="L5" i="57"/>
  <c r="M5" i="57"/>
  <c r="C6" i="57"/>
  <c r="D6" i="57"/>
  <c r="E6" i="57"/>
  <c r="F6" i="57"/>
  <c r="G6" i="57"/>
  <c r="H6" i="57"/>
  <c r="I6" i="57"/>
  <c r="J6" i="57"/>
  <c r="K6" i="57"/>
  <c r="L6" i="57"/>
  <c r="M6" i="57"/>
  <c r="B6" i="57"/>
  <c r="B5" i="57"/>
  <c r="B4" i="57"/>
  <c r="B3" i="57"/>
  <c r="C5" i="55"/>
  <c r="D5" i="55"/>
  <c r="E5" i="55"/>
  <c r="F5" i="55"/>
  <c r="G5" i="55"/>
  <c r="H5" i="55"/>
  <c r="I5" i="55"/>
  <c r="J5" i="55"/>
  <c r="K5" i="55"/>
  <c r="L5" i="55"/>
  <c r="M5" i="55"/>
  <c r="C7" i="55"/>
  <c r="D7" i="55"/>
  <c r="E7" i="55"/>
  <c r="F7" i="55"/>
  <c r="G7" i="55"/>
  <c r="H7" i="55"/>
  <c r="I7" i="55"/>
  <c r="J7" i="55"/>
  <c r="K7" i="55"/>
  <c r="L7" i="55"/>
  <c r="M7" i="55"/>
  <c r="C9" i="55"/>
  <c r="D9" i="55"/>
  <c r="E9" i="55"/>
  <c r="F9" i="55"/>
  <c r="G9" i="55"/>
  <c r="H9" i="55"/>
  <c r="I9" i="55"/>
  <c r="J9" i="55"/>
  <c r="K9" i="55"/>
  <c r="L9" i="55"/>
  <c r="M9" i="55"/>
  <c r="B7" i="55"/>
  <c r="B5" i="55"/>
  <c r="C9" i="54"/>
  <c r="D9" i="54"/>
  <c r="E9" i="54"/>
  <c r="F9" i="54"/>
  <c r="G9" i="54"/>
  <c r="H9" i="54"/>
  <c r="I9" i="54"/>
  <c r="J9" i="54"/>
  <c r="K9" i="54"/>
  <c r="L9" i="54"/>
  <c r="M9" i="54"/>
  <c r="B9" i="54"/>
  <c r="C5" i="54"/>
  <c r="D5" i="54"/>
  <c r="E5" i="54"/>
  <c r="F5" i="54"/>
  <c r="G5" i="54"/>
  <c r="H5" i="54"/>
  <c r="I5" i="54"/>
  <c r="J5" i="54"/>
  <c r="K5" i="54"/>
  <c r="L5" i="54"/>
  <c r="M5" i="54"/>
  <c r="C6" i="54"/>
  <c r="D6" i="54"/>
  <c r="E6" i="54"/>
  <c r="F6" i="54"/>
  <c r="G6" i="54"/>
  <c r="H6" i="54"/>
  <c r="I6" i="54"/>
  <c r="J6" i="54"/>
  <c r="K6" i="54"/>
  <c r="L6" i="54"/>
  <c r="M6" i="54"/>
  <c r="C7" i="54"/>
  <c r="D7" i="54"/>
  <c r="E7" i="54"/>
  <c r="F7" i="54"/>
  <c r="G7" i="54"/>
  <c r="H7" i="54"/>
  <c r="I7" i="54"/>
  <c r="J7" i="54"/>
  <c r="K7" i="54"/>
  <c r="L7" i="54"/>
  <c r="M7" i="54"/>
  <c r="C8" i="54"/>
  <c r="D8" i="54"/>
  <c r="E8" i="54"/>
  <c r="F8" i="54"/>
  <c r="G8" i="54"/>
  <c r="H8" i="54"/>
  <c r="I8" i="54"/>
  <c r="J8" i="54"/>
  <c r="K8" i="54"/>
  <c r="L8" i="54"/>
  <c r="M8" i="54"/>
  <c r="B8" i="54"/>
  <c r="B7" i="54"/>
  <c r="B6" i="54"/>
  <c r="B5" i="54"/>
  <c r="A5" i="61"/>
  <c r="A6" i="61"/>
  <c r="B5" i="61"/>
  <c r="C5" i="61"/>
  <c r="D5" i="61"/>
  <c r="E5" i="61"/>
  <c r="F5" i="61"/>
  <c r="G5" i="61"/>
  <c r="H5" i="61"/>
  <c r="I5" i="61"/>
  <c r="J5" i="61"/>
  <c r="K5" i="61"/>
  <c r="L5" i="61"/>
  <c r="M5" i="61"/>
  <c r="B5" i="60"/>
  <c r="C5" i="60"/>
  <c r="Z46" i="50"/>
  <c r="Y46" i="50"/>
  <c r="Y3" i="50"/>
  <c r="N3" i="50"/>
  <c r="M3" i="50"/>
  <c r="H3" i="50"/>
  <c r="F3" i="50"/>
  <c r="C3" i="50"/>
  <c r="Z46" i="32"/>
  <c r="Y46" i="32"/>
  <c r="N3" i="32"/>
  <c r="M3" i="32"/>
  <c r="H3" i="32"/>
  <c r="F3" i="32"/>
  <c r="C3" i="32"/>
  <c r="Y3" i="32"/>
  <c r="A3" i="59"/>
  <c r="A4" i="59"/>
  <c r="A5" i="59"/>
  <c r="A6" i="59"/>
  <c r="A3" i="58"/>
  <c r="A4" i="58"/>
  <c r="A6" i="58"/>
  <c r="A7" i="58"/>
  <c r="A6" i="56"/>
  <c r="A7" i="56"/>
  <c r="A8" i="56"/>
  <c r="A9" i="56"/>
  <c r="A5" i="56"/>
  <c r="A6" i="55"/>
  <c r="A7" i="55"/>
  <c r="A8" i="55"/>
  <c r="A9" i="55"/>
  <c r="A5" i="55"/>
  <c r="A5" i="54"/>
  <c r="A6" i="54"/>
  <c r="A7" i="54"/>
  <c r="A8" i="54"/>
  <c r="A9" i="54"/>
  <c r="A22" i="57"/>
  <c r="A21" i="57"/>
  <c r="A13" i="57"/>
  <c r="A14" i="57"/>
  <c r="A12" i="57"/>
  <c r="A4" i="57"/>
  <c r="A5" i="57"/>
  <c r="A3" i="57"/>
  <c r="M17" i="57" l="1"/>
  <c r="N17" i="57" s="1"/>
  <c r="A26" i="57"/>
  <c r="I16" i="57"/>
  <c r="K16" i="57"/>
  <c r="F16" i="57"/>
  <c r="D16" i="57"/>
  <c r="G16" i="57"/>
  <c r="E16" i="57"/>
  <c r="J16" i="57"/>
  <c r="H16" i="57"/>
  <c r="N7" i="54"/>
  <c r="C16" i="57"/>
  <c r="N8" i="54"/>
  <c r="M16" i="57"/>
  <c r="L16" i="57"/>
  <c r="N5" i="54"/>
  <c r="N9" i="54"/>
  <c r="N3" i="57"/>
  <c r="N6" i="54"/>
  <c r="N4" i="57"/>
  <c r="N5" i="57"/>
  <c r="N5" i="61"/>
  <c r="R22" i="59"/>
  <c r="V22" i="59" s="1"/>
  <c r="Q22" i="59"/>
  <c r="Q21" i="59" s="1"/>
  <c r="P22" i="59"/>
  <c r="P21" i="59" s="1"/>
  <c r="O22" i="59"/>
  <c r="N22" i="59"/>
  <c r="U21" i="59"/>
  <c r="T21" i="59"/>
  <c r="S21" i="59"/>
  <c r="N20" i="59"/>
  <c r="N18" i="59" s="1"/>
  <c r="U19" i="59"/>
  <c r="T19" i="59"/>
  <c r="S19" i="59"/>
  <c r="M18" i="59"/>
  <c r="L18" i="59"/>
  <c r="K18" i="59"/>
  <c r="J18" i="59"/>
  <c r="I18" i="59"/>
  <c r="H18" i="59"/>
  <c r="G18" i="59"/>
  <c r="F18" i="59"/>
  <c r="E18" i="59"/>
  <c r="D18" i="59"/>
  <c r="C18" i="59"/>
  <c r="B18" i="59"/>
  <c r="U17" i="59"/>
  <c r="T17" i="59"/>
  <c r="S17" i="59"/>
  <c r="U16" i="59"/>
  <c r="T16" i="59"/>
  <c r="S16" i="59"/>
  <c r="Y15" i="59"/>
  <c r="X15" i="59"/>
  <c r="W15" i="59"/>
  <c r="V15" i="59"/>
  <c r="U15" i="59"/>
  <c r="T15" i="59"/>
  <c r="S15" i="59"/>
  <c r="R15" i="59"/>
  <c r="Q15" i="59"/>
  <c r="P15" i="59"/>
  <c r="O15" i="59"/>
  <c r="N15" i="59"/>
  <c r="M15" i="59"/>
  <c r="L15" i="59"/>
  <c r="K15" i="59"/>
  <c r="J15" i="59"/>
  <c r="I15" i="59"/>
  <c r="H15" i="59"/>
  <c r="G15" i="59"/>
  <c r="F15" i="59"/>
  <c r="E15" i="59"/>
  <c r="D15" i="59"/>
  <c r="C15" i="59"/>
  <c r="B15" i="59"/>
  <c r="Y14" i="59"/>
  <c r="X14" i="59"/>
  <c r="W14" i="59"/>
  <c r="V14" i="59"/>
  <c r="U14" i="59"/>
  <c r="T14" i="59"/>
  <c r="S14" i="59"/>
  <c r="R14" i="59"/>
  <c r="Q14" i="59"/>
  <c r="P14" i="59"/>
  <c r="O14" i="59"/>
  <c r="N14" i="59"/>
  <c r="M14" i="59"/>
  <c r="L14" i="59"/>
  <c r="K14" i="59"/>
  <c r="J14" i="59"/>
  <c r="I14" i="59"/>
  <c r="H14" i="59"/>
  <c r="G14" i="59"/>
  <c r="F14" i="59"/>
  <c r="E14" i="59"/>
  <c r="D14" i="59"/>
  <c r="C14" i="59"/>
  <c r="B14" i="59"/>
  <c r="Y9" i="59"/>
  <c r="Y7" i="59" s="1"/>
  <c r="X9" i="59"/>
  <c r="X7" i="59" s="1"/>
  <c r="W9" i="59"/>
  <c r="W7" i="59" s="1"/>
  <c r="V9" i="59"/>
  <c r="V7" i="59" s="1"/>
  <c r="U9" i="59"/>
  <c r="U7" i="59" s="1"/>
  <c r="T9" i="59"/>
  <c r="T7" i="59" s="1"/>
  <c r="S9" i="59"/>
  <c r="S7" i="59" s="1"/>
  <c r="R9" i="59"/>
  <c r="R7" i="59" s="1"/>
  <c r="Q9" i="59"/>
  <c r="P9" i="59"/>
  <c r="P7" i="59" s="1"/>
  <c r="O9" i="59"/>
  <c r="O7" i="59" s="1"/>
  <c r="N9" i="59"/>
  <c r="N7" i="59" s="1"/>
  <c r="Q7" i="59"/>
  <c r="M7" i="59"/>
  <c r="L7" i="59"/>
  <c r="K7" i="59"/>
  <c r="J7" i="59"/>
  <c r="I7" i="59"/>
  <c r="H7" i="59"/>
  <c r="G7" i="59"/>
  <c r="F7" i="59"/>
  <c r="E7" i="59"/>
  <c r="D7" i="59"/>
  <c r="C7" i="59"/>
  <c r="B7" i="59"/>
  <c r="R23" i="58"/>
  <c r="R17" i="58" s="1"/>
  <c r="R21" i="58" s="1"/>
  <c r="Q23" i="58"/>
  <c r="Q20" i="58" s="1"/>
  <c r="P23" i="58"/>
  <c r="P20" i="58" s="1"/>
  <c r="O23" i="58"/>
  <c r="O22" i="58" s="1"/>
  <c r="N23" i="58"/>
  <c r="U22" i="58"/>
  <c r="T22" i="58"/>
  <c r="S22" i="58"/>
  <c r="N21" i="58"/>
  <c r="N19" i="58" s="1"/>
  <c r="U20" i="58"/>
  <c r="T20" i="58"/>
  <c r="S20" i="58"/>
  <c r="M19" i="58"/>
  <c r="L19" i="58"/>
  <c r="K19" i="58"/>
  <c r="J19" i="58"/>
  <c r="I19" i="58"/>
  <c r="H19" i="58"/>
  <c r="G19" i="58"/>
  <c r="F19" i="58"/>
  <c r="E19" i="58"/>
  <c r="D19" i="58"/>
  <c r="C19" i="58"/>
  <c r="B19" i="58"/>
  <c r="U18" i="58"/>
  <c r="T18" i="58"/>
  <c r="S18" i="58"/>
  <c r="U17" i="58"/>
  <c r="T17" i="58"/>
  <c r="S17" i="58"/>
  <c r="Y16" i="58"/>
  <c r="X16" i="58"/>
  <c r="W16" i="58"/>
  <c r="V16" i="58"/>
  <c r="U16" i="58"/>
  <c r="T16" i="58"/>
  <c r="S16" i="58"/>
  <c r="R16" i="58"/>
  <c r="Q16" i="58"/>
  <c r="P16" i="58"/>
  <c r="O16" i="58"/>
  <c r="N16" i="58"/>
  <c r="M16" i="58"/>
  <c r="L16" i="58"/>
  <c r="K16" i="58"/>
  <c r="J16" i="58"/>
  <c r="I16" i="58"/>
  <c r="H16" i="58"/>
  <c r="G16" i="58"/>
  <c r="F16" i="58"/>
  <c r="E16" i="58"/>
  <c r="D16" i="58"/>
  <c r="C16" i="58"/>
  <c r="B16" i="58"/>
  <c r="Y15" i="58"/>
  <c r="X15" i="58"/>
  <c r="W15" i="58"/>
  <c r="V15" i="58"/>
  <c r="U15" i="58"/>
  <c r="T15" i="58"/>
  <c r="S15" i="58"/>
  <c r="R15" i="58"/>
  <c r="Q15" i="58"/>
  <c r="P15" i="58"/>
  <c r="O15" i="58"/>
  <c r="N15" i="58"/>
  <c r="M15" i="58"/>
  <c r="L15" i="58"/>
  <c r="K15" i="58"/>
  <c r="J15" i="58"/>
  <c r="I15" i="58"/>
  <c r="H15" i="58"/>
  <c r="G15" i="58"/>
  <c r="F15" i="58"/>
  <c r="E15" i="58"/>
  <c r="D15" i="58"/>
  <c r="C15" i="58"/>
  <c r="B15" i="58"/>
  <c r="B8" i="58"/>
  <c r="Q19" i="59" l="1"/>
  <c r="Q16" i="59"/>
  <c r="Q20" i="59" s="1"/>
  <c r="B25" i="57"/>
  <c r="M26" i="57"/>
  <c r="N26" i="57" s="1"/>
  <c r="R19" i="59"/>
  <c r="R16" i="59"/>
  <c r="R20" i="59" s="1"/>
  <c r="R18" i="59" s="1"/>
  <c r="R21" i="59"/>
  <c r="R20" i="58"/>
  <c r="R19" i="58" s="1"/>
  <c r="O17" i="58"/>
  <c r="O21" i="58" s="1"/>
  <c r="U21" i="58"/>
  <c r="U19" i="58" s="1"/>
  <c r="Q17" i="58"/>
  <c r="Q21" i="58" s="1"/>
  <c r="Q19" i="58" s="1"/>
  <c r="P17" i="58"/>
  <c r="P21" i="58" s="1"/>
  <c r="P19" i="58" s="1"/>
  <c r="P22" i="58"/>
  <c r="P19" i="59"/>
  <c r="P16" i="59"/>
  <c r="P20" i="59" s="1"/>
  <c r="P18" i="59" s="1"/>
  <c r="Q18" i="59"/>
  <c r="S20" i="59"/>
  <c r="S18" i="59" s="1"/>
  <c r="U20" i="59"/>
  <c r="U18" i="59" s="1"/>
  <c r="T20" i="59"/>
  <c r="T18" i="59" s="1"/>
  <c r="Q22" i="58"/>
  <c r="R22" i="58"/>
  <c r="T21" i="58"/>
  <c r="T19" i="58" s="1"/>
  <c r="S21" i="58"/>
  <c r="S19" i="58" s="1"/>
  <c r="V19" i="59"/>
  <c r="V21" i="59"/>
  <c r="V17" i="59"/>
  <c r="W22" i="59"/>
  <c r="X22" i="59" s="1"/>
  <c r="V16" i="59"/>
  <c r="O21" i="59"/>
  <c r="O19" i="59"/>
  <c r="O16" i="59"/>
  <c r="O20" i="59" s="1"/>
  <c r="O20" i="58"/>
  <c r="V23" i="58"/>
  <c r="O19" i="58" l="1"/>
  <c r="W21" i="59"/>
  <c r="W17" i="59"/>
  <c r="W16" i="59"/>
  <c r="W19" i="59"/>
  <c r="X16" i="59"/>
  <c r="X19" i="59"/>
  <c r="X21" i="59"/>
  <c r="X17" i="59"/>
  <c r="V20" i="59"/>
  <c r="V18" i="59" s="1"/>
  <c r="Y22" i="59"/>
  <c r="O18" i="59"/>
  <c r="V20" i="58"/>
  <c r="V18" i="58"/>
  <c r="V22" i="58"/>
  <c r="W23" i="58"/>
  <c r="X23" i="58" s="1"/>
  <c r="V17" i="58"/>
  <c r="X20" i="59" l="1"/>
  <c r="X18" i="59" s="1"/>
  <c r="Y16" i="59"/>
  <c r="Y19" i="59"/>
  <c r="Y21" i="59"/>
  <c r="Y17" i="59"/>
  <c r="W20" i="59"/>
  <c r="W18" i="59" s="1"/>
  <c r="AA22" i="59"/>
  <c r="X17" i="58"/>
  <c r="X20" i="58"/>
  <c r="X22" i="58"/>
  <c r="X18" i="58"/>
  <c r="W22" i="58"/>
  <c r="W18" i="58"/>
  <c r="W17" i="58"/>
  <c r="W20" i="58"/>
  <c r="V21" i="58"/>
  <c r="V19" i="58" s="1"/>
  <c r="Y23" i="58"/>
  <c r="Z18" i="59" l="1"/>
  <c r="Y20" i="59"/>
  <c r="Y18" i="59" s="1"/>
  <c r="Z17" i="59"/>
  <c r="Y17" i="58"/>
  <c r="Y18" i="58"/>
  <c r="Y20" i="58"/>
  <c r="Y22" i="58"/>
  <c r="AA23" i="58"/>
  <c r="W21" i="58"/>
  <c r="W19" i="58" s="1"/>
  <c r="X21" i="58"/>
  <c r="X19" i="58" s="1"/>
  <c r="Z19" i="58" l="1"/>
  <c r="Y21" i="58"/>
  <c r="Y19" i="58" s="1"/>
  <c r="Z18" i="58"/>
  <c r="N23" i="57" l="1"/>
  <c r="N22" i="57"/>
  <c r="N21" i="57"/>
  <c r="N14" i="57"/>
  <c r="N13" i="57"/>
  <c r="N12" i="57"/>
  <c r="M10" i="56"/>
  <c r="N9" i="56"/>
  <c r="O9" i="56" s="1"/>
  <c r="N8" i="56"/>
  <c r="N7" i="56"/>
  <c r="O7" i="56" s="1"/>
  <c r="M150" i="53" s="1"/>
  <c r="L150" i="53" s="1"/>
  <c r="N6" i="56"/>
  <c r="N5" i="56"/>
  <c r="O5" i="56" s="1"/>
  <c r="M148" i="53" s="1"/>
  <c r="L148" i="53" s="1"/>
  <c r="M10" i="55"/>
  <c r="N9" i="55"/>
  <c r="O9" i="55" s="1"/>
  <c r="M7" i="53" s="1"/>
  <c r="N8" i="55"/>
  <c r="N7" i="55"/>
  <c r="O7" i="55" s="1"/>
  <c r="M5" i="53" s="1"/>
  <c r="N6" i="55"/>
  <c r="N5" i="55"/>
  <c r="O5" i="55" s="1"/>
  <c r="M3" i="53" s="1"/>
  <c r="M10" i="54"/>
  <c r="O9" i="54"/>
  <c r="O8" i="54"/>
  <c r="O7" i="54"/>
  <c r="O6" i="54"/>
  <c r="O5" i="54"/>
  <c r="C8" i="48"/>
  <c r="E8" i="48"/>
  <c r="F8" i="48"/>
  <c r="G8" i="48"/>
  <c r="H8" i="48"/>
  <c r="I8" i="48"/>
  <c r="J8" i="48"/>
  <c r="K8" i="48"/>
  <c r="L8" i="48"/>
  <c r="B8" i="48"/>
  <c r="C3" i="48"/>
  <c r="D3" i="48"/>
  <c r="E3" i="48"/>
  <c r="F3" i="48"/>
  <c r="G3" i="48"/>
  <c r="H3" i="48"/>
  <c r="I3" i="48"/>
  <c r="J3" i="48"/>
  <c r="K3" i="48"/>
  <c r="L3" i="48"/>
  <c r="B3" i="48"/>
  <c r="BO44" i="46"/>
  <c r="BO56" i="46"/>
  <c r="BO59" i="46"/>
  <c r="BO60" i="46"/>
  <c r="BO61" i="46"/>
  <c r="BO63" i="46"/>
  <c r="BO65" i="46"/>
  <c r="BO66" i="46"/>
  <c r="BO67" i="46"/>
  <c r="BO68" i="46"/>
  <c r="BO70" i="46"/>
  <c r="BL44" i="46"/>
  <c r="BL56" i="46"/>
  <c r="BL59" i="46"/>
  <c r="BL61" i="46"/>
  <c r="AH6" i="10"/>
  <c r="AH7" i="10"/>
  <c r="AH8" i="10"/>
  <c r="AP8" i="10"/>
  <c r="AH9" i="10"/>
  <c r="AP9" i="10"/>
  <c r="AH10" i="10"/>
  <c r="C11" i="10"/>
  <c r="D11" i="10"/>
  <c r="E11" i="10"/>
  <c r="F11" i="10"/>
  <c r="G11" i="10"/>
  <c r="H11" i="10"/>
  <c r="I11" i="10"/>
  <c r="J11" i="10"/>
  <c r="K11" i="10"/>
  <c r="L11" i="10"/>
  <c r="M11" i="10"/>
  <c r="N11" i="10"/>
  <c r="AH11" i="10"/>
  <c r="C12" i="10"/>
  <c r="D12" i="10"/>
  <c r="E12" i="10"/>
  <c r="F12" i="10"/>
  <c r="G12" i="10"/>
  <c r="H12" i="10"/>
  <c r="I12" i="10"/>
  <c r="J12" i="10"/>
  <c r="K12" i="10"/>
  <c r="L12" i="10"/>
  <c r="M12" i="10"/>
  <c r="N12" i="10"/>
  <c r="AH12" i="10"/>
  <c r="AH13" i="10"/>
  <c r="AH14" i="10"/>
  <c r="AP14" i="10"/>
  <c r="Y15" i="10"/>
  <c r="AH15" i="10"/>
  <c r="Y16" i="10"/>
  <c r="AH16" i="10"/>
  <c r="AK16" i="10"/>
  <c r="AL17" i="10" s="1"/>
  <c r="AP16" i="10"/>
  <c r="Y17" i="10"/>
  <c r="AH17" i="10"/>
  <c r="BN17" i="10" s="1"/>
  <c r="BL17" i="10"/>
  <c r="BM17" i="10" s="1"/>
  <c r="Y18" i="10"/>
  <c r="Z19" i="10" s="1"/>
  <c r="AH18" i="10"/>
  <c r="BN18" i="10" s="1"/>
  <c r="Y19" i="10"/>
  <c r="AH19" i="10"/>
  <c r="AP19" i="10"/>
  <c r="Y20" i="10"/>
  <c r="Z20" i="10" s="1"/>
  <c r="AH20" i="10"/>
  <c r="Y21" i="10"/>
  <c r="Z21" i="10" s="1"/>
  <c r="AH21" i="10"/>
  <c r="AJ21" i="10"/>
  <c r="AP21" i="10"/>
  <c r="Y22" i="10"/>
  <c r="Z22" i="10" s="1"/>
  <c r="AH22" i="10"/>
  <c r="Y23" i="10"/>
  <c r="Z23" i="10" s="1"/>
  <c r="AH23" i="10"/>
  <c r="Y24" i="10"/>
  <c r="AH24" i="10"/>
  <c r="AP24" i="10"/>
  <c r="Y25" i="10"/>
  <c r="AH25" i="10"/>
  <c r="AH26" i="10"/>
  <c r="AQ26" i="10"/>
  <c r="Y26" i="10" s="1"/>
  <c r="Z26" i="10" s="1"/>
  <c r="AH27" i="10"/>
  <c r="AQ27" i="10"/>
  <c r="Y27" i="10" s="1"/>
  <c r="AH28" i="10"/>
  <c r="AQ28" i="10"/>
  <c r="Y28" i="10" s="1"/>
  <c r="Z28" i="10" s="1"/>
  <c r="AH29" i="10"/>
  <c r="AP29" i="10"/>
  <c r="AQ29" i="10" s="1"/>
  <c r="Y29" i="10" s="1"/>
  <c r="Z29" i="10" s="1"/>
  <c r="AH30" i="10"/>
  <c r="AQ30" i="10"/>
  <c r="Y30" i="10" s="1"/>
  <c r="Z30" i="10" s="1"/>
  <c r="AH31" i="10"/>
  <c r="AP31" i="10"/>
  <c r="AQ31" i="10" s="1"/>
  <c r="Y31" i="10" s="1"/>
  <c r="AH32" i="10"/>
  <c r="AP32" i="10"/>
  <c r="AQ32" i="10" s="1"/>
  <c r="Y32" i="10" s="1"/>
  <c r="Y33" i="10"/>
  <c r="Z33" i="10" s="1"/>
  <c r="AH33" i="10"/>
  <c r="AQ33" i="10"/>
  <c r="AH34" i="10"/>
  <c r="AP34" i="10"/>
  <c r="AQ34" i="10"/>
  <c r="Y34" i="10" s="1"/>
  <c r="Z34" i="10" s="1"/>
  <c r="AH35" i="10"/>
  <c r="AQ35" i="10"/>
  <c r="Y35" i="10" s="1"/>
  <c r="AH36" i="10"/>
  <c r="AQ36" i="10"/>
  <c r="Y36" i="10" s="1"/>
  <c r="AH37" i="10"/>
  <c r="AO37" i="10"/>
  <c r="AP37" i="10" s="1"/>
  <c r="AQ37" i="10" s="1"/>
  <c r="Y37" i="10" s="1"/>
  <c r="AH38" i="10"/>
  <c r="AQ38" i="10"/>
  <c r="Y38" i="10" s="1"/>
  <c r="Z38" i="10" s="1"/>
  <c r="AH39" i="10"/>
  <c r="AP39" i="10"/>
  <c r="AQ39" i="10" s="1"/>
  <c r="Y39" i="10" s="1"/>
  <c r="AH40" i="10"/>
  <c r="AP40" i="10"/>
  <c r="AQ40" i="10" s="1"/>
  <c r="Y40" i="10" s="1"/>
  <c r="Y41" i="10"/>
  <c r="AH41" i="10"/>
  <c r="AQ41" i="10"/>
  <c r="AH42" i="10"/>
  <c r="AP42" i="10"/>
  <c r="AQ42" i="10" s="1"/>
  <c r="Y42" i="10" s="1"/>
  <c r="Z42" i="10" s="1"/>
  <c r="AH43" i="10"/>
  <c r="AQ43" i="10"/>
  <c r="Y43" i="10" s="1"/>
  <c r="AH44" i="10"/>
  <c r="AP44" i="10"/>
  <c r="AQ44" i="10"/>
  <c r="Y44" i="10" s="1"/>
  <c r="AH45" i="10"/>
  <c r="AP45" i="10"/>
  <c r="AQ45" i="10" s="1"/>
  <c r="Y45" i="10" s="1"/>
  <c r="AH46" i="10"/>
  <c r="AP46" i="10"/>
  <c r="AQ46" i="10" s="1"/>
  <c r="Y46" i="10" s="1"/>
  <c r="AH47" i="10"/>
  <c r="AP47" i="10"/>
  <c r="AQ47" i="10" s="1"/>
  <c r="Y47" i="10" s="1"/>
  <c r="Z47" i="10" s="1"/>
  <c r="Y48" i="10"/>
  <c r="AB48" i="10"/>
  <c r="AH48" i="10"/>
  <c r="AQ48" i="10"/>
  <c r="AA49" i="10"/>
  <c r="AB49" i="10"/>
  <c r="AH49" i="10"/>
  <c r="AQ49" i="10"/>
  <c r="Y49" i="10" s="1"/>
  <c r="AA50" i="10"/>
  <c r="AB50" i="10"/>
  <c r="AH50" i="10"/>
  <c r="AO50" i="10"/>
  <c r="AP50" i="10" s="1"/>
  <c r="AQ50" i="10" s="1"/>
  <c r="Y50" i="10" s="1"/>
  <c r="AA51" i="10"/>
  <c r="AB51" i="10"/>
  <c r="AH51" i="10"/>
  <c r="AQ51" i="10"/>
  <c r="Y51" i="10" s="1"/>
  <c r="AA52" i="10"/>
  <c r="AB52" i="10"/>
  <c r="AH52" i="10"/>
  <c r="AQ52" i="10"/>
  <c r="Y52" i="10" s="1"/>
  <c r="AA53" i="10"/>
  <c r="AB53" i="10"/>
  <c r="AH53" i="10"/>
  <c r="AQ53" i="10"/>
  <c r="Y53" i="10" s="1"/>
  <c r="AA54" i="10"/>
  <c r="AB54" i="10"/>
  <c r="AH54" i="10"/>
  <c r="AQ54" i="10"/>
  <c r="Y54" i="10" s="1"/>
  <c r="Y55" i="10"/>
  <c r="AA55" i="10"/>
  <c r="AB55" i="10"/>
  <c r="AH55" i="10"/>
  <c r="AQ55" i="10"/>
  <c r="AA56" i="10"/>
  <c r="AB56" i="10"/>
  <c r="AH56" i="10"/>
  <c r="AQ56" i="10"/>
  <c r="Y56" i="10" s="1"/>
  <c r="Y57" i="10"/>
  <c r="AA57" i="10"/>
  <c r="AB57" i="10"/>
  <c r="AH57" i="10"/>
  <c r="AO57" i="10"/>
  <c r="AP57" i="10" s="1"/>
  <c r="AQ57" i="10" s="1"/>
  <c r="AA58" i="10"/>
  <c r="AB58" i="10"/>
  <c r="AH58" i="10"/>
  <c r="AQ58" i="10"/>
  <c r="Y58" i="10" s="1"/>
  <c r="Y59" i="10"/>
  <c r="AA59" i="10"/>
  <c r="AB59" i="10"/>
  <c r="AH59" i="10"/>
  <c r="Y60" i="10"/>
  <c r="AA60" i="10"/>
  <c r="AB60" i="10"/>
  <c r="AH60" i="10"/>
  <c r="Y61" i="10"/>
  <c r="AA61" i="10"/>
  <c r="AB61" i="10"/>
  <c r="AH61" i="10"/>
  <c r="Y62" i="10"/>
  <c r="AA62" i="10"/>
  <c r="AB62" i="10"/>
  <c r="AH62" i="10"/>
  <c r="AA63" i="10"/>
  <c r="AB63" i="10"/>
  <c r="AH63" i="10"/>
  <c r="AQ63" i="10"/>
  <c r="Y63" i="10" s="1"/>
  <c r="AA64" i="10"/>
  <c r="AB64" i="10"/>
  <c r="AH64" i="10"/>
  <c r="AO64" i="10"/>
  <c r="AP64" i="10"/>
  <c r="AQ64" i="10" s="1"/>
  <c r="Y64" i="10" s="1"/>
  <c r="Y65" i="10"/>
  <c r="AA65" i="10"/>
  <c r="AB65" i="10"/>
  <c r="AH65" i="10"/>
  <c r="AM65" i="10"/>
  <c r="AA66" i="10"/>
  <c r="AB66" i="10"/>
  <c r="AH66" i="10"/>
  <c r="AQ66" i="10"/>
  <c r="Y66" i="10" s="1"/>
  <c r="AA67" i="10"/>
  <c r="AB67" i="10"/>
  <c r="AH67" i="10"/>
  <c r="AQ67" i="10"/>
  <c r="Y67" i="10" s="1"/>
  <c r="AA68" i="10"/>
  <c r="AB68" i="10"/>
  <c r="AH68" i="10"/>
  <c r="AQ68" i="10"/>
  <c r="Y68" i="10" s="1"/>
  <c r="Y69" i="10"/>
  <c r="AA69" i="10"/>
  <c r="AB69" i="10"/>
  <c r="AH69" i="10"/>
  <c r="AQ69" i="10"/>
  <c r="AA70" i="10"/>
  <c r="AB70" i="10"/>
  <c r="AH70" i="10"/>
  <c r="AQ70" i="10"/>
  <c r="Y70" i="10" s="1"/>
  <c r="AA71" i="10"/>
  <c r="AB71" i="10"/>
  <c r="AH71" i="10"/>
  <c r="AQ71" i="10"/>
  <c r="Y71" i="10" s="1"/>
  <c r="AA72" i="10"/>
  <c r="AB72" i="10"/>
  <c r="AH72" i="10"/>
  <c r="AQ72" i="10"/>
  <c r="Y72" i="10" s="1"/>
  <c r="AA73" i="10"/>
  <c r="AB73" i="10"/>
  <c r="AH73" i="10"/>
  <c r="AQ73" i="10"/>
  <c r="Y73" i="10" s="1"/>
  <c r="AA74" i="10"/>
  <c r="AB74" i="10"/>
  <c r="AH74" i="10"/>
  <c r="AQ74" i="10"/>
  <c r="Y74" i="10" s="1"/>
  <c r="AA75" i="10"/>
  <c r="AB75" i="10"/>
  <c r="AH75" i="10"/>
  <c r="AQ75" i="10"/>
  <c r="Y75" i="10" s="1"/>
  <c r="Y76" i="10"/>
  <c r="AA76" i="10"/>
  <c r="AB76" i="10"/>
  <c r="AH76" i="10"/>
  <c r="AQ76" i="10"/>
  <c r="AA77" i="10"/>
  <c r="AB77" i="10"/>
  <c r="AH77" i="10"/>
  <c r="AQ77" i="10"/>
  <c r="Y77" i="10" s="1"/>
  <c r="AB78" i="10"/>
  <c r="AH78" i="10"/>
  <c r="AO78" i="10"/>
  <c r="AP78" i="10" s="1"/>
  <c r="AQ78" i="10" s="1"/>
  <c r="Y78" i="10" s="1"/>
  <c r="AB79" i="10"/>
  <c r="AH79" i="10"/>
  <c r="AQ79" i="10"/>
  <c r="Y79" i="10" s="1"/>
  <c r="AB80" i="10"/>
  <c r="AH80" i="10"/>
  <c r="AQ80" i="10"/>
  <c r="Y80" i="10" s="1"/>
  <c r="Y81" i="10"/>
  <c r="AH81" i="10"/>
  <c r="AQ81" i="10"/>
  <c r="AH82" i="10"/>
  <c r="AQ82" i="10"/>
  <c r="Y82" i="10" s="1"/>
  <c r="AH83" i="10"/>
  <c r="AQ83" i="10"/>
  <c r="Y83" i="10" s="1"/>
  <c r="Y84" i="10"/>
  <c r="Z84" i="10" s="1"/>
  <c r="AB84" i="10" s="1"/>
  <c r="AH84" i="10"/>
  <c r="AQ84" i="10"/>
  <c r="AB85" i="10"/>
  <c r="AH85" i="10"/>
  <c r="AO85" i="10"/>
  <c r="AP85" i="10" s="1"/>
  <c r="AQ85" i="10" s="1"/>
  <c r="Y85" i="10" s="1"/>
  <c r="AB86" i="10"/>
  <c r="AH86" i="10"/>
  <c r="AM86" i="10"/>
  <c r="AQ86" i="10" s="1"/>
  <c r="Y86" i="10" s="1"/>
  <c r="AQ87" i="10"/>
  <c r="Y87" i="10" s="1"/>
  <c r="AQ88" i="10"/>
  <c r="Y88" i="10" s="1"/>
  <c r="Z88" i="10" s="1"/>
  <c r="AQ89" i="10"/>
  <c r="Y89" i="10" s="1"/>
  <c r="AQ90" i="10"/>
  <c r="Y90" i="10" s="1"/>
  <c r="Y91" i="10"/>
  <c r="AQ91" i="10"/>
  <c r="AO92" i="10"/>
  <c r="AP92" i="10" s="1"/>
  <c r="AQ92" i="10" s="1"/>
  <c r="Y92" i="10" s="1"/>
  <c r="Z92" i="10" s="1"/>
  <c r="AQ93" i="10"/>
  <c r="Y93" i="10" s="1"/>
  <c r="AQ94" i="10"/>
  <c r="Y94" i="10" s="1"/>
  <c r="Y95" i="10"/>
  <c r="AQ95" i="10"/>
  <c r="AQ96" i="10"/>
  <c r="Y96" i="10" s="1"/>
  <c r="Z96" i="10" s="1"/>
  <c r="AQ97" i="10"/>
  <c r="Y97" i="10" s="1"/>
  <c r="AQ98" i="10"/>
  <c r="Y98" i="10" s="1"/>
  <c r="AM99" i="10"/>
  <c r="AO99" i="10"/>
  <c r="AP99" i="10" s="1"/>
  <c r="AQ100" i="10"/>
  <c r="Y100" i="10" s="1"/>
  <c r="AQ101" i="10"/>
  <c r="Y101" i="10" s="1"/>
  <c r="AQ102" i="10"/>
  <c r="Y102" i="10" s="1"/>
  <c r="Y103" i="10"/>
  <c r="AQ103" i="10"/>
  <c r="AQ104" i="10"/>
  <c r="Y104" i="10" s="1"/>
  <c r="AQ105" i="10"/>
  <c r="Y105" i="10" s="1"/>
  <c r="Z105" i="10" s="1"/>
  <c r="AB106" i="10"/>
  <c r="AH106" i="10"/>
  <c r="AO106" i="10"/>
  <c r="AP106" i="10" s="1"/>
  <c r="AQ106" i="10" s="1"/>
  <c r="Y106" i="10" s="1"/>
  <c r="AM107" i="10"/>
  <c r="AQ107" i="10" s="1"/>
  <c r="Y107" i="10" s="1"/>
  <c r="AQ108" i="10"/>
  <c r="Y108" i="10" s="1"/>
  <c r="AB109" i="10"/>
  <c r="AN109" i="10"/>
  <c r="AB110" i="10"/>
  <c r="AQ110" i="10"/>
  <c r="AU110" i="10"/>
  <c r="AB111" i="10"/>
  <c r="AQ111" i="10"/>
  <c r="AU111" i="10"/>
  <c r="AB112" i="10"/>
  <c r="AN112" i="10"/>
  <c r="AU112" i="10" s="1"/>
  <c r="AQ112" i="10"/>
  <c r="AB113" i="10"/>
  <c r="AO113" i="10"/>
  <c r="AP113" i="10"/>
  <c r="AQ113" i="10" s="1"/>
  <c r="AU113" i="10"/>
  <c r="AB114" i="10"/>
  <c r="AM114" i="10"/>
  <c r="AB115" i="10"/>
  <c r="AQ115" i="10"/>
  <c r="AU115" i="10"/>
  <c r="AB116" i="10"/>
  <c r="AQ116" i="10"/>
  <c r="AU116" i="10"/>
  <c r="AB117" i="10"/>
  <c r="AQ117" i="10"/>
  <c r="AU117" i="10"/>
  <c r="AB118" i="10"/>
  <c r="AO118" i="10"/>
  <c r="AP118" i="10" s="1"/>
  <c r="AQ118" i="10" s="1"/>
  <c r="AU118" i="10"/>
  <c r="AB119" i="10"/>
  <c r="AM119" i="10"/>
  <c r="AU119" i="10" s="1"/>
  <c r="AQ119" i="10"/>
  <c r="AB120" i="10"/>
  <c r="AQ120" i="10"/>
  <c r="AU120" i="10"/>
  <c r="AS120" i="10" s="1"/>
  <c r="AS119" i="10" s="1"/>
  <c r="AB121" i="10"/>
  <c r="AQ121" i="10"/>
  <c r="AU121" i="10"/>
  <c r="AS122" i="10" s="1"/>
  <c r="AS123" i="10" s="1"/>
  <c r="AS124" i="10" s="1"/>
  <c r="AB122" i="10"/>
  <c r="AQ122" i="10"/>
  <c r="AU122" i="10"/>
  <c r="AB123" i="10"/>
  <c r="AO123" i="10"/>
  <c r="AP123" i="10" s="1"/>
  <c r="AQ123" i="10" s="1"/>
  <c r="AU123" i="10"/>
  <c r="AB124" i="10"/>
  <c r="AM124" i="10"/>
  <c r="AQ124" i="10" s="1"/>
  <c r="AB125" i="10"/>
  <c r="AQ125" i="10"/>
  <c r="AU125" i="10"/>
  <c r="AB126" i="10"/>
  <c r="AQ126" i="10"/>
  <c r="AU126" i="10"/>
  <c r="AB127" i="10"/>
  <c r="AQ127" i="10"/>
  <c r="AB128" i="10"/>
  <c r="AO128" i="10"/>
  <c r="AP128" i="10" s="1"/>
  <c r="AQ128" i="10" s="1"/>
  <c r="AU128" i="10"/>
  <c r="AB129" i="10"/>
  <c r="AQ129" i="10"/>
  <c r="AU129" i="10"/>
  <c r="AB130" i="10"/>
  <c r="AQ130" i="10"/>
  <c r="AU130" i="10"/>
  <c r="AB131" i="10"/>
  <c r="AQ131" i="10"/>
  <c r="AU131" i="10"/>
  <c r="T132" i="10"/>
  <c r="AB132" i="10"/>
  <c r="AQ132" i="10"/>
  <c r="AU132" i="10"/>
  <c r="T133" i="10"/>
  <c r="AB133" i="10"/>
  <c r="AO133" i="10"/>
  <c r="AP133" i="10" s="1"/>
  <c r="AQ133" i="10" s="1"/>
  <c r="AU133" i="10"/>
  <c r="T134" i="10"/>
  <c r="AB134" i="10"/>
  <c r="AQ134" i="10"/>
  <c r="AU134" i="10"/>
  <c r="T135" i="10"/>
  <c r="AB135" i="10"/>
  <c r="AO135" i="10"/>
  <c r="AP135" i="10" s="1"/>
  <c r="AQ135" i="10" s="1"/>
  <c r="AU135" i="10"/>
  <c r="T136" i="10"/>
  <c r="AB136" i="10"/>
  <c r="AQ136" i="10"/>
  <c r="AU136" i="10"/>
  <c r="T137" i="10"/>
  <c r="AB137" i="10"/>
  <c r="AQ137" i="10"/>
  <c r="AU137" i="10"/>
  <c r="T138" i="10"/>
  <c r="AB138" i="10"/>
  <c r="AO138" i="10"/>
  <c r="AP138" i="10"/>
  <c r="AQ138" i="10" s="1"/>
  <c r="AU138" i="10"/>
  <c r="T139" i="10"/>
  <c r="AB139" i="10"/>
  <c r="AQ139" i="10"/>
  <c r="AU139" i="10"/>
  <c r="T140" i="10"/>
  <c r="AB140" i="10"/>
  <c r="AN140" i="10"/>
  <c r="T141" i="10"/>
  <c r="AB141" i="10"/>
  <c r="AQ141" i="10"/>
  <c r="AU141" i="10"/>
  <c r="T142" i="10"/>
  <c r="AB142" i="10"/>
  <c r="AQ142" i="10"/>
  <c r="AU142" i="10"/>
  <c r="T143" i="10"/>
  <c r="AB143" i="10"/>
  <c r="AO143" i="10"/>
  <c r="AP143" i="10" s="1"/>
  <c r="AQ143" i="10" s="1"/>
  <c r="AU143" i="10"/>
  <c r="T144" i="10"/>
  <c r="AB144" i="10"/>
  <c r="AQ144" i="10"/>
  <c r="AU144" i="10"/>
  <c r="T145" i="10"/>
  <c r="AB145" i="10"/>
  <c r="AQ145" i="10"/>
  <c r="AU145" i="10"/>
  <c r="T146" i="10"/>
  <c r="AB146" i="10"/>
  <c r="AQ146" i="10"/>
  <c r="AU146" i="10"/>
  <c r="T147" i="10"/>
  <c r="AB147" i="10"/>
  <c r="AQ147" i="10"/>
  <c r="AU147" i="10"/>
  <c r="T148" i="10"/>
  <c r="AB148" i="10"/>
  <c r="AO148" i="10"/>
  <c r="AP148" i="10" s="1"/>
  <c r="AQ148" i="10" s="1"/>
  <c r="AU148" i="10"/>
  <c r="T149" i="10"/>
  <c r="AB149" i="10"/>
  <c r="AQ149" i="10"/>
  <c r="AU149" i="10"/>
  <c r="T150" i="10"/>
  <c r="AB150" i="10"/>
  <c r="AN150" i="10"/>
  <c r="AQ150" i="10" s="1"/>
  <c r="T151" i="10"/>
  <c r="AB151" i="10"/>
  <c r="AQ151" i="10"/>
  <c r="AU151" i="10"/>
  <c r="T152" i="10"/>
  <c r="AB152" i="10"/>
  <c r="AN152" i="10"/>
  <c r="AU152" i="10" s="1"/>
  <c r="AO152" i="10"/>
  <c r="AP152" i="10" s="1"/>
  <c r="T153" i="10"/>
  <c r="AB153" i="10"/>
  <c r="AO153" i="10"/>
  <c r="AP153" i="10"/>
  <c r="AQ153" i="10" s="1"/>
  <c r="AU153" i="10"/>
  <c r="T154" i="10"/>
  <c r="AQ154" i="10"/>
  <c r="T155" i="10"/>
  <c r="AQ155" i="10"/>
  <c r="T156" i="10"/>
  <c r="AQ156" i="10"/>
  <c r="T157" i="10"/>
  <c r="AQ157" i="10"/>
  <c r="T158" i="10"/>
  <c r="AQ158" i="10"/>
  <c r="T159" i="10"/>
  <c r="AO159" i="10"/>
  <c r="AP159" i="10"/>
  <c r="AQ159" i="10" s="1"/>
  <c r="T160" i="10"/>
  <c r="AQ160" i="10"/>
  <c r="T161" i="10"/>
  <c r="AQ161" i="10"/>
  <c r="T162" i="10"/>
  <c r="AO162" i="10"/>
  <c r="AP162" i="10"/>
  <c r="AQ162" i="10" s="1"/>
  <c r="T163" i="10"/>
  <c r="AQ163" i="10"/>
  <c r="T164" i="10"/>
  <c r="AO164" i="10"/>
  <c r="AP164" i="10"/>
  <c r="AQ164" i="10" s="1"/>
  <c r="T165" i="10"/>
  <c r="AQ165" i="10"/>
  <c r="T166" i="10"/>
  <c r="AQ166" i="10"/>
  <c r="T167" i="10"/>
  <c r="AQ167" i="10"/>
  <c r="T168" i="10"/>
  <c r="AQ168" i="10"/>
  <c r="T169" i="10"/>
  <c r="AQ169" i="10"/>
  <c r="T170" i="10"/>
  <c r="AQ170" i="10"/>
  <c r="T171" i="10"/>
  <c r="AQ171" i="10"/>
  <c r="T172" i="10"/>
  <c r="AQ172" i="10"/>
  <c r="T173" i="10"/>
  <c r="AQ173" i="10"/>
  <c r="T174" i="10"/>
  <c r="AQ174" i="10"/>
  <c r="T175" i="10"/>
  <c r="AQ175" i="10"/>
  <c r="T176" i="10"/>
  <c r="Y176" i="10"/>
  <c r="Z176" i="10"/>
  <c r="AN176" i="10"/>
  <c r="AQ176" i="10"/>
  <c r="T177" i="10"/>
  <c r="Y177" i="10"/>
  <c r="Z177" i="10"/>
  <c r="AQ177" i="10"/>
  <c r="T178" i="10"/>
  <c r="Y178" i="10"/>
  <c r="Z178" i="10"/>
  <c r="AO178" i="10"/>
  <c r="AP178" i="10" s="1"/>
  <c r="AQ178" i="10" s="1"/>
  <c r="T179" i="10"/>
  <c r="Y179" i="10"/>
  <c r="Z179" i="10"/>
  <c r="AQ179" i="10"/>
  <c r="T180" i="10"/>
  <c r="Y180" i="10"/>
  <c r="Z180" i="10"/>
  <c r="AO180" i="10"/>
  <c r="AP180" i="10" s="1"/>
  <c r="AQ180" i="10" s="1"/>
  <c r="T181" i="10"/>
  <c r="Y181" i="10"/>
  <c r="Z181" i="10"/>
  <c r="AQ181" i="10"/>
  <c r="T182" i="10"/>
  <c r="Y182" i="10"/>
  <c r="Z182" i="10"/>
  <c r="AO182" i="10"/>
  <c r="AP182" i="10" s="1"/>
  <c r="AQ182" i="10" s="1"/>
  <c r="T183" i="10"/>
  <c r="Y183" i="10"/>
  <c r="Z183" i="10"/>
  <c r="AO183" i="10"/>
  <c r="AP183" i="10" s="1"/>
  <c r="AQ183" i="10" s="1"/>
  <c r="T184" i="10"/>
  <c r="Y184" i="10"/>
  <c r="Z184" i="10"/>
  <c r="AM184" i="10"/>
  <c r="AQ184" i="10" s="1"/>
  <c r="T185" i="10"/>
  <c r="Y185" i="10"/>
  <c r="Z185" i="10"/>
  <c r="AQ185" i="10"/>
  <c r="T186" i="10"/>
  <c r="Y186" i="10"/>
  <c r="Z186" i="10"/>
  <c r="AO186" i="10"/>
  <c r="AP186" i="10"/>
  <c r="AQ186" i="10" s="1"/>
  <c r="T187" i="10"/>
  <c r="Y187" i="10"/>
  <c r="Z187" i="10"/>
  <c r="AQ187" i="10"/>
  <c r="T188" i="10"/>
  <c r="Y188" i="10"/>
  <c r="Z188" i="10"/>
  <c r="AO188" i="10"/>
  <c r="AP188" i="10"/>
  <c r="AQ188" i="10" s="1"/>
  <c r="T189" i="10"/>
  <c r="Y189" i="10"/>
  <c r="Z189" i="10"/>
  <c r="AM189" i="10"/>
  <c r="AO189" i="10"/>
  <c r="AP189" i="10" s="1"/>
  <c r="AQ189" i="10" s="1"/>
  <c r="T190" i="10"/>
  <c r="Y190" i="10"/>
  <c r="Z190" i="10"/>
  <c r="AQ190" i="10"/>
  <c r="T191" i="10"/>
  <c r="Y191" i="10"/>
  <c r="Z191" i="10"/>
  <c r="AO191" i="10"/>
  <c r="AP191" i="10" s="1"/>
  <c r="AQ191" i="10" s="1"/>
  <c r="T192" i="10"/>
  <c r="Y192" i="10"/>
  <c r="Z192" i="10"/>
  <c r="AO192" i="10"/>
  <c r="AP192" i="10"/>
  <c r="AQ192" i="10" s="1"/>
  <c r="T193" i="10"/>
  <c r="Y193" i="10"/>
  <c r="Z193" i="10"/>
  <c r="AO193" i="10"/>
  <c r="AP193" i="10" s="1"/>
  <c r="AQ193" i="10" s="1"/>
  <c r="T194" i="10"/>
  <c r="Y194" i="10"/>
  <c r="Z194" i="10"/>
  <c r="AO194" i="10"/>
  <c r="AP194" i="10" s="1"/>
  <c r="AQ194" i="10" s="1"/>
  <c r="T195" i="10"/>
  <c r="Y195" i="10"/>
  <c r="Z195" i="10"/>
  <c r="AO195" i="10"/>
  <c r="AP195" i="10" s="1"/>
  <c r="AQ195" i="10" s="1"/>
  <c r="T196" i="10"/>
  <c r="Y196" i="10"/>
  <c r="Z196" i="10"/>
  <c r="AO196" i="10"/>
  <c r="AP196" i="10" s="1"/>
  <c r="AQ196" i="10" s="1"/>
  <c r="T197" i="10"/>
  <c r="Y197" i="10"/>
  <c r="Z197" i="10"/>
  <c r="AQ197" i="10"/>
  <c r="T198" i="10"/>
  <c r="Y198" i="10"/>
  <c r="Z198" i="10"/>
  <c r="AO198" i="10"/>
  <c r="AP198" i="10" s="1"/>
  <c r="AQ198" i="10" s="1"/>
  <c r="T199" i="10"/>
  <c r="Y199" i="10"/>
  <c r="Z199" i="10"/>
  <c r="AM199" i="10"/>
  <c r="AQ199" i="10" s="1"/>
  <c r="T200" i="10"/>
  <c r="Y200" i="10"/>
  <c r="Z200" i="10"/>
  <c r="AQ200" i="10"/>
  <c r="T201" i="10"/>
  <c r="Y201" i="10"/>
  <c r="Z201" i="10"/>
  <c r="AQ201" i="10"/>
  <c r="T202" i="10"/>
  <c r="Y202" i="10"/>
  <c r="Z202" i="10"/>
  <c r="AQ202" i="10"/>
  <c r="T203" i="10"/>
  <c r="Y203" i="10"/>
  <c r="Z203" i="10"/>
  <c r="AO203" i="10"/>
  <c r="AP203" i="10"/>
  <c r="AQ203" i="10" s="1"/>
  <c r="T204" i="10"/>
  <c r="Y204" i="10"/>
  <c r="Z204" i="10"/>
  <c r="AM204" i="10"/>
  <c r="AQ204" i="10" s="1"/>
  <c r="T205" i="10"/>
  <c r="Y205" i="10"/>
  <c r="Z205" i="10"/>
  <c r="AQ205" i="10"/>
  <c r="T206" i="10"/>
  <c r="Y206" i="10"/>
  <c r="Z206" i="10"/>
  <c r="AQ206" i="10"/>
  <c r="T207" i="10"/>
  <c r="Y207" i="10"/>
  <c r="Z207" i="10"/>
  <c r="AQ207" i="10"/>
  <c r="T208" i="10"/>
  <c r="Y208" i="10"/>
  <c r="Z208" i="10"/>
  <c r="AO208" i="10"/>
  <c r="AP208" i="10" s="1"/>
  <c r="AQ208" i="10" s="1"/>
  <c r="T209" i="10"/>
  <c r="Y209" i="10"/>
  <c r="Z209" i="10"/>
  <c r="AM209" i="10"/>
  <c r="AQ209" i="10" s="1"/>
  <c r="T210" i="10"/>
  <c r="Y210" i="10"/>
  <c r="Z210" i="10"/>
  <c r="AQ210" i="10"/>
  <c r="T211" i="10"/>
  <c r="Y211" i="10"/>
  <c r="Z211" i="10"/>
  <c r="AQ211" i="10"/>
  <c r="T212" i="10"/>
  <c r="Y212" i="10"/>
  <c r="Z212" i="10"/>
  <c r="AQ212" i="10"/>
  <c r="T213" i="10"/>
  <c r="Y213" i="10"/>
  <c r="Z213" i="10"/>
  <c r="AO213" i="10"/>
  <c r="AP213" i="10" s="1"/>
  <c r="AQ213" i="10" s="1"/>
  <c r="T214" i="10"/>
  <c r="Y214" i="10"/>
  <c r="Z214" i="10"/>
  <c r="AQ214" i="10"/>
  <c r="T215" i="10"/>
  <c r="Y215" i="10"/>
  <c r="Z215" i="10"/>
  <c r="AQ215" i="10"/>
  <c r="T216" i="10"/>
  <c r="Y216" i="10"/>
  <c r="Z216" i="10"/>
  <c r="AQ216" i="10"/>
  <c r="T217" i="10"/>
  <c r="Y217" i="10"/>
  <c r="Z217" i="10"/>
  <c r="AQ217" i="10"/>
  <c r="T218" i="10"/>
  <c r="Y218" i="10"/>
  <c r="Z218" i="10"/>
  <c r="AO218" i="10"/>
  <c r="AP218" i="10"/>
  <c r="AQ218" i="10" s="1"/>
  <c r="T219" i="10"/>
  <c r="Y219" i="10"/>
  <c r="Z219" i="10"/>
  <c r="AQ219" i="10"/>
  <c r="T220" i="10"/>
  <c r="Y220" i="10"/>
  <c r="Z220" i="10"/>
  <c r="AQ220" i="10"/>
  <c r="T221" i="10"/>
  <c r="Y221" i="10"/>
  <c r="Z221" i="10"/>
  <c r="AQ221" i="10"/>
  <c r="T222" i="10"/>
  <c r="Y222" i="10"/>
  <c r="Z222" i="10"/>
  <c r="AQ222" i="10"/>
  <c r="T223" i="10"/>
  <c r="Y223" i="10"/>
  <c r="Z223" i="10"/>
  <c r="AM223" i="10"/>
  <c r="AO223" i="10"/>
  <c r="AP223" i="10" s="1"/>
  <c r="AQ223" i="10" s="1"/>
  <c r="T224" i="10"/>
  <c r="Y224" i="10"/>
  <c r="Z224" i="10"/>
  <c r="AQ224" i="10"/>
  <c r="T225" i="10"/>
  <c r="Y225" i="10"/>
  <c r="Z225" i="10"/>
  <c r="AQ225" i="10"/>
  <c r="T226" i="10"/>
  <c r="Y226" i="10"/>
  <c r="Z226" i="10"/>
  <c r="AQ226" i="10"/>
  <c r="T227" i="10"/>
  <c r="Y227" i="10"/>
  <c r="Z227" i="10"/>
  <c r="AQ227" i="10"/>
  <c r="T228" i="10"/>
  <c r="Y228" i="10"/>
  <c r="Z228" i="10"/>
  <c r="AO228" i="10"/>
  <c r="AP228" i="10" s="1"/>
  <c r="AQ228" i="10"/>
  <c r="T229" i="10"/>
  <c r="Y229" i="10"/>
  <c r="Z229" i="10"/>
  <c r="AQ229" i="10"/>
  <c r="T230" i="10"/>
  <c r="Y230" i="10"/>
  <c r="Z230" i="10"/>
  <c r="AO230" i="10"/>
  <c r="AP230" i="10" s="1"/>
  <c r="AQ230" i="10" s="1"/>
  <c r="T231" i="10"/>
  <c r="Y231" i="10"/>
  <c r="Z231" i="10"/>
  <c r="AQ231" i="10"/>
  <c r="T232" i="10"/>
  <c r="Y232" i="10"/>
  <c r="Z232" i="10"/>
  <c r="AQ232" i="10"/>
  <c r="T233" i="10"/>
  <c r="Y233" i="10"/>
  <c r="Z233" i="10"/>
  <c r="AO233" i="10"/>
  <c r="AP233" i="10" s="1"/>
  <c r="AQ233" i="10" s="1"/>
  <c r="T234" i="10"/>
  <c r="Y234" i="10"/>
  <c r="Z234" i="10"/>
  <c r="AQ234" i="10"/>
  <c r="T235" i="10"/>
  <c r="Y235" i="10"/>
  <c r="Z235" i="10"/>
  <c r="AO235" i="10"/>
  <c r="AP235" i="10" s="1"/>
  <c r="AQ235" i="10" s="1"/>
  <c r="T236" i="10"/>
  <c r="Y236" i="10"/>
  <c r="Z236" i="10"/>
  <c r="AQ236" i="10"/>
  <c r="T237" i="10"/>
  <c r="Y237" i="10"/>
  <c r="Z237" i="10"/>
  <c r="AQ237" i="10"/>
  <c r="T238" i="10"/>
  <c r="Y238" i="10"/>
  <c r="Z238" i="10"/>
  <c r="AN238" i="10"/>
  <c r="AO238" i="10"/>
  <c r="AP238" i="10" s="1"/>
  <c r="T239" i="10"/>
  <c r="Y239" i="10"/>
  <c r="Z239" i="10"/>
  <c r="AM239" i="10"/>
  <c r="AQ239" i="10" s="1"/>
  <c r="T240" i="10"/>
  <c r="Y240" i="10"/>
  <c r="Z240" i="10"/>
  <c r="AQ240" i="10"/>
  <c r="T241" i="10"/>
  <c r="Y241" i="10"/>
  <c r="Z241" i="10"/>
  <c r="AN241" i="10"/>
  <c r="AQ241" i="10" s="1"/>
  <c r="T242" i="10"/>
  <c r="Y242" i="10"/>
  <c r="Z242" i="10"/>
  <c r="AQ242" i="10"/>
  <c r="T243" i="10"/>
  <c r="Y243" i="10"/>
  <c r="Z243" i="10"/>
  <c r="AM243" i="10"/>
  <c r="AO243" i="10"/>
  <c r="AP243" i="10" s="1"/>
  <c r="T244" i="10"/>
  <c r="Y244" i="10"/>
  <c r="Z244" i="10"/>
  <c r="AQ244" i="10"/>
  <c r="T245" i="10"/>
  <c r="Y245" i="10"/>
  <c r="Z245" i="10"/>
  <c r="AO245" i="10"/>
  <c r="AP245" i="10" s="1"/>
  <c r="AQ245" i="10" s="1"/>
  <c r="T246" i="10"/>
  <c r="Y246" i="10"/>
  <c r="Z246" i="10"/>
  <c r="AQ246" i="10"/>
  <c r="T247" i="10"/>
  <c r="Y247" i="10"/>
  <c r="Z247" i="10"/>
  <c r="AQ247" i="10"/>
  <c r="T248" i="10"/>
  <c r="Y248" i="10"/>
  <c r="Z248" i="10"/>
  <c r="AO248" i="10"/>
  <c r="AP248" i="10" s="1"/>
  <c r="AQ248" i="10" s="1"/>
  <c r="T249" i="10"/>
  <c r="Y249" i="10"/>
  <c r="Z249" i="10"/>
  <c r="AM249" i="10"/>
  <c r="AQ249" i="10"/>
  <c r="T250" i="10"/>
  <c r="Y250" i="10"/>
  <c r="Z250" i="10"/>
  <c r="AO250" i="10"/>
  <c r="AP250" i="10"/>
  <c r="AQ250" i="10" s="1"/>
  <c r="T251" i="10"/>
  <c r="Y251" i="10"/>
  <c r="Z251" i="10"/>
  <c r="AQ251" i="10"/>
  <c r="T252" i="10"/>
  <c r="Y252" i="10"/>
  <c r="Z252" i="10"/>
  <c r="AQ252" i="10"/>
  <c r="T253" i="10"/>
  <c r="Y253" i="10"/>
  <c r="Z253" i="10"/>
  <c r="AO253" i="10"/>
  <c r="AP253" i="10" s="1"/>
  <c r="AQ253" i="10" s="1"/>
  <c r="T254" i="10"/>
  <c r="Y254" i="10"/>
  <c r="Z254" i="10"/>
  <c r="AQ254" i="10"/>
  <c r="T255" i="10"/>
  <c r="Y255" i="10"/>
  <c r="Z255" i="10"/>
  <c r="AO255" i="10"/>
  <c r="AP255" i="10"/>
  <c r="AQ255" i="10" s="1"/>
  <c r="T256" i="10"/>
  <c r="Y256" i="10"/>
  <c r="Z256" i="10"/>
  <c r="AQ256" i="10"/>
  <c r="T257" i="10"/>
  <c r="Y257" i="10"/>
  <c r="Z257" i="10"/>
  <c r="AQ257" i="10"/>
  <c r="T258" i="10"/>
  <c r="Y258" i="10"/>
  <c r="Z258" i="10"/>
  <c r="AO258" i="10"/>
  <c r="AP258" i="10" s="1"/>
  <c r="AQ258" i="10" s="1"/>
  <c r="T259" i="10"/>
  <c r="Y259" i="10"/>
  <c r="Z259" i="10"/>
  <c r="AQ259" i="10"/>
  <c r="T260" i="10"/>
  <c r="Y260" i="10"/>
  <c r="Z260" i="10"/>
  <c r="AO260" i="10"/>
  <c r="AP260" i="10" s="1"/>
  <c r="AQ260" i="10" s="1"/>
  <c r="T261" i="10"/>
  <c r="Y261" i="10"/>
  <c r="Z261" i="10"/>
  <c r="AN261" i="10"/>
  <c r="AQ261" i="10" s="1"/>
  <c r="T262" i="10"/>
  <c r="Y262" i="10"/>
  <c r="Z262" i="10"/>
  <c r="AQ262" i="10"/>
  <c r="T263" i="10"/>
  <c r="Y263" i="10"/>
  <c r="Z263" i="10"/>
  <c r="AO263" i="10"/>
  <c r="AP263" i="10" s="1"/>
  <c r="AQ263" i="10" s="1"/>
  <c r="T264" i="10"/>
  <c r="Y264" i="10"/>
  <c r="Z264" i="10"/>
  <c r="AQ264" i="10"/>
  <c r="T265" i="10"/>
  <c r="Y265" i="10"/>
  <c r="Z265" i="10"/>
  <c r="AO265" i="10"/>
  <c r="AP265" i="10" s="1"/>
  <c r="AQ265" i="10" s="1"/>
  <c r="T266" i="10"/>
  <c r="Y266" i="10"/>
  <c r="Z266" i="10"/>
  <c r="AQ266" i="10"/>
  <c r="T267" i="10"/>
  <c r="Y267" i="10"/>
  <c r="Z267" i="10"/>
  <c r="AQ267" i="10"/>
  <c r="T268" i="10"/>
  <c r="Y268" i="10"/>
  <c r="Z268" i="10"/>
  <c r="AO268" i="10"/>
  <c r="AP268" i="10" s="1"/>
  <c r="AQ268" i="10" s="1"/>
  <c r="T269" i="10"/>
  <c r="Y269" i="10"/>
  <c r="Z269" i="10"/>
  <c r="AQ269" i="10"/>
  <c r="T270" i="10"/>
  <c r="Y270" i="10"/>
  <c r="Z270" i="10"/>
  <c r="AN270" i="10"/>
  <c r="AQ270" i="10" s="1"/>
  <c r="T271" i="10"/>
  <c r="Y271" i="10"/>
  <c r="Z271" i="10"/>
  <c r="AQ271" i="10"/>
  <c r="T272" i="10"/>
  <c r="Y272" i="10"/>
  <c r="Z272" i="10"/>
  <c r="AN272" i="10"/>
  <c r="AQ272" i="10"/>
  <c r="T273" i="10"/>
  <c r="Y273" i="10"/>
  <c r="Z273" i="10"/>
  <c r="AO273" i="10"/>
  <c r="AP273" i="10" s="1"/>
  <c r="AQ273" i="10" s="1"/>
  <c r="T274" i="10"/>
  <c r="Y274" i="10"/>
  <c r="Z274" i="10"/>
  <c r="AQ274" i="10"/>
  <c r="T275" i="10"/>
  <c r="Y275" i="10"/>
  <c r="Z275" i="10"/>
  <c r="AQ275" i="10"/>
  <c r="T276" i="10"/>
  <c r="Y276" i="10"/>
  <c r="Z276" i="10"/>
  <c r="AQ276" i="10"/>
  <c r="T277" i="10"/>
  <c r="Y277" i="10"/>
  <c r="Z277" i="10"/>
  <c r="AQ277" i="10"/>
  <c r="T278" i="10"/>
  <c r="Y278" i="10"/>
  <c r="Z278" i="10"/>
  <c r="AO278" i="10"/>
  <c r="AP278" i="10" s="1"/>
  <c r="AQ278" i="10" s="1"/>
  <c r="T279" i="10"/>
  <c r="Y279" i="10"/>
  <c r="Z279" i="10"/>
  <c r="AQ279" i="10"/>
  <c r="T280" i="10"/>
  <c r="Y280" i="10"/>
  <c r="Z280" i="10"/>
  <c r="AQ280" i="10"/>
  <c r="T281" i="10"/>
  <c r="Y281" i="10"/>
  <c r="Z281" i="10"/>
  <c r="AQ281" i="10"/>
  <c r="T282" i="10"/>
  <c r="Y282" i="10"/>
  <c r="Z282" i="10"/>
  <c r="AQ282" i="10"/>
  <c r="T283" i="10"/>
  <c r="Y283" i="10"/>
  <c r="Z283" i="10"/>
  <c r="AM283" i="10"/>
  <c r="AO283" i="10"/>
  <c r="AP283" i="10" s="1"/>
  <c r="T284" i="10"/>
  <c r="Y284" i="10"/>
  <c r="Z284" i="10"/>
  <c r="AQ284" i="10"/>
  <c r="T285" i="10"/>
  <c r="Y285" i="10"/>
  <c r="Z285" i="10"/>
  <c r="AQ285" i="10"/>
  <c r="T286" i="10"/>
  <c r="Y286" i="10"/>
  <c r="Z286" i="10"/>
  <c r="AQ286" i="10"/>
  <c r="T287" i="10"/>
  <c r="Y287" i="10"/>
  <c r="Z287" i="10"/>
  <c r="AQ287" i="10"/>
  <c r="T288" i="10"/>
  <c r="Y288" i="10"/>
  <c r="Z288" i="10"/>
  <c r="AO288" i="10"/>
  <c r="AP288" i="10"/>
  <c r="AQ288" i="10" s="1"/>
  <c r="T289" i="10"/>
  <c r="Y289" i="10"/>
  <c r="Z289" i="10"/>
  <c r="AM289" i="10"/>
  <c r="AQ289" i="10" s="1"/>
  <c r="T290" i="10"/>
  <c r="Y290" i="10"/>
  <c r="Z290" i="10"/>
  <c r="AQ290" i="10"/>
  <c r="T291" i="10"/>
  <c r="Y291" i="10"/>
  <c r="Z291" i="10"/>
  <c r="AQ291" i="10"/>
  <c r="T292" i="10"/>
  <c r="Y292" i="10"/>
  <c r="Z292" i="10"/>
  <c r="AQ292" i="10"/>
  <c r="T293" i="10"/>
  <c r="Y293" i="10"/>
  <c r="Z293" i="10"/>
  <c r="AO293" i="10"/>
  <c r="AP293" i="10"/>
  <c r="AQ293" i="10" s="1"/>
  <c r="T294" i="10"/>
  <c r="Y294" i="10"/>
  <c r="Z294" i="10"/>
  <c r="AQ294" i="10"/>
  <c r="T295" i="10"/>
  <c r="Y295" i="10"/>
  <c r="Z295" i="10"/>
  <c r="AQ295" i="10"/>
  <c r="T296" i="10"/>
  <c r="Y296" i="10"/>
  <c r="Z296" i="10"/>
  <c r="AQ296" i="10"/>
  <c r="T297" i="10"/>
  <c r="Y297" i="10"/>
  <c r="Z297" i="10"/>
  <c r="AQ297" i="10"/>
  <c r="T298" i="10"/>
  <c r="Y298" i="10"/>
  <c r="Z298" i="10"/>
  <c r="AO298" i="10"/>
  <c r="AP298" i="10" s="1"/>
  <c r="AQ298" i="10" s="1"/>
  <c r="T299" i="10"/>
  <c r="Y299" i="10"/>
  <c r="Z299" i="10"/>
  <c r="AM299" i="10"/>
  <c r="AQ299" i="10" s="1"/>
  <c r="T300" i="10"/>
  <c r="Y300" i="10"/>
  <c r="Z300" i="10"/>
  <c r="AO300" i="10"/>
  <c r="AP300" i="10" s="1"/>
  <c r="AQ300" i="10" s="1"/>
  <c r="T301" i="10"/>
  <c r="Y301" i="10"/>
  <c r="Z301" i="10"/>
  <c r="AQ301" i="10"/>
  <c r="T302" i="10"/>
  <c r="Y302" i="10"/>
  <c r="Z302" i="10"/>
  <c r="AQ302" i="10"/>
  <c r="T303" i="10"/>
  <c r="Y303" i="10"/>
  <c r="Z303" i="10"/>
  <c r="AO303" i="10"/>
  <c r="AP303" i="10" s="1"/>
  <c r="AQ303" i="10" s="1"/>
  <c r="T304" i="10"/>
  <c r="Y304" i="10"/>
  <c r="Z304" i="10"/>
  <c r="AQ304" i="10"/>
  <c r="T305" i="10"/>
  <c r="Y305" i="10"/>
  <c r="Z305" i="10"/>
  <c r="AN305" i="10"/>
  <c r="AQ305" i="10" s="1"/>
  <c r="T306" i="10"/>
  <c r="Y306" i="10"/>
  <c r="Z306" i="10"/>
  <c r="AN306" i="10"/>
  <c r="AQ306" i="10" s="1"/>
  <c r="T307" i="10"/>
  <c r="Y307" i="10"/>
  <c r="Z307" i="10"/>
  <c r="AQ307" i="10"/>
  <c r="T308" i="10"/>
  <c r="Y308" i="10"/>
  <c r="Z308" i="10"/>
  <c r="AO308" i="10"/>
  <c r="AP308" i="10" s="1"/>
  <c r="AQ308" i="10" s="1"/>
  <c r="T309" i="10"/>
  <c r="Y309" i="10"/>
  <c r="Z309" i="10"/>
  <c r="AM309" i="10"/>
  <c r="AQ309" i="10" s="1"/>
  <c r="T310" i="10"/>
  <c r="Y310" i="10"/>
  <c r="Z310" i="10"/>
  <c r="AO310" i="10"/>
  <c r="AP310" i="10" s="1"/>
  <c r="AQ310" i="10" s="1"/>
  <c r="T311" i="10"/>
  <c r="Y311" i="10"/>
  <c r="Z311" i="10"/>
  <c r="AO311" i="10"/>
  <c r="AP311" i="10" s="1"/>
  <c r="AQ311" i="10" s="1"/>
  <c r="T312" i="10"/>
  <c r="Y312" i="10"/>
  <c r="Z312" i="10"/>
  <c r="AQ312" i="10"/>
  <c r="T313" i="10"/>
  <c r="Y313" i="10"/>
  <c r="Z313" i="10"/>
  <c r="AO313" i="10"/>
  <c r="AP313" i="10" s="1"/>
  <c r="AQ313" i="10" s="1"/>
  <c r="T314" i="10"/>
  <c r="Y314" i="10"/>
  <c r="Z314" i="10"/>
  <c r="AM314" i="10"/>
  <c r="AQ314" i="10"/>
  <c r="T315" i="10"/>
  <c r="Y315" i="10"/>
  <c r="Z315" i="10"/>
  <c r="AQ315" i="10"/>
  <c r="T316" i="10"/>
  <c r="Y316" i="10"/>
  <c r="Z316" i="10"/>
  <c r="AO316" i="10"/>
  <c r="AP316" i="10" s="1"/>
  <c r="AQ316" i="10" s="1"/>
  <c r="T317" i="10"/>
  <c r="Y317" i="10"/>
  <c r="Z317" i="10"/>
  <c r="AO317" i="10"/>
  <c r="AP317" i="10" s="1"/>
  <c r="AQ317" i="10" s="1"/>
  <c r="T318" i="10"/>
  <c r="Y318" i="10"/>
  <c r="Z318" i="10"/>
  <c r="AQ318" i="10"/>
  <c r="T319" i="10"/>
  <c r="Y319" i="10"/>
  <c r="Z319" i="10"/>
  <c r="AO319" i="10"/>
  <c r="AP319" i="10" s="1"/>
  <c r="AQ319" i="10" s="1"/>
  <c r="T320" i="10"/>
  <c r="Y320" i="10"/>
  <c r="Z320" i="10"/>
  <c r="AO320" i="10"/>
  <c r="AP320" i="10" s="1"/>
  <c r="AQ320" i="10" s="1"/>
  <c r="T321" i="10"/>
  <c r="Y321" i="10"/>
  <c r="Z321" i="10"/>
  <c r="AQ321" i="10"/>
  <c r="T322" i="10"/>
  <c r="Y322" i="10"/>
  <c r="Z322" i="10"/>
  <c r="AO322" i="10"/>
  <c r="AP322" i="10" s="1"/>
  <c r="AQ322" i="10" s="1"/>
  <c r="T323" i="10"/>
  <c r="Y323" i="10"/>
  <c r="Z323" i="10"/>
  <c r="AO323" i="10"/>
  <c r="AP323" i="10" s="1"/>
  <c r="AQ323" i="10" s="1"/>
  <c r="T324" i="10"/>
  <c r="Y324" i="10"/>
  <c r="Z324" i="10"/>
  <c r="AO324" i="10"/>
  <c r="AP324" i="10"/>
  <c r="AQ324" i="10" s="1"/>
  <c r="T325" i="10"/>
  <c r="Y325" i="10"/>
  <c r="Z325" i="10"/>
  <c r="AO325" i="10"/>
  <c r="AP325" i="10" s="1"/>
  <c r="AQ325" i="10" s="1"/>
  <c r="T326" i="10"/>
  <c r="Y326" i="10"/>
  <c r="Z326" i="10"/>
  <c r="AO326" i="10"/>
  <c r="AP326" i="10" s="1"/>
  <c r="AQ326" i="10" s="1"/>
  <c r="T327" i="10"/>
  <c r="Y327" i="10"/>
  <c r="Z327" i="10"/>
  <c r="AO327" i="10"/>
  <c r="AP327" i="10" s="1"/>
  <c r="AQ327" i="10" s="1"/>
  <c r="T328" i="10"/>
  <c r="Y328" i="10"/>
  <c r="Z328" i="10"/>
  <c r="AO328" i="10"/>
  <c r="AP328" i="10" s="1"/>
  <c r="AQ328" i="10" s="1"/>
  <c r="T329" i="10"/>
  <c r="Y329" i="10"/>
  <c r="Z329" i="10"/>
  <c r="AQ329" i="10"/>
  <c r="T330" i="10"/>
  <c r="Y330" i="10"/>
  <c r="Z330" i="10"/>
  <c r="AQ330" i="10"/>
  <c r="T331" i="10"/>
  <c r="Y331" i="10"/>
  <c r="Z331" i="10"/>
  <c r="AQ331" i="10"/>
  <c r="T332" i="10"/>
  <c r="Y332" i="10"/>
  <c r="Z332" i="10"/>
  <c r="AQ332" i="10"/>
  <c r="T333" i="10"/>
  <c r="Y333" i="10"/>
  <c r="Z333" i="10"/>
  <c r="AQ333" i="10"/>
  <c r="T334" i="10"/>
  <c r="Y334" i="10"/>
  <c r="Z334" i="10"/>
  <c r="AQ334" i="10"/>
  <c r="T335" i="10"/>
  <c r="Y335" i="10"/>
  <c r="Z335" i="10"/>
  <c r="AQ335" i="10"/>
  <c r="T336" i="10"/>
  <c r="Y336" i="10"/>
  <c r="Z336" i="10"/>
  <c r="AQ336" i="10"/>
  <c r="T337" i="10"/>
  <c r="Y337" i="10"/>
  <c r="Z337" i="10"/>
  <c r="AQ337" i="10"/>
  <c r="T338" i="10"/>
  <c r="Y338" i="10"/>
  <c r="Z338" i="10"/>
  <c r="AQ338" i="10"/>
  <c r="T339" i="10"/>
  <c r="Y339" i="10"/>
  <c r="Z339" i="10"/>
  <c r="AD339" i="10"/>
  <c r="AQ339" i="10"/>
  <c r="T340" i="10"/>
  <c r="Y340" i="10"/>
  <c r="Z340" i="10"/>
  <c r="AD340" i="10"/>
  <c r="AQ340" i="10"/>
  <c r="T341" i="10"/>
  <c r="Y341" i="10"/>
  <c r="Z341" i="10"/>
  <c r="AD341" i="10"/>
  <c r="AQ341" i="10"/>
  <c r="T342" i="10"/>
  <c r="Y342" i="10"/>
  <c r="Z342" i="10"/>
  <c r="AD342" i="10"/>
  <c r="AQ342" i="10"/>
  <c r="T343" i="10"/>
  <c r="Y343" i="10"/>
  <c r="Z343" i="10"/>
  <c r="AD343" i="10"/>
  <c r="AQ343" i="10"/>
  <c r="T344" i="10"/>
  <c r="Y344" i="10"/>
  <c r="Z344" i="10"/>
  <c r="AD344" i="10"/>
  <c r="AQ344" i="10"/>
  <c r="T345" i="10"/>
  <c r="Y345" i="10"/>
  <c r="Z345" i="10"/>
  <c r="AD345" i="10"/>
  <c r="AQ345" i="10"/>
  <c r="T346" i="10"/>
  <c r="Y346" i="10"/>
  <c r="Z346" i="10"/>
  <c r="AD346" i="10"/>
  <c r="AQ346" i="10"/>
  <c r="T347" i="10"/>
  <c r="Y347" i="10"/>
  <c r="Z347" i="10"/>
  <c r="AD347" i="10"/>
  <c r="AQ347" i="10"/>
  <c r="T348" i="10"/>
  <c r="Y348" i="10"/>
  <c r="Z348" i="10"/>
  <c r="AD348" i="10"/>
  <c r="AQ348" i="10"/>
  <c r="T349" i="10"/>
  <c r="Y349" i="10"/>
  <c r="Z349" i="10"/>
  <c r="AD349" i="10"/>
  <c r="AQ349" i="10"/>
  <c r="T350" i="10"/>
  <c r="Y350" i="10"/>
  <c r="Z350" i="10"/>
  <c r="AD350" i="10"/>
  <c r="AQ350" i="10"/>
  <c r="T351" i="10"/>
  <c r="Y351" i="10"/>
  <c r="Z351" i="10"/>
  <c r="AD351" i="10"/>
  <c r="AQ351" i="10"/>
  <c r="T352" i="10"/>
  <c r="Y352" i="10"/>
  <c r="Z352" i="10"/>
  <c r="AD352" i="10"/>
  <c r="AQ352" i="10"/>
  <c r="T353" i="10"/>
  <c r="Y353" i="10"/>
  <c r="Z353" i="10"/>
  <c r="AD353" i="10"/>
  <c r="AQ353" i="10"/>
  <c r="U354" i="10"/>
  <c r="T354" i="10" s="1"/>
  <c r="Y354" i="10"/>
  <c r="Z354" i="10"/>
  <c r="AD354" i="10"/>
  <c r="AQ354" i="10"/>
  <c r="U355" i="10"/>
  <c r="T355" i="10" s="1"/>
  <c r="Y355" i="10"/>
  <c r="Z355" i="10"/>
  <c r="AD355" i="10"/>
  <c r="U356" i="10"/>
  <c r="T356" i="10" s="1"/>
  <c r="Y356" i="10"/>
  <c r="Z356" i="10"/>
  <c r="AD356" i="10"/>
  <c r="U357" i="10"/>
  <c r="T357" i="10" s="1"/>
  <c r="Y357" i="10"/>
  <c r="Z357" i="10"/>
  <c r="AD357" i="10"/>
  <c r="AO357" i="10"/>
  <c r="AP357" i="10" s="1"/>
  <c r="AQ357" i="10" s="1"/>
  <c r="U358" i="10"/>
  <c r="T358" i="10" s="1"/>
  <c r="Y358" i="10"/>
  <c r="Z358" i="10"/>
  <c r="AD358" i="10"/>
  <c r="AQ358" i="10"/>
  <c r="U359" i="10"/>
  <c r="T359" i="10" s="1"/>
  <c r="Y359" i="10"/>
  <c r="Z359" i="10"/>
  <c r="AD359" i="10"/>
  <c r="AQ359" i="10"/>
  <c r="U360" i="10"/>
  <c r="T360" i="10" s="1"/>
  <c r="Y360" i="10"/>
  <c r="Z360" i="10"/>
  <c r="AD360" i="10"/>
  <c r="AQ360" i="10"/>
  <c r="U361" i="10"/>
  <c r="AB361" i="10" s="1"/>
  <c r="Y361" i="10"/>
  <c r="Z361" i="10"/>
  <c r="AD361" i="10"/>
  <c r="U362" i="10"/>
  <c r="T362" i="10" s="1"/>
  <c r="Y362" i="10"/>
  <c r="Z362" i="10"/>
  <c r="AB362" i="10"/>
  <c r="AD362" i="10"/>
  <c r="AO362" i="10"/>
  <c r="AP362" i="10"/>
  <c r="AQ362" i="10" s="1"/>
  <c r="U363" i="10"/>
  <c r="AB363" i="10" s="1"/>
  <c r="Y363" i="10"/>
  <c r="Z363" i="10"/>
  <c r="AD363" i="10"/>
  <c r="AQ363" i="10"/>
  <c r="U364" i="10"/>
  <c r="Y364" i="10"/>
  <c r="Z364" i="10"/>
  <c r="AD364" i="10"/>
  <c r="AQ364" i="10"/>
  <c r="U365" i="10"/>
  <c r="AB365" i="10" s="1"/>
  <c r="Y365" i="10"/>
  <c r="Z365" i="10"/>
  <c r="AD365" i="10"/>
  <c r="T366" i="10"/>
  <c r="U366" i="10"/>
  <c r="Y366" i="10"/>
  <c r="Z366" i="10"/>
  <c r="AB366" i="10"/>
  <c r="AD366" i="10"/>
  <c r="U367" i="10"/>
  <c r="AB367" i="10" s="1"/>
  <c r="Y367" i="10"/>
  <c r="Z367" i="10"/>
  <c r="AD367" i="10"/>
  <c r="AO367" i="10"/>
  <c r="AP367" i="10" s="1"/>
  <c r="AQ367" i="10" s="1"/>
  <c r="U368" i="10"/>
  <c r="T368" i="10" s="1"/>
  <c r="Y368" i="10"/>
  <c r="Z368" i="10"/>
  <c r="AD368" i="10"/>
  <c r="AQ368" i="10"/>
  <c r="U369" i="10"/>
  <c r="AB369" i="10" s="1"/>
  <c r="Y369" i="10"/>
  <c r="Z369" i="10"/>
  <c r="AD369" i="10"/>
  <c r="AQ369" i="10"/>
  <c r="U370" i="10"/>
  <c r="T370" i="10" s="1"/>
  <c r="Y370" i="10"/>
  <c r="Z370" i="10"/>
  <c r="AD370" i="10"/>
  <c r="U371" i="10"/>
  <c r="Y371" i="10"/>
  <c r="Z371" i="10"/>
  <c r="AD371" i="10"/>
  <c r="U372" i="10"/>
  <c r="T372" i="10" s="1"/>
  <c r="Y372" i="10"/>
  <c r="Z372" i="10"/>
  <c r="AD372" i="10"/>
  <c r="AO372" i="10"/>
  <c r="AP372" i="10"/>
  <c r="AQ372" i="10" s="1"/>
  <c r="T373" i="10"/>
  <c r="U373" i="10"/>
  <c r="Y373" i="10"/>
  <c r="Z373" i="10"/>
  <c r="AB373" i="10"/>
  <c r="AD373" i="10"/>
  <c r="AM373" i="10"/>
  <c r="AQ373" i="10" s="1"/>
  <c r="U374" i="10"/>
  <c r="T374" i="10" s="1"/>
  <c r="Y374" i="10"/>
  <c r="Z374" i="10"/>
  <c r="AB374" i="10"/>
  <c r="AD374" i="10"/>
  <c r="AQ374" i="10"/>
  <c r="U375" i="10"/>
  <c r="T375" i="10" s="1"/>
  <c r="Y375" i="10"/>
  <c r="Z375" i="10"/>
  <c r="AD375" i="10"/>
  <c r="AN375" i="10"/>
  <c r="AQ375" i="10" s="1"/>
  <c r="U376" i="10"/>
  <c r="AB376" i="10" s="1"/>
  <c r="Y376" i="10"/>
  <c r="Z376" i="10"/>
  <c r="AD376" i="10"/>
  <c r="AQ376" i="10"/>
  <c r="U377" i="10"/>
  <c r="Y377" i="10"/>
  <c r="Z377" i="10"/>
  <c r="AD377" i="10"/>
  <c r="AQ377" i="10"/>
  <c r="U378" i="10"/>
  <c r="T378" i="10" s="1"/>
  <c r="Y378" i="10"/>
  <c r="Z378" i="10"/>
  <c r="AD378" i="10"/>
  <c r="AO378" i="10"/>
  <c r="AP378" i="10" s="1"/>
  <c r="AQ378" i="10" s="1"/>
  <c r="T379" i="10"/>
  <c r="U379" i="10"/>
  <c r="Y379" i="10"/>
  <c r="Z379" i="10"/>
  <c r="AB379" i="10"/>
  <c r="AD379" i="10"/>
  <c r="AM379" i="10"/>
  <c r="AQ379" i="10" s="1"/>
  <c r="T380" i="10"/>
  <c r="U380" i="10"/>
  <c r="AB380" i="10" s="1"/>
  <c r="Y380" i="10"/>
  <c r="Z380" i="10"/>
  <c r="AD380" i="10"/>
  <c r="AQ380" i="10"/>
  <c r="U381" i="10"/>
  <c r="T381" i="10" s="1"/>
  <c r="Y381" i="10"/>
  <c r="Z381" i="10"/>
  <c r="AD381" i="10"/>
  <c r="AQ381" i="10"/>
  <c r="T382" i="10"/>
  <c r="U382" i="10"/>
  <c r="Y382" i="10"/>
  <c r="Z382" i="10"/>
  <c r="AB382" i="10"/>
  <c r="AD382" i="10"/>
  <c r="AQ382" i="10"/>
  <c r="U383" i="10"/>
  <c r="T383" i="10" s="1"/>
  <c r="Y383" i="10"/>
  <c r="Z383" i="10"/>
  <c r="AD383" i="10"/>
  <c r="AO383" i="10"/>
  <c r="AP383" i="10"/>
  <c r="AQ383" i="10" s="1"/>
  <c r="U384" i="10"/>
  <c r="T384" i="10" s="1"/>
  <c r="Y384" i="10"/>
  <c r="Z384" i="10"/>
  <c r="AB384" i="10"/>
  <c r="AD384" i="10"/>
  <c r="AQ384" i="10"/>
  <c r="U385" i="10"/>
  <c r="Y385" i="10"/>
  <c r="Z385" i="10"/>
  <c r="AD385" i="10"/>
  <c r="AQ385" i="10"/>
  <c r="U386" i="10"/>
  <c r="T386" i="10" s="1"/>
  <c r="Y386" i="10"/>
  <c r="Z386" i="10"/>
  <c r="AB386" i="10"/>
  <c r="AD386" i="10"/>
  <c r="AQ386" i="10"/>
  <c r="U387" i="10"/>
  <c r="Y387" i="10"/>
  <c r="Z387" i="10"/>
  <c r="AD387" i="10"/>
  <c r="AQ387" i="10"/>
  <c r="U388" i="10"/>
  <c r="T388" i="10" s="1"/>
  <c r="Y388" i="10"/>
  <c r="Z388" i="10"/>
  <c r="AB388" i="10"/>
  <c r="AD388" i="10"/>
  <c r="AO388" i="10"/>
  <c r="AP388" i="10" s="1"/>
  <c r="AQ388" i="10" s="1"/>
  <c r="U389" i="10"/>
  <c r="T389" i="10" s="1"/>
  <c r="Y389" i="10"/>
  <c r="Z389" i="10"/>
  <c r="AD389" i="10"/>
  <c r="AM389" i="10"/>
  <c r="AQ389" i="10" s="1"/>
  <c r="U390" i="10"/>
  <c r="Y390" i="10"/>
  <c r="Z390" i="10"/>
  <c r="AD390" i="10"/>
  <c r="AQ390" i="10"/>
  <c r="T391" i="10"/>
  <c r="U391" i="10"/>
  <c r="Y391" i="10"/>
  <c r="Z391" i="10"/>
  <c r="AB391" i="10"/>
  <c r="AD391" i="10"/>
  <c r="AQ391" i="10"/>
  <c r="U392" i="10"/>
  <c r="AB392" i="10" s="1"/>
  <c r="Y392" i="10"/>
  <c r="Z392" i="10"/>
  <c r="AD392" i="10"/>
  <c r="AQ392" i="10"/>
  <c r="T393" i="10"/>
  <c r="U393" i="10"/>
  <c r="Y393" i="10"/>
  <c r="Z393" i="10"/>
  <c r="AB393" i="10"/>
  <c r="AD393" i="10"/>
  <c r="AO393" i="10"/>
  <c r="AP393" i="10" s="1"/>
  <c r="AQ393" i="10" s="1"/>
  <c r="U394" i="10"/>
  <c r="T394" i="10" s="1"/>
  <c r="Y394" i="10"/>
  <c r="Z394" i="10"/>
  <c r="AD394" i="10"/>
  <c r="AQ394" i="10"/>
  <c r="T395" i="10"/>
  <c r="U395" i="10"/>
  <c r="Y395" i="10"/>
  <c r="Z395" i="10"/>
  <c r="AB395" i="10"/>
  <c r="AD395" i="10"/>
  <c r="AQ395" i="10"/>
  <c r="U396" i="10"/>
  <c r="T396" i="10" s="1"/>
  <c r="Y396" i="10"/>
  <c r="Z396" i="10"/>
  <c r="AD396" i="10"/>
  <c r="AQ396" i="10"/>
  <c r="T397" i="10"/>
  <c r="U397" i="10"/>
  <c r="Y397" i="10"/>
  <c r="Z397" i="10"/>
  <c r="AB397" i="10"/>
  <c r="AD397" i="10"/>
  <c r="AQ397" i="10"/>
  <c r="T398" i="10"/>
  <c r="Y398" i="10"/>
  <c r="Z398" i="10"/>
  <c r="AB398" i="10"/>
  <c r="AD398" i="10"/>
  <c r="AN398" i="10"/>
  <c r="AQ398" i="10" s="1"/>
  <c r="AO398" i="10"/>
  <c r="AP398" i="10"/>
  <c r="T399" i="10"/>
  <c r="Y399" i="10"/>
  <c r="Z399" i="10"/>
  <c r="AB399" i="10"/>
  <c r="AD399" i="10"/>
  <c r="AQ399" i="10"/>
  <c r="T400" i="10"/>
  <c r="Y400" i="10"/>
  <c r="Z400" i="10"/>
  <c r="AB400" i="10"/>
  <c r="AD400" i="10"/>
  <c r="AO400" i="10"/>
  <c r="AP400" i="10" s="1"/>
  <c r="AQ400" i="10" s="1"/>
  <c r="T401" i="10"/>
  <c r="Y401" i="10"/>
  <c r="Z401" i="10"/>
  <c r="AB401" i="10"/>
  <c r="AD401" i="10"/>
  <c r="AQ401" i="10"/>
  <c r="T402" i="10"/>
  <c r="Y402" i="10"/>
  <c r="Z402" i="10"/>
  <c r="AB402" i="10"/>
  <c r="AD402" i="10"/>
  <c r="AQ402" i="10"/>
  <c r="T403" i="10"/>
  <c r="Y403" i="10"/>
  <c r="Z403" i="10"/>
  <c r="AB403" i="10"/>
  <c r="AD403" i="10"/>
  <c r="AO403" i="10"/>
  <c r="AP403" i="10"/>
  <c r="AQ403" i="10" s="1"/>
  <c r="T404" i="10"/>
  <c r="Y404" i="10"/>
  <c r="Z404" i="10"/>
  <c r="AB404" i="10"/>
  <c r="AD404" i="10"/>
  <c r="AQ404" i="10"/>
  <c r="T405" i="10"/>
  <c r="Y405" i="10"/>
  <c r="Z405" i="10"/>
  <c r="AB405" i="10"/>
  <c r="AD405" i="10"/>
  <c r="AQ405" i="10"/>
  <c r="T406" i="10"/>
  <c r="Y406" i="10"/>
  <c r="Z406" i="10"/>
  <c r="AB406" i="10"/>
  <c r="AD406" i="10"/>
  <c r="AQ406" i="10"/>
  <c r="T407" i="10"/>
  <c r="Y407" i="10"/>
  <c r="Z407" i="10"/>
  <c r="AB407" i="10"/>
  <c r="AD407" i="10"/>
  <c r="AQ407" i="10"/>
  <c r="T408" i="10"/>
  <c r="Z408" i="10"/>
  <c r="AB408" i="10"/>
  <c r="AD408" i="10"/>
  <c r="AO408" i="10"/>
  <c r="AP408" i="10"/>
  <c r="AQ408" i="10" s="1"/>
  <c r="Y408" i="10" s="1"/>
  <c r="T409" i="10"/>
  <c r="Z409" i="10"/>
  <c r="AB409" i="10"/>
  <c r="AD409" i="10"/>
  <c r="AQ409" i="10"/>
  <c r="Y409" i="10" s="1"/>
  <c r="T410" i="10"/>
  <c r="Z410" i="10"/>
  <c r="AB410" i="10"/>
  <c r="AD410" i="10"/>
  <c r="AQ410" i="10"/>
  <c r="Y410" i="10" s="1"/>
  <c r="T411" i="10"/>
  <c r="Z411" i="10"/>
  <c r="AB411" i="10"/>
  <c r="AD411" i="10"/>
  <c r="AQ411" i="10"/>
  <c r="Y411" i="10" s="1"/>
  <c r="T412" i="10"/>
  <c r="Z412" i="10"/>
  <c r="AB412" i="10"/>
  <c r="AD412" i="10"/>
  <c r="AQ412" i="10"/>
  <c r="Y412" i="10" s="1"/>
  <c r="T413" i="10"/>
  <c r="Z413" i="10"/>
  <c r="AB413" i="10"/>
  <c r="AD413" i="10"/>
  <c r="AO413" i="10"/>
  <c r="AP413" i="10" s="1"/>
  <c r="AQ413" i="10" s="1"/>
  <c r="Y413" i="10" s="1"/>
  <c r="T414" i="10"/>
  <c r="Y414" i="10"/>
  <c r="Z414" i="10"/>
  <c r="AB414" i="10"/>
  <c r="AD414" i="10"/>
  <c r="AQ414" i="10"/>
  <c r="Z415" i="10"/>
  <c r="AB415" i="10"/>
  <c r="AD415" i="10"/>
  <c r="AQ415" i="10"/>
  <c r="Y415" i="10" s="1"/>
  <c r="Z416" i="10"/>
  <c r="AB416" i="10"/>
  <c r="AD416" i="10"/>
  <c r="AN416" i="10"/>
  <c r="AQ416" i="10" s="1"/>
  <c r="Y416" i="10" s="1"/>
  <c r="Z417" i="10"/>
  <c r="AB417" i="10"/>
  <c r="AD417" i="10"/>
  <c r="AQ417" i="10"/>
  <c r="Y417" i="10" s="1"/>
  <c r="Z418" i="10"/>
  <c r="AB418" i="10"/>
  <c r="AD418" i="10"/>
  <c r="AQ418" i="10"/>
  <c r="Y418" i="10" s="1"/>
  <c r="Z419" i="10"/>
  <c r="AB419" i="10"/>
  <c r="AD419" i="10"/>
  <c r="AO419" i="10"/>
  <c r="AP419" i="10"/>
  <c r="AQ419" i="10" s="1"/>
  <c r="Y419" i="10" s="1"/>
  <c r="Z420" i="10"/>
  <c r="AB420" i="10"/>
  <c r="AD420" i="10"/>
  <c r="AM420" i="10"/>
  <c r="AQ420" i="10" s="1"/>
  <c r="Y420" i="10" s="1"/>
  <c r="Z421" i="10"/>
  <c r="AB421" i="10"/>
  <c r="AD421" i="10"/>
  <c r="AQ421" i="10"/>
  <c r="Y421" i="10" s="1"/>
  <c r="U422" i="10"/>
  <c r="Z422" i="10"/>
  <c r="AB422" i="10"/>
  <c r="AD422" i="10"/>
  <c r="AQ422" i="10"/>
  <c r="Y422" i="10" s="1"/>
  <c r="U423" i="10"/>
  <c r="Y423" i="10"/>
  <c r="Z423" i="10"/>
  <c r="AB423" i="10"/>
  <c r="AD423" i="10"/>
  <c r="AQ423" i="10"/>
  <c r="U424" i="10"/>
  <c r="Z424" i="10"/>
  <c r="AB424" i="10"/>
  <c r="AD424" i="10"/>
  <c r="AP424" i="10"/>
  <c r="AQ424" i="10" s="1"/>
  <c r="Y424" i="10" s="1"/>
  <c r="U425" i="10"/>
  <c r="AB425" i="10" s="1"/>
  <c r="Z425" i="10"/>
  <c r="AD425" i="10"/>
  <c r="AQ425" i="10"/>
  <c r="Y425" i="10" s="1"/>
  <c r="U426" i="10"/>
  <c r="AB426" i="10" s="1"/>
  <c r="Z426" i="10"/>
  <c r="AD426" i="10"/>
  <c r="AQ426" i="10"/>
  <c r="Y426" i="10" s="1"/>
  <c r="U427" i="10"/>
  <c r="AB427" i="10" s="1"/>
  <c r="Z427" i="10"/>
  <c r="AD427" i="10"/>
  <c r="AQ427" i="10"/>
  <c r="Y427" i="10" s="1"/>
  <c r="U428" i="10"/>
  <c r="AB428" i="10" s="1"/>
  <c r="Z428" i="10"/>
  <c r="AD428" i="10"/>
  <c r="AQ428" i="10"/>
  <c r="Y428" i="10" s="1"/>
  <c r="U429" i="10"/>
  <c r="AB429" i="10" s="1"/>
  <c r="Z429" i="10"/>
  <c r="AD429" i="10"/>
  <c r="AP429" i="10"/>
  <c r="AQ429" i="10"/>
  <c r="Y429" i="10" s="1"/>
  <c r="U430" i="10"/>
  <c r="AB430" i="10" s="1"/>
  <c r="Z430" i="10"/>
  <c r="AD430" i="10"/>
  <c r="AQ430" i="10"/>
  <c r="Y430" i="10" s="1"/>
  <c r="U431" i="10"/>
  <c r="Z431" i="10"/>
  <c r="AB431" i="10"/>
  <c r="AD431" i="10"/>
  <c r="AQ431" i="10"/>
  <c r="Y431" i="10" s="1"/>
  <c r="U432" i="10"/>
  <c r="AB432" i="10"/>
  <c r="AD432" i="10"/>
  <c r="AQ432" i="10"/>
  <c r="Y432" i="10" s="1"/>
  <c r="U433" i="10"/>
  <c r="AB433" i="10"/>
  <c r="AD433" i="10"/>
  <c r="AQ433" i="10"/>
  <c r="Y433" i="10" s="1"/>
  <c r="U434" i="10"/>
  <c r="AB434" i="10"/>
  <c r="AD434" i="10"/>
  <c r="AP434" i="10"/>
  <c r="AQ434" i="10" s="1"/>
  <c r="Y434" i="10" s="1"/>
  <c r="U435" i="10"/>
  <c r="AB435" i="10" s="1"/>
  <c r="AD435" i="10"/>
  <c r="AQ435" i="10"/>
  <c r="Y435" i="10" s="1"/>
  <c r="U436" i="10"/>
  <c r="AB436" i="10" s="1"/>
  <c r="AD436" i="10"/>
  <c r="AP436" i="10"/>
  <c r="AQ436" i="10"/>
  <c r="Y436" i="10" s="1"/>
  <c r="U437" i="10"/>
  <c r="AB437" i="10"/>
  <c r="AD437" i="10"/>
  <c r="AQ437" i="10"/>
  <c r="Y437" i="10" s="1"/>
  <c r="U438" i="10"/>
  <c r="AB438" i="10"/>
  <c r="AD438" i="10"/>
  <c r="AQ438" i="10"/>
  <c r="Y438" i="10" s="1"/>
  <c r="U439" i="10"/>
  <c r="AB439" i="10"/>
  <c r="AD439" i="10"/>
  <c r="AP439" i="10"/>
  <c r="AQ439" i="10" s="1"/>
  <c r="Y439" i="10" s="1"/>
  <c r="U440" i="10"/>
  <c r="AB440" i="10"/>
  <c r="AD440" i="10"/>
  <c r="AQ440" i="10"/>
  <c r="Y440" i="10" s="1"/>
  <c r="U441" i="10"/>
  <c r="AB441" i="10"/>
  <c r="AD441" i="10"/>
  <c r="AQ441" i="10"/>
  <c r="Y441" i="10" s="1"/>
  <c r="U442" i="10"/>
  <c r="Y442" i="10"/>
  <c r="AB442" i="10"/>
  <c r="AD442" i="10"/>
  <c r="AQ442" i="10"/>
  <c r="U443" i="10"/>
  <c r="AB443" i="10" s="1"/>
  <c r="Y443" i="10"/>
  <c r="Z443" i="10" s="1"/>
  <c r="AD443" i="10"/>
  <c r="AQ443" i="10"/>
  <c r="U444" i="10"/>
  <c r="AB444" i="10" s="1"/>
  <c r="Y444" i="10"/>
  <c r="Z444" i="10" s="1"/>
  <c r="AD444" i="10"/>
  <c r="AP444" i="10"/>
  <c r="AQ444" i="10"/>
  <c r="U445" i="10"/>
  <c r="Y445" i="10"/>
  <c r="AB445" i="10"/>
  <c r="AD445" i="10"/>
  <c r="AQ445" i="10"/>
  <c r="U446" i="10"/>
  <c r="Y446" i="10"/>
  <c r="Z447" i="10" s="1"/>
  <c r="AB446" i="10"/>
  <c r="AD446" i="10"/>
  <c r="AP446" i="10"/>
  <c r="AQ446" i="10" s="1"/>
  <c r="U447" i="10"/>
  <c r="AB447" i="10" s="1"/>
  <c r="Y447" i="10"/>
  <c r="AD447" i="10"/>
  <c r="AQ447" i="10"/>
  <c r="U448" i="10"/>
  <c r="AB448" i="10" s="1"/>
  <c r="Y448" i="10"/>
  <c r="Z448" i="10"/>
  <c r="AD448" i="10"/>
  <c r="AQ448" i="10"/>
  <c r="U449" i="10"/>
  <c r="AB449" i="10" s="1"/>
  <c r="Y449" i="10"/>
  <c r="Z449" i="10"/>
  <c r="AD449" i="10"/>
  <c r="AP449" i="10"/>
  <c r="AQ449" i="10"/>
  <c r="U450" i="10"/>
  <c r="AB450" i="10" s="1"/>
  <c r="Y450" i="10"/>
  <c r="Z450" i="10" s="1"/>
  <c r="AD450" i="10"/>
  <c r="AQ450" i="10"/>
  <c r="U451" i="10"/>
  <c r="AB451" i="10" s="1"/>
  <c r="Y451" i="10"/>
  <c r="AD451" i="10"/>
  <c r="AQ451" i="10"/>
  <c r="U452" i="10"/>
  <c r="AB452" i="10" s="1"/>
  <c r="Y452" i="10"/>
  <c r="AD452" i="10"/>
  <c r="AP452" i="10"/>
  <c r="AQ452" i="10" s="1"/>
  <c r="U453" i="10"/>
  <c r="AB453" i="10" s="1"/>
  <c r="Y453" i="10"/>
  <c r="AD453" i="10"/>
  <c r="AP453" i="10"/>
  <c r="AQ453" i="10" s="1"/>
  <c r="U454" i="10"/>
  <c r="AB454" i="10" s="1"/>
  <c r="Y454" i="10"/>
  <c r="AD454" i="10"/>
  <c r="AQ454" i="10"/>
  <c r="U455" i="10"/>
  <c r="Y455" i="10"/>
  <c r="AB455" i="10"/>
  <c r="AD455" i="10"/>
  <c r="AP455" i="10"/>
  <c r="AQ455" i="10" s="1"/>
  <c r="U456" i="10"/>
  <c r="AB456" i="10" s="1"/>
  <c r="Y456" i="10"/>
  <c r="AD456" i="10"/>
  <c r="AP456" i="10"/>
  <c r="AQ456" i="10"/>
  <c r="U457" i="10"/>
  <c r="Y457" i="10"/>
  <c r="Z457" i="10" s="1"/>
  <c r="AB457" i="10"/>
  <c r="AD457" i="10"/>
  <c r="AQ457" i="10"/>
  <c r="U458" i="10"/>
  <c r="Y458" i="10"/>
  <c r="Z458" i="10" s="1"/>
  <c r="AB458" i="10"/>
  <c r="AD458" i="10"/>
  <c r="AP458" i="10"/>
  <c r="AQ458" i="10" s="1"/>
  <c r="U459" i="10"/>
  <c r="AB459" i="10" s="1"/>
  <c r="Y459" i="10"/>
  <c r="AD459" i="10"/>
  <c r="AQ459" i="10"/>
  <c r="U460" i="10"/>
  <c r="AB460" i="10" s="1"/>
  <c r="Y460" i="10"/>
  <c r="Z460" i="10"/>
  <c r="AD460" i="10"/>
  <c r="AD461" i="10" s="1"/>
  <c r="AP460" i="10"/>
  <c r="AQ460" i="10" s="1"/>
  <c r="U461" i="10"/>
  <c r="AB461" i="10" s="1"/>
  <c r="Y461" i="10"/>
  <c r="AP461" i="10"/>
  <c r="AQ461" i="10" s="1"/>
  <c r="U462" i="10"/>
  <c r="Y462" i="10"/>
  <c r="Z462" i="10" s="1"/>
  <c r="AB462" i="10"/>
  <c r="AD462" i="10"/>
  <c r="AP462" i="10"/>
  <c r="AQ462" i="10"/>
  <c r="U463" i="10"/>
  <c r="Y463" i="10"/>
  <c r="AB463" i="10"/>
  <c r="AP463" i="10"/>
  <c r="AQ463" i="10" s="1"/>
  <c r="U464" i="10"/>
  <c r="Y464" i="10"/>
  <c r="AB464" i="10"/>
  <c r="AP464" i="10"/>
  <c r="AQ464" i="10" s="1"/>
  <c r="U465" i="10"/>
  <c r="AB465" i="10" s="1"/>
  <c r="Y465" i="10"/>
  <c r="AP465" i="10"/>
  <c r="AQ465" i="10"/>
  <c r="U466" i="10"/>
  <c r="AB466" i="10" s="1"/>
  <c r="Y466" i="10"/>
  <c r="Z466" i="10" s="1"/>
  <c r="AQ466" i="10"/>
  <c r="U467" i="10"/>
  <c r="AB467" i="10" s="1"/>
  <c r="Y467" i="10"/>
  <c r="Z467" i="10" s="1"/>
  <c r="AQ467" i="10"/>
  <c r="U468" i="10"/>
  <c r="Y468" i="10"/>
  <c r="AB468" i="10"/>
  <c r="AP468" i="10"/>
  <c r="AQ468" i="10"/>
  <c r="U469" i="10"/>
  <c r="Y469" i="10"/>
  <c r="Z469" i="10" s="1"/>
  <c r="AB469" i="10"/>
  <c r="AQ469" i="10"/>
  <c r="U470" i="10"/>
  <c r="AB470" i="10" s="1"/>
  <c r="Y470" i="10"/>
  <c r="AQ470" i="10"/>
  <c r="U471" i="10"/>
  <c r="AB471" i="10" s="1"/>
  <c r="Y471" i="10"/>
  <c r="AQ471" i="10"/>
  <c r="U472" i="10"/>
  <c r="Y472" i="10"/>
  <c r="Z472" i="10" s="1"/>
  <c r="AB472" i="10"/>
  <c r="AQ472" i="10"/>
  <c r="U473" i="10"/>
  <c r="AB473" i="10" s="1"/>
  <c r="Y473" i="10"/>
  <c r="AP473" i="10"/>
  <c r="AQ473" i="10" s="1"/>
  <c r="U474" i="10"/>
  <c r="AB474" i="10" s="1"/>
  <c r="Y474" i="10"/>
  <c r="Z474" i="10"/>
  <c r="AQ474" i="10"/>
  <c r="U475" i="10"/>
  <c r="Y475" i="10"/>
  <c r="Z476" i="10" s="1"/>
  <c r="AB475" i="10"/>
  <c r="AD475" i="10"/>
  <c r="AQ475" i="10"/>
  <c r="U476" i="10"/>
  <c r="AB476" i="10" s="1"/>
  <c r="Y476" i="10"/>
  <c r="AQ476" i="10"/>
  <c r="U477" i="10"/>
  <c r="Y477" i="10"/>
  <c r="Z477" i="10" s="1"/>
  <c r="AB477" i="10"/>
  <c r="AQ477" i="10"/>
  <c r="U478" i="10"/>
  <c r="AB478" i="10" s="1"/>
  <c r="Y478" i="10"/>
  <c r="AP478" i="10"/>
  <c r="AQ478" i="10" s="1"/>
  <c r="U479" i="10"/>
  <c r="AB479" i="10" s="1"/>
  <c r="Y479" i="10"/>
  <c r="Z479" i="10"/>
  <c r="AQ479" i="10"/>
  <c r="U480" i="10"/>
  <c r="AB480" i="10" s="1"/>
  <c r="Y480" i="10"/>
  <c r="AQ480" i="10"/>
  <c r="U481" i="10"/>
  <c r="AB481" i="10" s="1"/>
  <c r="Y481" i="10"/>
  <c r="AQ481" i="10"/>
  <c r="U482" i="10"/>
  <c r="AB482" i="10" s="1"/>
  <c r="V482" i="10"/>
  <c r="Y482" i="10" s="1"/>
  <c r="Z482" i="10"/>
  <c r="AQ482" i="10"/>
  <c r="U483" i="10"/>
  <c r="V483" i="10"/>
  <c r="Y483" i="10" s="1"/>
  <c r="X483" i="10"/>
  <c r="AB483" i="10"/>
  <c r="AP483" i="10"/>
  <c r="AQ483" i="10"/>
  <c r="AS483" i="10"/>
  <c r="U484" i="10"/>
  <c r="AB484" i="10" s="1"/>
  <c r="V484" i="10"/>
  <c r="Y484" i="10" s="1"/>
  <c r="Z484" i="10" s="1"/>
  <c r="AQ484" i="10"/>
  <c r="AS484" i="10"/>
  <c r="U485" i="10"/>
  <c r="V485" i="10"/>
  <c r="Y485" i="10" s="1"/>
  <c r="AB485" i="10"/>
  <c r="AQ485" i="10"/>
  <c r="AS485" i="10"/>
  <c r="U486" i="10"/>
  <c r="AB486" i="10" s="1"/>
  <c r="V486" i="10"/>
  <c r="Y486" i="10" s="1"/>
  <c r="Z486" i="10" s="1"/>
  <c r="AQ486" i="10"/>
  <c r="AS486" i="10"/>
  <c r="U487" i="10"/>
  <c r="AB487" i="10" s="1"/>
  <c r="V487" i="10"/>
  <c r="Y487" i="10" s="1"/>
  <c r="AQ487" i="10"/>
  <c r="AS487" i="10"/>
  <c r="U488" i="10"/>
  <c r="V488" i="10"/>
  <c r="Y488" i="10" s="1"/>
  <c r="AB488" i="10"/>
  <c r="AP488" i="10"/>
  <c r="AQ488" i="10" s="1"/>
  <c r="AS488" i="10"/>
  <c r="U489" i="10"/>
  <c r="AB489" i="10" s="1"/>
  <c r="Y489" i="10"/>
  <c r="AQ489" i="10"/>
  <c r="AS489" i="10"/>
  <c r="U490" i="10"/>
  <c r="AB490" i="10" s="1"/>
  <c r="Y490" i="10"/>
  <c r="Z490" i="10" s="1"/>
  <c r="AC490" i="10"/>
  <c r="AQ490" i="10"/>
  <c r="U491" i="10"/>
  <c r="AB491" i="10" s="1"/>
  <c r="AQ491" i="10"/>
  <c r="U492" i="10"/>
  <c r="AB492" i="10"/>
  <c r="AQ492" i="10"/>
  <c r="AS492" i="10"/>
  <c r="U493" i="10"/>
  <c r="AB493" i="10" s="1"/>
  <c r="V493" i="10"/>
  <c r="Y493" i="10" s="1"/>
  <c r="AP493" i="10"/>
  <c r="AQ493" i="10"/>
  <c r="U494" i="10"/>
  <c r="AB494" i="10" s="1"/>
  <c r="V494" i="10"/>
  <c r="Y494" i="10" s="1"/>
  <c r="AQ494" i="10"/>
  <c r="U495" i="10"/>
  <c r="AB495" i="10" s="1"/>
  <c r="AQ495" i="10"/>
  <c r="U496" i="10"/>
  <c r="AB496" i="10" s="1"/>
  <c r="V496" i="10"/>
  <c r="Y496" i="10" s="1"/>
  <c r="AQ496" i="10"/>
  <c r="U497" i="10"/>
  <c r="AB497" i="10" s="1"/>
  <c r="V497" i="10"/>
  <c r="V491" i="10" s="1"/>
  <c r="Y491" i="10" s="1"/>
  <c r="Y497" i="10"/>
  <c r="AQ497" i="10"/>
  <c r="U498" i="10"/>
  <c r="V498" i="10"/>
  <c r="AB498" i="10"/>
  <c r="AP498" i="10"/>
  <c r="AQ498" i="10" s="1"/>
  <c r="U499" i="10"/>
  <c r="AB499" i="10" s="1"/>
  <c r="AQ499" i="10"/>
  <c r="U500" i="10"/>
  <c r="AB500" i="10" s="1"/>
  <c r="V500" i="10"/>
  <c r="Y500" i="10" s="1"/>
  <c r="AQ500" i="10"/>
  <c r="U501" i="10"/>
  <c r="V501" i="10"/>
  <c r="Y501" i="10" s="1"/>
  <c r="AB501" i="10"/>
  <c r="AQ501" i="10"/>
  <c r="U502" i="10"/>
  <c r="AB502" i="10" s="1"/>
  <c r="V502" i="10"/>
  <c r="Y502" i="10"/>
  <c r="AQ502" i="10"/>
  <c r="U503" i="10"/>
  <c r="V503" i="10"/>
  <c r="AB503" i="10"/>
  <c r="AP503" i="10"/>
  <c r="AQ503" i="10"/>
  <c r="U504" i="10"/>
  <c r="AB504" i="10" s="1"/>
  <c r="V504" i="10"/>
  <c r="Y504" i="10" s="1"/>
  <c r="AQ504" i="10"/>
  <c r="U505" i="10"/>
  <c r="AB505" i="10" s="1"/>
  <c r="Y505" i="10"/>
  <c r="Z505" i="10" s="1"/>
  <c r="AC505" i="10" s="1"/>
  <c r="AQ505" i="10"/>
  <c r="U506" i="10"/>
  <c r="AB506" i="10" s="1"/>
  <c r="Y506" i="10"/>
  <c r="Z506" i="10" s="1"/>
  <c r="AC506" i="10" s="1"/>
  <c r="AQ506" i="10"/>
  <c r="U507" i="10"/>
  <c r="AB507" i="10" s="1"/>
  <c r="Y507" i="10"/>
  <c r="AQ507" i="10"/>
  <c r="U508" i="10"/>
  <c r="AB508" i="10" s="1"/>
  <c r="AP508" i="10"/>
  <c r="Y508" i="10" s="1"/>
  <c r="Z508" i="10" s="1"/>
  <c r="AC508" i="10" s="1"/>
  <c r="U509" i="10"/>
  <c r="Y509" i="10"/>
  <c r="AB509" i="10"/>
  <c r="AQ509" i="10"/>
  <c r="U510" i="10"/>
  <c r="AB510" i="10" s="1"/>
  <c r="Y510" i="10"/>
  <c r="AQ510" i="10"/>
  <c r="U511" i="10"/>
  <c r="Y511" i="10"/>
  <c r="Z511" i="10" s="1"/>
  <c r="AC511" i="10" s="1"/>
  <c r="AB511" i="10"/>
  <c r="AQ511" i="10"/>
  <c r="U512" i="10"/>
  <c r="Y512" i="10"/>
  <c r="AB512" i="10"/>
  <c r="AQ512" i="10"/>
  <c r="U513" i="10"/>
  <c r="AP513" i="10"/>
  <c r="AQ513" i="10" s="1"/>
  <c r="U514" i="10"/>
  <c r="AQ514" i="10"/>
  <c r="U515" i="10"/>
  <c r="AQ515" i="10"/>
  <c r="U516" i="10"/>
  <c r="AQ516" i="10"/>
  <c r="U517" i="10"/>
  <c r="AQ517" i="10"/>
  <c r="U518" i="10"/>
  <c r="AP518" i="10"/>
  <c r="AQ518" i="10" s="1"/>
  <c r="U519" i="10"/>
  <c r="AQ519" i="10"/>
  <c r="U520" i="10"/>
  <c r="AQ520" i="10"/>
  <c r="U521" i="10"/>
  <c r="AQ521" i="10"/>
  <c r="U522" i="10"/>
  <c r="AQ522" i="10"/>
  <c r="U523" i="10"/>
  <c r="AP523" i="10"/>
  <c r="AQ523" i="10" s="1"/>
  <c r="U524" i="10"/>
  <c r="AQ524" i="10"/>
  <c r="U525" i="10"/>
  <c r="AQ525" i="10"/>
  <c r="U526" i="10"/>
  <c r="AQ526" i="10"/>
  <c r="U527" i="10"/>
  <c r="AQ527" i="10"/>
  <c r="U528" i="10"/>
  <c r="AP528" i="10"/>
  <c r="AQ528" i="10"/>
  <c r="U529" i="10"/>
  <c r="AQ529" i="10"/>
  <c r="U530" i="10"/>
  <c r="AP530" i="10"/>
  <c r="AQ530" i="10"/>
  <c r="U531" i="10"/>
  <c r="AQ531" i="10"/>
  <c r="AR532" i="10"/>
  <c r="A4" i="47"/>
  <c r="A5" i="47"/>
  <c r="B7" i="47"/>
  <c r="C7" i="47"/>
  <c r="D7" i="47"/>
  <c r="E7" i="47"/>
  <c r="F7" i="47"/>
  <c r="G7" i="47"/>
  <c r="H7" i="47"/>
  <c r="I7" i="47"/>
  <c r="B8" i="47"/>
  <c r="C8" i="47"/>
  <c r="D8" i="47"/>
  <c r="E8" i="47"/>
  <c r="F8" i="47"/>
  <c r="G8" i="47"/>
  <c r="H8" i="47"/>
  <c r="I8" i="47"/>
  <c r="J12" i="47"/>
  <c r="B1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O17" i="47"/>
  <c r="P17" i="47"/>
  <c r="Q17" i="47"/>
  <c r="R17" i="47"/>
  <c r="S17" i="47"/>
  <c r="T17" i="47"/>
  <c r="U17" i="47"/>
  <c r="V17" i="47"/>
  <c r="W17" i="47"/>
  <c r="X17" i="47"/>
  <c r="Y17" i="47"/>
  <c r="Z22" i="47"/>
  <c r="N23" i="47"/>
  <c r="O23" i="47"/>
  <c r="P23" i="47"/>
  <c r="Q23" i="47"/>
  <c r="R23" i="47"/>
  <c r="S23" i="47"/>
  <c r="T23" i="47"/>
  <c r="U23" i="47"/>
  <c r="V23" i="47"/>
  <c r="W23" i="47"/>
  <c r="X23" i="47"/>
  <c r="Y23" i="47"/>
  <c r="BS4" i="46"/>
  <c r="N6" i="46"/>
  <c r="O6" i="46"/>
  <c r="P6" i="46"/>
  <c r="Q6" i="46"/>
  <c r="R6" i="46"/>
  <c r="S6" i="46"/>
  <c r="T6" i="46"/>
  <c r="U6" i="46"/>
  <c r="V6" i="46"/>
  <c r="W6" i="46"/>
  <c r="X6" i="46"/>
  <c r="Y6" i="46"/>
  <c r="Z6" i="46"/>
  <c r="AA6" i="46"/>
  <c r="AB6" i="46"/>
  <c r="AC6" i="46"/>
  <c r="AD6" i="46"/>
  <c r="AE6" i="46"/>
  <c r="AF6" i="46"/>
  <c r="AG6" i="46"/>
  <c r="AG5" i="46" s="1"/>
  <c r="AG4" i="46" s="1"/>
  <c r="AH6" i="46"/>
  <c r="AI6" i="46"/>
  <c r="AJ6" i="46"/>
  <c r="AK6" i="46"/>
  <c r="BS6" i="46"/>
  <c r="BO7" i="46"/>
  <c r="BQ7" i="46"/>
  <c r="BR7" i="46"/>
  <c r="BS7" i="46"/>
  <c r="BO8" i="46"/>
  <c r="BQ8" i="46"/>
  <c r="BR8" i="46"/>
  <c r="BS8" i="46"/>
  <c r="N9" i="46"/>
  <c r="O9" i="46"/>
  <c r="P9" i="46"/>
  <c r="Q9" i="46"/>
  <c r="R9" i="46"/>
  <c r="S9" i="46"/>
  <c r="T9" i="46"/>
  <c r="U9" i="46"/>
  <c r="V9" i="46"/>
  <c r="W9" i="46"/>
  <c r="X9" i="46"/>
  <c r="Y9" i="46"/>
  <c r="Z9" i="46"/>
  <c r="AA9" i="46"/>
  <c r="AB9" i="46"/>
  <c r="AC9" i="46"/>
  <c r="AD9" i="46"/>
  <c r="AE9" i="46"/>
  <c r="AF9" i="46"/>
  <c r="AG9" i="46"/>
  <c r="AH9" i="46"/>
  <c r="AI9" i="46"/>
  <c r="AI5" i="46"/>
  <c r="AJ9" i="46"/>
  <c r="AK9" i="46"/>
  <c r="AK5" i="46" s="1"/>
  <c r="BS9" i="46"/>
  <c r="BQ10" i="46"/>
  <c r="BR10" i="46"/>
  <c r="BS10" i="46"/>
  <c r="BQ11" i="46"/>
  <c r="BR11" i="46"/>
  <c r="BS11" i="46"/>
  <c r="BS12" i="46"/>
  <c r="BO13" i="46"/>
  <c r="BQ13" i="46"/>
  <c r="BR13" i="46"/>
  <c r="BS13" i="46"/>
  <c r="N14" i="46"/>
  <c r="N12" i="46" s="1"/>
  <c r="O14" i="46"/>
  <c r="O12" i="46" s="1"/>
  <c r="P14" i="46"/>
  <c r="P12" i="46"/>
  <c r="Q14" i="46"/>
  <c r="Q12" i="46" s="1"/>
  <c r="R14" i="46"/>
  <c r="R12" i="46" s="1"/>
  <c r="S14" i="46"/>
  <c r="S12" i="46" s="1"/>
  <c r="T14" i="46"/>
  <c r="T12" i="46" s="1"/>
  <c r="U14" i="46"/>
  <c r="V14" i="46"/>
  <c r="V12" i="46" s="1"/>
  <c r="W14" i="46"/>
  <c r="W12" i="46" s="1"/>
  <c r="X14" i="46"/>
  <c r="X12" i="46" s="1"/>
  <c r="Y14" i="46"/>
  <c r="Y12" i="46"/>
  <c r="Z14" i="46"/>
  <c r="Z12" i="46" s="1"/>
  <c r="AA14" i="46"/>
  <c r="AA12" i="46" s="1"/>
  <c r="AA4" i="46" s="1"/>
  <c r="AB14" i="46"/>
  <c r="AB12" i="46"/>
  <c r="AC14" i="46"/>
  <c r="AC12" i="46" s="1"/>
  <c r="AD14" i="46"/>
  <c r="AE14" i="46"/>
  <c r="AE12" i="46" s="1"/>
  <c r="AF14" i="46"/>
  <c r="AF12" i="46" s="1"/>
  <c r="AG14" i="46"/>
  <c r="AG12" i="46"/>
  <c r="AH14" i="46"/>
  <c r="AH12" i="46"/>
  <c r="AI14" i="46"/>
  <c r="AI12" i="46" s="1"/>
  <c r="AJ14" i="46"/>
  <c r="AJ12" i="46" s="1"/>
  <c r="AK14" i="46"/>
  <c r="AK12" i="46" s="1"/>
  <c r="BS14" i="46"/>
  <c r="BQ15" i="46"/>
  <c r="BR15" i="46"/>
  <c r="BS15" i="46"/>
  <c r="BO16" i="46"/>
  <c r="BQ16" i="46"/>
  <c r="BR16" i="46"/>
  <c r="BS16" i="46"/>
  <c r="N17" i="46"/>
  <c r="O17" i="46"/>
  <c r="P17" i="46"/>
  <c r="Q17" i="46"/>
  <c r="R17" i="46"/>
  <c r="R4" i="46" s="1"/>
  <c r="S17" i="46"/>
  <c r="T17" i="46"/>
  <c r="U17" i="46"/>
  <c r="V17" i="46"/>
  <c r="W17" i="46"/>
  <c r="X17" i="46"/>
  <c r="Y17" i="46"/>
  <c r="Z17" i="46"/>
  <c r="AA17" i="46"/>
  <c r="AB17" i="46"/>
  <c r="AC17" i="46"/>
  <c r="AD17" i="46"/>
  <c r="AE17" i="46"/>
  <c r="AF17" i="46"/>
  <c r="AG17" i="46"/>
  <c r="AH17" i="46"/>
  <c r="AI17" i="46"/>
  <c r="AJ17" i="46"/>
  <c r="AK17" i="46"/>
  <c r="BS17" i="46"/>
  <c r="BO18" i="46"/>
  <c r="BQ18" i="46"/>
  <c r="BR18" i="46"/>
  <c r="BS18" i="46"/>
  <c r="BO19" i="46"/>
  <c r="BQ19" i="46"/>
  <c r="BR19" i="46"/>
  <c r="BS19" i="46"/>
  <c r="BQ20" i="46"/>
  <c r="BR20" i="46"/>
  <c r="BS20" i="46"/>
  <c r="M22" i="46"/>
  <c r="BS22" i="46" s="1"/>
  <c r="B23" i="46"/>
  <c r="C23" i="46"/>
  <c r="D23" i="46"/>
  <c r="E23" i="46"/>
  <c r="F23" i="46"/>
  <c r="G23" i="46"/>
  <c r="H23" i="46"/>
  <c r="I23" i="46"/>
  <c r="J23" i="46"/>
  <c r="K23" i="46"/>
  <c r="L23" i="46"/>
  <c r="M23" i="46"/>
  <c r="BO24" i="46"/>
  <c r="BQ24" i="46"/>
  <c r="BR24" i="46"/>
  <c r="BS24" i="46"/>
  <c r="BS25" i="46"/>
  <c r="BQ26" i="46"/>
  <c r="BO28" i="46"/>
  <c r="BQ28" i="46"/>
  <c r="N29" i="46"/>
  <c r="N27" i="46" s="1"/>
  <c r="N25" i="46" s="1"/>
  <c r="O29" i="46"/>
  <c r="O27" i="46" s="1"/>
  <c r="O25" i="46" s="1"/>
  <c r="P29" i="46"/>
  <c r="P27" i="46" s="1"/>
  <c r="P25" i="46" s="1"/>
  <c r="Q29" i="46"/>
  <c r="R29" i="46"/>
  <c r="R27" i="46" s="1"/>
  <c r="R25" i="46" s="1"/>
  <c r="S29" i="46"/>
  <c r="S27" i="46" s="1"/>
  <c r="S25" i="46" s="1"/>
  <c r="T29" i="46"/>
  <c r="T27" i="46" s="1"/>
  <c r="T25" i="46" s="1"/>
  <c r="U29" i="46"/>
  <c r="U27" i="46" s="1"/>
  <c r="U25" i="46" s="1"/>
  <c r="V29" i="46"/>
  <c r="V27" i="46" s="1"/>
  <c r="V25" i="46" s="1"/>
  <c r="W29" i="46"/>
  <c r="W27" i="46" s="1"/>
  <c r="W25" i="46" s="1"/>
  <c r="X29" i="46"/>
  <c r="X27" i="46"/>
  <c r="X25" i="46" s="1"/>
  <c r="Y29" i="46"/>
  <c r="Y27" i="46" s="1"/>
  <c r="Y25" i="46" s="1"/>
  <c r="Z29" i="46"/>
  <c r="Z27" i="46" s="1"/>
  <c r="AA29" i="46"/>
  <c r="AA27" i="46" s="1"/>
  <c r="AA25" i="46" s="1"/>
  <c r="AB29" i="46"/>
  <c r="AB27" i="46" s="1"/>
  <c r="AC29" i="46"/>
  <c r="AC27" i="46" s="1"/>
  <c r="AC25" i="46" s="1"/>
  <c r="AD29" i="46"/>
  <c r="AD27" i="46" s="1"/>
  <c r="AD25" i="46" s="1"/>
  <c r="AE29" i="46"/>
  <c r="AE27" i="46" s="1"/>
  <c r="AE25" i="46" s="1"/>
  <c r="AF29" i="46"/>
  <c r="AF27" i="46"/>
  <c r="AF25" i="46" s="1"/>
  <c r="AG29" i="46"/>
  <c r="AG27" i="46" s="1"/>
  <c r="AG25" i="46" s="1"/>
  <c r="AH29" i="46"/>
  <c r="AH27" i="46" s="1"/>
  <c r="AH25" i="46" s="1"/>
  <c r="AI29" i="46"/>
  <c r="AI27" i="46" s="1"/>
  <c r="AI25" i="46" s="1"/>
  <c r="AJ29" i="46"/>
  <c r="AJ27" i="46" s="1"/>
  <c r="AJ25" i="46" s="1"/>
  <c r="AK29" i="46"/>
  <c r="AK27" i="46" s="1"/>
  <c r="AK25" i="46" s="1"/>
  <c r="AD87" i="50"/>
  <c r="BS29" i="46"/>
  <c r="BO30" i="46"/>
  <c r="BQ30" i="46"/>
  <c r="BR30" i="46"/>
  <c r="BS30" i="46"/>
  <c r="BO31" i="46"/>
  <c r="BQ31" i="46"/>
  <c r="BR31" i="46"/>
  <c r="BS31" i="46"/>
  <c r="BS32" i="46"/>
  <c r="N33" i="46"/>
  <c r="O33" i="46"/>
  <c r="P33" i="46"/>
  <c r="Q33" i="46"/>
  <c r="R33" i="46"/>
  <c r="S33" i="46"/>
  <c r="T33" i="46"/>
  <c r="U33" i="46"/>
  <c r="V33" i="46"/>
  <c r="W33" i="46"/>
  <c r="X33" i="46"/>
  <c r="Y33" i="46"/>
  <c r="Z33" i="46"/>
  <c r="AA33" i="46"/>
  <c r="AB33" i="46"/>
  <c r="AC33" i="46"/>
  <c r="AD33" i="46"/>
  <c r="AE33" i="46"/>
  <c r="AF33" i="46"/>
  <c r="AG33" i="46"/>
  <c r="AH33" i="46"/>
  <c r="AI33" i="46"/>
  <c r="AJ33" i="46"/>
  <c r="AK33" i="46"/>
  <c r="BS33" i="46"/>
  <c r="BO34" i="46"/>
  <c r="BQ34" i="46"/>
  <c r="BR34" i="46"/>
  <c r="BS34" i="46"/>
  <c r="AC87" i="50"/>
  <c r="BQ35" i="46"/>
  <c r="BR35" i="46"/>
  <c r="BS35" i="46"/>
  <c r="BO36" i="46"/>
  <c r="BQ36" i="46"/>
  <c r="BR36" i="46"/>
  <c r="BS36" i="46"/>
  <c r="BO37" i="46"/>
  <c r="BQ37" i="46"/>
  <c r="N38" i="46"/>
  <c r="O38" i="46"/>
  <c r="P38" i="46"/>
  <c r="Q38" i="46"/>
  <c r="Q32" i="46" s="1"/>
  <c r="R38" i="46"/>
  <c r="S38" i="46"/>
  <c r="T38" i="46"/>
  <c r="U38" i="46"/>
  <c r="V38" i="46"/>
  <c r="W38" i="46"/>
  <c r="X38" i="46"/>
  <c r="Y38" i="46"/>
  <c r="Z38" i="46"/>
  <c r="AA38" i="46"/>
  <c r="AB38" i="46"/>
  <c r="AC38" i="46"/>
  <c r="AC32" i="46" s="1"/>
  <c r="AD38" i="46"/>
  <c r="AE38" i="46"/>
  <c r="AF38" i="46"/>
  <c r="AG38" i="46"/>
  <c r="AH38" i="46"/>
  <c r="AI38" i="46"/>
  <c r="AJ38" i="46"/>
  <c r="AK38" i="46"/>
  <c r="BO39" i="46"/>
  <c r="BQ39" i="46"/>
  <c r="BR39" i="46"/>
  <c r="BS39" i="46"/>
  <c r="BQ40" i="46"/>
  <c r="BR40" i="46"/>
  <c r="BS40" i="46"/>
  <c r="BO41" i="46"/>
  <c r="BQ41" i="46"/>
  <c r="BR41" i="46"/>
  <c r="BS41" i="46"/>
  <c r="BO42" i="46"/>
  <c r="BQ42" i="46"/>
  <c r="BR42" i="46"/>
  <c r="BS42" i="46"/>
  <c r="BO43" i="46"/>
  <c r="BQ43" i="46"/>
  <c r="BR43" i="46"/>
  <c r="BR44" i="46"/>
  <c r="N45" i="46"/>
  <c r="O45" i="46"/>
  <c r="P45" i="46"/>
  <c r="Q45" i="46"/>
  <c r="R45" i="46"/>
  <c r="S45" i="46"/>
  <c r="U45" i="46"/>
  <c r="W45" i="46"/>
  <c r="X45" i="46"/>
  <c r="X57" i="46" s="1"/>
  <c r="X55" i="46" s="1"/>
  <c r="Y45" i="46"/>
  <c r="Z45" i="46"/>
  <c r="AA45" i="46"/>
  <c r="AB45" i="46"/>
  <c r="AC45" i="46"/>
  <c r="AD45" i="46"/>
  <c r="AE45" i="46"/>
  <c r="AF45" i="46"/>
  <c r="AG45" i="46"/>
  <c r="AG57" i="46" s="1"/>
  <c r="AH45" i="46"/>
  <c r="AI45" i="46"/>
  <c r="AJ45" i="46"/>
  <c r="AJ57" i="46" s="1"/>
  <c r="T46" i="46"/>
  <c r="V46" i="46"/>
  <c r="AK46" i="46"/>
  <c r="BQ46" i="46"/>
  <c r="BO46" i="46"/>
  <c r="BQ47" i="46"/>
  <c r="BR47" i="46"/>
  <c r="BS47" i="46"/>
  <c r="N48" i="46"/>
  <c r="O48" i="46"/>
  <c r="P48" i="46"/>
  <c r="Q48" i="46"/>
  <c r="R48" i="46"/>
  <c r="S48" i="46"/>
  <c r="T48" i="46"/>
  <c r="U48" i="46"/>
  <c r="V48" i="46"/>
  <c r="W48" i="46"/>
  <c r="X48" i="46"/>
  <c r="Y48" i="46"/>
  <c r="AD48" i="46"/>
  <c r="BO48" i="46"/>
  <c r="AK49" i="46"/>
  <c r="BQ49" i="46"/>
  <c r="BO49" i="46"/>
  <c r="BS51" i="46"/>
  <c r="BQ50" i="46"/>
  <c r="Z51" i="46"/>
  <c r="Z48" i="46" s="1"/>
  <c r="AA51" i="46"/>
  <c r="AA48" i="46" s="1"/>
  <c r="AB51" i="46"/>
  <c r="AB48" i="46" s="1"/>
  <c r="AC51" i="46"/>
  <c r="AC48" i="46" s="1"/>
  <c r="AC69" i="46" s="1"/>
  <c r="AE51" i="46"/>
  <c r="AF51" i="46"/>
  <c r="AF48" i="46" s="1"/>
  <c r="AG51" i="46"/>
  <c r="AG48" i="46" s="1"/>
  <c r="AG69" i="46" s="1"/>
  <c r="AH51" i="46"/>
  <c r="AH48" i="46" s="1"/>
  <c r="AI51" i="46"/>
  <c r="AI48" i="46"/>
  <c r="AJ51" i="46"/>
  <c r="AJ48" i="46" s="1"/>
  <c r="AK51" i="46"/>
  <c r="BO51" i="46"/>
  <c r="BR51" i="46"/>
  <c r="N52" i="46"/>
  <c r="N57" i="46" s="1"/>
  <c r="N55" i="46" s="1"/>
  <c r="O52" i="46"/>
  <c r="O57" i="46" s="1"/>
  <c r="O55" i="46" s="1"/>
  <c r="P52" i="46"/>
  <c r="P57" i="46" s="1"/>
  <c r="P55" i="46" s="1"/>
  <c r="Q52" i="46"/>
  <c r="R52" i="46"/>
  <c r="S52" i="46"/>
  <c r="T52" i="46"/>
  <c r="U52" i="46"/>
  <c r="V52" i="46"/>
  <c r="W52" i="46"/>
  <c r="X52" i="46"/>
  <c r="Y52" i="46"/>
  <c r="Y57" i="46" s="1"/>
  <c r="Y55" i="46" s="1"/>
  <c r="Z52" i="46"/>
  <c r="AA52" i="46"/>
  <c r="AB52" i="46"/>
  <c r="AC52" i="46"/>
  <c r="AD52" i="46"/>
  <c r="AE52" i="46"/>
  <c r="AE57" i="46" s="1"/>
  <c r="AF52" i="46"/>
  <c r="AG52" i="46"/>
  <c r="AH52" i="46"/>
  <c r="AI52" i="46"/>
  <c r="AJ52" i="46"/>
  <c r="AK52" i="46"/>
  <c r="AK107" i="50"/>
  <c r="AD107" i="50"/>
  <c r="AG107" i="50"/>
  <c r="BQ53" i="46"/>
  <c r="BR53" i="46"/>
  <c r="AB108" i="50"/>
  <c r="AE108" i="50"/>
  <c r="BQ54" i="46"/>
  <c r="BR54" i="46"/>
  <c r="BQ55" i="46"/>
  <c r="Q57" i="46"/>
  <c r="Q55" i="46"/>
  <c r="R57" i="46"/>
  <c r="R55" i="46" s="1"/>
  <c r="W57" i="46"/>
  <c r="W55" i="46" s="1"/>
  <c r="BQ58" i="46"/>
  <c r="B62" i="46"/>
  <c r="C62" i="46"/>
  <c r="D62" i="46"/>
  <c r="E62" i="46"/>
  <c r="F62" i="46"/>
  <c r="G62" i="46"/>
  <c r="H62" i="46"/>
  <c r="I62" i="46"/>
  <c r="J62" i="46"/>
  <c r="K62" i="46"/>
  <c r="L62" i="46"/>
  <c r="N63" i="46"/>
  <c r="O63" i="46"/>
  <c r="P63" i="46"/>
  <c r="P65" i="46" s="1"/>
  <c r="Q63" i="46"/>
  <c r="Q65" i="46" s="1"/>
  <c r="R63" i="46"/>
  <c r="R65" i="46" s="1"/>
  <c r="S63" i="46"/>
  <c r="T63" i="46"/>
  <c r="T65" i="46" s="1"/>
  <c r="U63" i="46"/>
  <c r="U65" i="46" s="1"/>
  <c r="V63" i="46"/>
  <c r="W63" i="46"/>
  <c r="W65" i="46" s="1"/>
  <c r="X63" i="46"/>
  <c r="Y63" i="46"/>
  <c r="Y65" i="46"/>
  <c r="BQ64" i="46"/>
  <c r="N65" i="46"/>
  <c r="O65" i="46"/>
  <c r="S65" i="46"/>
  <c r="V65" i="46"/>
  <c r="X65" i="46"/>
  <c r="N66" i="46"/>
  <c r="O66" i="46"/>
  <c r="P66" i="46"/>
  <c r="Q66" i="46"/>
  <c r="R66" i="46"/>
  <c r="S66" i="46"/>
  <c r="T66" i="46"/>
  <c r="U66" i="46"/>
  <c r="V66" i="46"/>
  <c r="W66" i="46"/>
  <c r="X66" i="46"/>
  <c r="Y66" i="46"/>
  <c r="N71" i="46"/>
  <c r="AK71" i="46"/>
  <c r="BQ71" i="46" s="1"/>
  <c r="BR72" i="46"/>
  <c r="BR73" i="46"/>
  <c r="BR74" i="46"/>
  <c r="BR75" i="46"/>
  <c r="Z79" i="46"/>
  <c r="AA79" i="46"/>
  <c r="AB79" i="46"/>
  <c r="AC79" i="46"/>
  <c r="AD79" i="46"/>
  <c r="AE79" i="46"/>
  <c r="AF79" i="46"/>
  <c r="AG79" i="46"/>
  <c r="AH79" i="46"/>
  <c r="AI79" i="46"/>
  <c r="AJ79" i="46"/>
  <c r="Z81" i="46"/>
  <c r="AA81" i="46"/>
  <c r="AB81" i="46"/>
  <c r="AC81" i="46"/>
  <c r="AD81" i="46"/>
  <c r="AE81" i="46"/>
  <c r="AF81" i="46"/>
  <c r="AG81" i="46"/>
  <c r="AH81" i="46"/>
  <c r="AI81" i="46"/>
  <c r="AJ81" i="46"/>
  <c r="AK81" i="46"/>
  <c r="BQ82" i="46"/>
  <c r="BR82" i="46"/>
  <c r="V83" i="46"/>
  <c r="W83" i="46"/>
  <c r="AA83" i="46"/>
  <c r="AB83" i="46"/>
  <c r="AC83" i="46"/>
  <c r="AJ83" i="46"/>
  <c r="AJ86" i="46" s="1"/>
  <c r="D8" i="48"/>
  <c r="M8" i="48"/>
  <c r="Z84" i="46"/>
  <c r="AB84" i="46"/>
  <c r="AD84" i="46"/>
  <c r="AG84" i="46"/>
  <c r="AI84" i="46"/>
  <c r="C9" i="48"/>
  <c r="AA86" i="46"/>
  <c r="AB86" i="46"/>
  <c r="AC86" i="46"/>
  <c r="AD86" i="46"/>
  <c r="AE86" i="46"/>
  <c r="AF86" i="46"/>
  <c r="AG86" i="46"/>
  <c r="AH86" i="46"/>
  <c r="AI86" i="46"/>
  <c r="AK86" i="46"/>
  <c r="O89" i="46"/>
  <c r="P89" i="46"/>
  <c r="Q89" i="46"/>
  <c r="R89" i="46"/>
  <c r="S89" i="46"/>
  <c r="T89" i="46"/>
  <c r="U89" i="46"/>
  <c r="V89" i="46"/>
  <c r="W89" i="46"/>
  <c r="R90" i="46"/>
  <c r="S90" i="46"/>
  <c r="T90" i="46"/>
  <c r="U90" i="46"/>
  <c r="V90" i="46"/>
  <c r="W90" i="46"/>
  <c r="X90" i="46"/>
  <c r="Y90" i="46"/>
  <c r="Z93" i="46"/>
  <c r="AA93" i="46"/>
  <c r="AB93" i="46"/>
  <c r="AC93" i="46"/>
  <c r="AD93" i="46"/>
  <c r="AE93" i="46"/>
  <c r="AF93" i="46"/>
  <c r="AG93" i="46"/>
  <c r="AH93" i="46"/>
  <c r="AI93" i="46"/>
  <c r="AJ93" i="46"/>
  <c r="AK93" i="46"/>
  <c r="A4" i="43"/>
  <c r="A5" i="43"/>
  <c r="B7" i="43"/>
  <c r="C7" i="43"/>
  <c r="D7" i="43"/>
  <c r="E7" i="43"/>
  <c r="F7" i="43"/>
  <c r="G7" i="43"/>
  <c r="H7" i="43"/>
  <c r="I7" i="43"/>
  <c r="B8" i="43"/>
  <c r="C8" i="43"/>
  <c r="D8" i="43"/>
  <c r="E8" i="43"/>
  <c r="F8" i="43"/>
  <c r="G8" i="43"/>
  <c r="H8" i="43"/>
  <c r="I8" i="43"/>
  <c r="J12" i="43"/>
  <c r="B17" i="43"/>
  <c r="C17" i="43"/>
  <c r="D17" i="43"/>
  <c r="E17" i="43"/>
  <c r="F17" i="43"/>
  <c r="G17" i="43"/>
  <c r="H17" i="43"/>
  <c r="I17" i="43"/>
  <c r="J17" i="43"/>
  <c r="K17" i="43"/>
  <c r="L17" i="43"/>
  <c r="M17" i="43"/>
  <c r="N17" i="43"/>
  <c r="O17" i="43"/>
  <c r="P17" i="43"/>
  <c r="Q17" i="43"/>
  <c r="R17" i="43"/>
  <c r="S17" i="43"/>
  <c r="T17" i="43"/>
  <c r="U17" i="43"/>
  <c r="V17" i="43"/>
  <c r="W17" i="43"/>
  <c r="X17" i="43"/>
  <c r="Y17" i="43"/>
  <c r="CC4" i="45"/>
  <c r="N6" i="45"/>
  <c r="O6" i="45"/>
  <c r="P6" i="45"/>
  <c r="Q6" i="45"/>
  <c r="R6" i="45"/>
  <c r="S6" i="45"/>
  <c r="S5" i="45" s="1"/>
  <c r="T6" i="45"/>
  <c r="U6" i="45"/>
  <c r="V6" i="45"/>
  <c r="W6" i="45"/>
  <c r="X6" i="45"/>
  <c r="X5" i="45" s="1"/>
  <c r="Y6" i="45"/>
  <c r="Z6" i="45"/>
  <c r="AA6" i="45"/>
  <c r="AA5" i="45" s="1"/>
  <c r="AB6" i="45"/>
  <c r="AC6" i="45"/>
  <c r="AD6" i="45"/>
  <c r="AE6" i="45"/>
  <c r="AF6" i="45"/>
  <c r="AG6" i="45"/>
  <c r="AH6" i="45"/>
  <c r="AI6" i="45"/>
  <c r="AI5" i="45" s="1"/>
  <c r="AJ6" i="45"/>
  <c r="AK6" i="45"/>
  <c r="CC6" i="45"/>
  <c r="CB7" i="45"/>
  <c r="CC7" i="45"/>
  <c r="CB8" i="45"/>
  <c r="CC8" i="45"/>
  <c r="N9" i="45"/>
  <c r="N5" i="45" s="1"/>
  <c r="O9" i="45"/>
  <c r="P9" i="45"/>
  <c r="Q9" i="45"/>
  <c r="R9" i="45"/>
  <c r="S9" i="45"/>
  <c r="T9" i="45"/>
  <c r="U9" i="45"/>
  <c r="V9" i="45"/>
  <c r="W9" i="45"/>
  <c r="X9" i="45"/>
  <c r="Y9" i="45"/>
  <c r="Z9" i="45"/>
  <c r="AA9" i="45"/>
  <c r="AB9" i="45"/>
  <c r="AC9" i="45"/>
  <c r="AD9" i="45"/>
  <c r="AE9" i="45"/>
  <c r="AF9" i="45"/>
  <c r="AG9" i="45"/>
  <c r="AH9" i="45"/>
  <c r="AI9" i="45"/>
  <c r="AJ9" i="45"/>
  <c r="AK9" i="45"/>
  <c r="CC9" i="45"/>
  <c r="CB10" i="45"/>
  <c r="CC10" i="45"/>
  <c r="CB11" i="45"/>
  <c r="CC11" i="45"/>
  <c r="CC12" i="45"/>
  <c r="CB13" i="45"/>
  <c r="CC13" i="45"/>
  <c r="N14" i="45"/>
  <c r="N12" i="45" s="1"/>
  <c r="O14" i="45"/>
  <c r="O12" i="45" s="1"/>
  <c r="P14" i="45"/>
  <c r="P12" i="45" s="1"/>
  <c r="Q14" i="45"/>
  <c r="Q12" i="45" s="1"/>
  <c r="R14" i="45"/>
  <c r="R12" i="45" s="1"/>
  <c r="S14" i="45"/>
  <c r="S12" i="45" s="1"/>
  <c r="T14" i="45"/>
  <c r="T12" i="45" s="1"/>
  <c r="U14" i="45"/>
  <c r="U12" i="45" s="1"/>
  <c r="V14" i="45"/>
  <c r="V12" i="45" s="1"/>
  <c r="W14" i="45"/>
  <c r="W12" i="45" s="1"/>
  <c r="X14" i="45"/>
  <c r="X12" i="45" s="1"/>
  <c r="Y14" i="45"/>
  <c r="Y12" i="45"/>
  <c r="Z14" i="45"/>
  <c r="Z12" i="45" s="1"/>
  <c r="AA14" i="45"/>
  <c r="AB14" i="45"/>
  <c r="AB12" i="45" s="1"/>
  <c r="AC14" i="45"/>
  <c r="AC12" i="45" s="1"/>
  <c r="AD14" i="45"/>
  <c r="AD12" i="45" s="1"/>
  <c r="AE14" i="45"/>
  <c r="AE12" i="45" s="1"/>
  <c r="AF14" i="45"/>
  <c r="AF12" i="45" s="1"/>
  <c r="AG14" i="45"/>
  <c r="AG12" i="45" s="1"/>
  <c r="AH14" i="45"/>
  <c r="AH12" i="45" s="1"/>
  <c r="AI14" i="45"/>
  <c r="AI12" i="45" s="1"/>
  <c r="AJ14" i="45"/>
  <c r="AJ12" i="45" s="1"/>
  <c r="AK14" i="45"/>
  <c r="AK12" i="45" s="1"/>
  <c r="CC14" i="45"/>
  <c r="CB15" i="45"/>
  <c r="CC15" i="45"/>
  <c r="CB16" i="45"/>
  <c r="CC16" i="45"/>
  <c r="N17" i="45"/>
  <c r="O17" i="45"/>
  <c r="P17" i="45"/>
  <c r="Q17" i="45"/>
  <c r="R17" i="45"/>
  <c r="S17" i="45"/>
  <c r="T17" i="45"/>
  <c r="U17" i="45"/>
  <c r="V17" i="45"/>
  <c r="W17" i="45"/>
  <c r="X17" i="45"/>
  <c r="Y17" i="45"/>
  <c r="Z17" i="45"/>
  <c r="AA17" i="45"/>
  <c r="AB17" i="45"/>
  <c r="AC17" i="45"/>
  <c r="AD17" i="45"/>
  <c r="AE17" i="45"/>
  <c r="AF17" i="45"/>
  <c r="AG17" i="45"/>
  <c r="AH17" i="45"/>
  <c r="AI17" i="45"/>
  <c r="AJ17" i="45"/>
  <c r="AK17" i="45"/>
  <c r="CC17" i="45"/>
  <c r="CB18" i="45"/>
  <c r="CC18" i="45"/>
  <c r="CB19" i="45"/>
  <c r="CC19" i="45"/>
  <c r="CB20" i="45"/>
  <c r="CC20" i="45"/>
  <c r="M22" i="45"/>
  <c r="CC22" i="45" s="1"/>
  <c r="B23" i="45"/>
  <c r="C23" i="45"/>
  <c r="D23" i="45"/>
  <c r="E23" i="45"/>
  <c r="F23" i="45"/>
  <c r="G23" i="45"/>
  <c r="H23" i="45"/>
  <c r="I23" i="45"/>
  <c r="J23" i="45"/>
  <c r="K23" i="45"/>
  <c r="L23" i="45"/>
  <c r="M23" i="45"/>
  <c r="CB24" i="45"/>
  <c r="CC24" i="45"/>
  <c r="CC25" i="45"/>
  <c r="N29" i="45"/>
  <c r="N27" i="45" s="1"/>
  <c r="N25" i="45" s="1"/>
  <c r="O29" i="45"/>
  <c r="P29" i="45"/>
  <c r="P27" i="45" s="1"/>
  <c r="P25" i="45" s="1"/>
  <c r="Q29" i="45"/>
  <c r="Q27" i="45" s="1"/>
  <c r="Q25" i="45" s="1"/>
  <c r="R29" i="45"/>
  <c r="R27" i="45" s="1"/>
  <c r="R25" i="45" s="1"/>
  <c r="S29" i="45"/>
  <c r="S27" i="45" s="1"/>
  <c r="S25" i="45" s="1"/>
  <c r="T29" i="45"/>
  <c r="T27" i="45" s="1"/>
  <c r="T25" i="45" s="1"/>
  <c r="U29" i="45"/>
  <c r="U27" i="45" s="1"/>
  <c r="U25" i="45" s="1"/>
  <c r="V29" i="45"/>
  <c r="V27" i="45" s="1"/>
  <c r="V25" i="45" s="1"/>
  <c r="W29" i="45"/>
  <c r="W27" i="45" s="1"/>
  <c r="W25" i="45" s="1"/>
  <c r="X29" i="45"/>
  <c r="X27" i="45" s="1"/>
  <c r="X25" i="45" s="1"/>
  <c r="Y29" i="45"/>
  <c r="Y27" i="45" s="1"/>
  <c r="Y25" i="45" s="1"/>
  <c r="Z29" i="45"/>
  <c r="Z27" i="45" s="1"/>
  <c r="Z25" i="45" s="1"/>
  <c r="AA29" i="45"/>
  <c r="AB29" i="45"/>
  <c r="AB27" i="45" s="1"/>
  <c r="AB25" i="45" s="1"/>
  <c r="AC29" i="45"/>
  <c r="AC27" i="45" s="1"/>
  <c r="AC25" i="45" s="1"/>
  <c r="AD29" i="45"/>
  <c r="AD27" i="45" s="1"/>
  <c r="AD25" i="45" s="1"/>
  <c r="AE29" i="45"/>
  <c r="AE27" i="45" s="1"/>
  <c r="AE25" i="45" s="1"/>
  <c r="AF29" i="45"/>
  <c r="AF27" i="45" s="1"/>
  <c r="AF25" i="45" s="1"/>
  <c r="AG29" i="45"/>
  <c r="AG27" i="45" s="1"/>
  <c r="AG25" i="45" s="1"/>
  <c r="AH29" i="45"/>
  <c r="AH27" i="45" s="1"/>
  <c r="AH25" i="45" s="1"/>
  <c r="AI29" i="45"/>
  <c r="AI27" i="45"/>
  <c r="AI25" i="45" s="1"/>
  <c r="AJ29" i="45"/>
  <c r="AJ27" i="45" s="1"/>
  <c r="AJ25" i="45" s="1"/>
  <c r="AK29" i="45"/>
  <c r="AK27" i="45" s="1"/>
  <c r="AK25" i="45" s="1"/>
  <c r="CC29" i="45"/>
  <c r="CB30" i="45"/>
  <c r="CC30" i="45"/>
  <c r="CB31" i="45"/>
  <c r="CC31" i="45"/>
  <c r="CC32" i="45"/>
  <c r="N33" i="45"/>
  <c r="O33" i="45"/>
  <c r="P33" i="45"/>
  <c r="Q33" i="45"/>
  <c r="R33" i="45"/>
  <c r="S33" i="45"/>
  <c r="T33" i="45"/>
  <c r="U33" i="45"/>
  <c r="V33" i="45"/>
  <c r="W33" i="45"/>
  <c r="X33" i="45"/>
  <c r="Y33" i="45"/>
  <c r="Z33" i="45"/>
  <c r="AA33" i="45"/>
  <c r="AB33" i="45"/>
  <c r="AC33" i="45"/>
  <c r="AD33" i="45"/>
  <c r="AE33" i="45"/>
  <c r="AF33" i="45"/>
  <c r="AG33" i="45"/>
  <c r="AH33" i="45"/>
  <c r="AI33" i="45"/>
  <c r="AJ33" i="45"/>
  <c r="AK33" i="45"/>
  <c r="CC33" i="45"/>
  <c r="CB34" i="45"/>
  <c r="CC34" i="45"/>
  <c r="CB35" i="45"/>
  <c r="CC35" i="45"/>
  <c r="CB36" i="45"/>
  <c r="CC36" i="45"/>
  <c r="N38" i="45"/>
  <c r="O38" i="45"/>
  <c r="P38" i="45"/>
  <c r="Q38" i="45"/>
  <c r="R38" i="45"/>
  <c r="S38" i="45"/>
  <c r="T38" i="45"/>
  <c r="U38" i="45"/>
  <c r="V38" i="45"/>
  <c r="W38" i="45"/>
  <c r="X38" i="45"/>
  <c r="Y38" i="45"/>
  <c r="Z38" i="45"/>
  <c r="AA38" i="45"/>
  <c r="AB38" i="45"/>
  <c r="AC38" i="45"/>
  <c r="AD38" i="45"/>
  <c r="AE38" i="45"/>
  <c r="AF38" i="45"/>
  <c r="AG38" i="45"/>
  <c r="AH38" i="45"/>
  <c r="AI38" i="45"/>
  <c r="AI32" i="45" s="1"/>
  <c r="AI23" i="45" s="1"/>
  <c r="AJ38" i="45"/>
  <c r="AK38" i="45"/>
  <c r="CB39" i="45"/>
  <c r="CC39" i="45"/>
  <c r="CB40" i="45"/>
  <c r="CC40" i="45"/>
  <c r="CB41" i="45"/>
  <c r="CC41" i="45"/>
  <c r="CB42" i="45"/>
  <c r="CC42" i="45"/>
  <c r="CB43" i="45"/>
  <c r="CB44" i="45"/>
  <c r="N45" i="45"/>
  <c r="O45" i="45"/>
  <c r="P45" i="45"/>
  <c r="Q45" i="45"/>
  <c r="R45" i="45"/>
  <c r="S45" i="45"/>
  <c r="U45" i="45"/>
  <c r="W45" i="45"/>
  <c r="X45" i="45"/>
  <c r="Y45" i="45"/>
  <c r="Z45" i="45"/>
  <c r="B99" i="50" s="1"/>
  <c r="AA45" i="45"/>
  <c r="C99" i="50" s="1"/>
  <c r="AB45" i="45"/>
  <c r="D99" i="50" s="1"/>
  <c r="AC45" i="45"/>
  <c r="AD45" i="45"/>
  <c r="AE45" i="45"/>
  <c r="AF45" i="45"/>
  <c r="H99" i="50" s="1"/>
  <c r="AG45" i="45"/>
  <c r="I99" i="50" s="1"/>
  <c r="AH45" i="45"/>
  <c r="AI45" i="45"/>
  <c r="K99" i="50" s="1"/>
  <c r="AJ45" i="45"/>
  <c r="Q99" i="50"/>
  <c r="S99" i="50"/>
  <c r="T46" i="45"/>
  <c r="V46" i="45"/>
  <c r="V45" i="45" s="1"/>
  <c r="AK46" i="45"/>
  <c r="CB47" i="45"/>
  <c r="CC47" i="45"/>
  <c r="N48" i="45"/>
  <c r="O48" i="45"/>
  <c r="P48" i="45"/>
  <c r="Q48" i="45"/>
  <c r="R48" i="45"/>
  <c r="S48" i="45"/>
  <c r="T48" i="45"/>
  <c r="U48" i="45"/>
  <c r="V48" i="45"/>
  <c r="W48" i="45"/>
  <c r="X48" i="45"/>
  <c r="Y48" i="45"/>
  <c r="AD48" i="45"/>
  <c r="F102" i="32" s="1"/>
  <c r="R102" i="50"/>
  <c r="S102" i="50"/>
  <c r="U112" i="50"/>
  <c r="AK49" i="45"/>
  <c r="Z51" i="45"/>
  <c r="Z48" i="45" s="1"/>
  <c r="AA51" i="45"/>
  <c r="AA48" i="45" s="1"/>
  <c r="AB51" i="45"/>
  <c r="AB48" i="45" s="1"/>
  <c r="D102" i="50" s="1"/>
  <c r="AC51" i="45"/>
  <c r="AE51" i="45"/>
  <c r="AE48" i="45" s="1"/>
  <c r="G102" i="50" s="1"/>
  <c r="AF51" i="45"/>
  <c r="AG51" i="45"/>
  <c r="AG48" i="45" s="1"/>
  <c r="I102" i="50" s="1"/>
  <c r="AH51" i="45"/>
  <c r="AI51" i="45"/>
  <c r="AI48" i="45" s="1"/>
  <c r="AJ51" i="45"/>
  <c r="AJ48" i="45" s="1"/>
  <c r="L102" i="50" s="1"/>
  <c r="AK51" i="45"/>
  <c r="M105" i="50" s="1"/>
  <c r="CB51" i="45"/>
  <c r="N52" i="45"/>
  <c r="O52" i="45"/>
  <c r="P52" i="45"/>
  <c r="Q52" i="45"/>
  <c r="R52" i="45"/>
  <c r="S52" i="45"/>
  <c r="T52" i="45"/>
  <c r="U52" i="45"/>
  <c r="V52" i="45"/>
  <c r="W52" i="45"/>
  <c r="X52" i="45"/>
  <c r="Y52" i="45"/>
  <c r="Z52" i="45"/>
  <c r="B106" i="50" s="1"/>
  <c r="AA52" i="45"/>
  <c r="AB52" i="45"/>
  <c r="AB57" i="45" s="1"/>
  <c r="AC52" i="45"/>
  <c r="E106" i="50" s="1"/>
  <c r="AD52" i="45"/>
  <c r="F106" i="32" s="1"/>
  <c r="AE52" i="45"/>
  <c r="G106" i="50" s="1"/>
  <c r="AF52" i="45"/>
  <c r="H106" i="50" s="1"/>
  <c r="AG52" i="45"/>
  <c r="I106" i="50" s="1"/>
  <c r="AH52" i="45"/>
  <c r="AI52" i="45"/>
  <c r="AJ52" i="45"/>
  <c r="L106" i="50" s="1"/>
  <c r="AK52" i="45"/>
  <c r="M106" i="50" s="1"/>
  <c r="CB53" i="45"/>
  <c r="Z108" i="50"/>
  <c r="CB54" i="45"/>
  <c r="AD109" i="32"/>
  <c r="AH109" i="32"/>
  <c r="B62" i="45"/>
  <c r="C62" i="45"/>
  <c r="D62" i="45"/>
  <c r="E62" i="45"/>
  <c r="F62" i="45"/>
  <c r="G62" i="45"/>
  <c r="H62" i="45"/>
  <c r="I62" i="45"/>
  <c r="J62" i="45"/>
  <c r="K62" i="45"/>
  <c r="L62" i="45"/>
  <c r="N63" i="45"/>
  <c r="N65" i="45" s="1"/>
  <c r="O63" i="45"/>
  <c r="O65" i="45" s="1"/>
  <c r="P63" i="45"/>
  <c r="P65" i="45" s="1"/>
  <c r="Q63" i="45"/>
  <c r="Q65" i="45" s="1"/>
  <c r="R63" i="45"/>
  <c r="S63" i="45"/>
  <c r="S65" i="45" s="1"/>
  <c r="T63" i="45"/>
  <c r="T65" i="45" s="1"/>
  <c r="U63" i="45"/>
  <c r="U65" i="45" s="1"/>
  <c r="V63" i="45"/>
  <c r="V65" i="45" s="1"/>
  <c r="W63" i="45"/>
  <c r="W65" i="45" s="1"/>
  <c r="X63" i="45"/>
  <c r="X65" i="45" s="1"/>
  <c r="Y63" i="45"/>
  <c r="Y65" i="45" s="1"/>
  <c r="R65" i="45"/>
  <c r="N66" i="45"/>
  <c r="O66" i="45"/>
  <c r="P66" i="45"/>
  <c r="Q66" i="45"/>
  <c r="R66" i="45"/>
  <c r="S66" i="45"/>
  <c r="T66" i="45"/>
  <c r="U66" i="45"/>
  <c r="V66" i="45"/>
  <c r="W66" i="45"/>
  <c r="X66" i="45"/>
  <c r="Y66" i="45"/>
  <c r="N71" i="45"/>
  <c r="AK71" i="45"/>
  <c r="M122" i="50" s="1"/>
  <c r="CB72" i="45"/>
  <c r="CB73" i="45"/>
  <c r="CB74" i="45"/>
  <c r="CB75" i="45"/>
  <c r="Z79" i="45"/>
  <c r="B120" i="50" s="1"/>
  <c r="B121" i="50" s="1"/>
  <c r="AA79" i="45"/>
  <c r="C120" i="50" s="1"/>
  <c r="AB79" i="45"/>
  <c r="AC79" i="45"/>
  <c r="E120" i="50" s="1"/>
  <c r="AD79" i="45"/>
  <c r="AE79" i="45"/>
  <c r="G120" i="50" s="1"/>
  <c r="AF79" i="45"/>
  <c r="H120" i="50" s="1"/>
  <c r="AG79" i="45"/>
  <c r="I120" i="50" s="1"/>
  <c r="AH79" i="45"/>
  <c r="J120" i="50" s="1"/>
  <c r="AI79" i="45"/>
  <c r="K120" i="50" s="1"/>
  <c r="AJ79" i="45"/>
  <c r="L120" i="50" s="1"/>
  <c r="Z81" i="45"/>
  <c r="AA81" i="45"/>
  <c r="AB81" i="45"/>
  <c r="AC81" i="45"/>
  <c r="AD81" i="45"/>
  <c r="AE81" i="45"/>
  <c r="AF81" i="45"/>
  <c r="AG81" i="45"/>
  <c r="AH81" i="45"/>
  <c r="AI81" i="45"/>
  <c r="AJ81" i="45"/>
  <c r="AK81" i="45"/>
  <c r="CB82" i="45"/>
  <c r="V83" i="45"/>
  <c r="W83" i="45"/>
  <c r="AA83" i="45"/>
  <c r="AB83" i="45"/>
  <c r="AC83" i="45"/>
  <c r="AJ83" i="45"/>
  <c r="M3" i="48"/>
  <c r="Z84" i="45"/>
  <c r="AB84" i="45"/>
  <c r="AD84" i="45"/>
  <c r="AG84" i="45"/>
  <c r="AI84" i="45"/>
  <c r="AA86" i="45"/>
  <c r="AB86" i="45"/>
  <c r="AC86" i="45"/>
  <c r="AD86" i="45"/>
  <c r="AE86" i="45"/>
  <c r="AF86" i="45"/>
  <c r="AG86" i="45"/>
  <c r="AH86" i="45"/>
  <c r="AI86" i="45"/>
  <c r="AJ86" i="45"/>
  <c r="AK86" i="45"/>
  <c r="O89" i="45"/>
  <c r="P89" i="45"/>
  <c r="Q89" i="45"/>
  <c r="R89" i="45"/>
  <c r="S89" i="45"/>
  <c r="T89" i="45"/>
  <c r="U89" i="45"/>
  <c r="V89" i="45"/>
  <c r="W89" i="45"/>
  <c r="AJ88" i="45" s="1"/>
  <c r="R90" i="45"/>
  <c r="S90" i="45"/>
  <c r="T90" i="45"/>
  <c r="U90" i="45"/>
  <c r="V90" i="45"/>
  <c r="W90" i="45"/>
  <c r="X90" i="45"/>
  <c r="Y90" i="45"/>
  <c r="Z93" i="45"/>
  <c r="B91" i="50" s="1"/>
  <c r="AA93" i="45"/>
  <c r="C91" i="50" s="1"/>
  <c r="AB93" i="45"/>
  <c r="D91" i="32" s="1"/>
  <c r="AC93" i="45"/>
  <c r="E91" i="32" s="1"/>
  <c r="AD93" i="45"/>
  <c r="F91" i="50" s="1"/>
  <c r="AE93" i="45"/>
  <c r="G91" i="50" s="1"/>
  <c r="AF93" i="45"/>
  <c r="H91" i="50" s="1"/>
  <c r="AG93" i="45"/>
  <c r="I91" i="50" s="1"/>
  <c r="AH93" i="45"/>
  <c r="J91" i="32" s="1"/>
  <c r="AI93" i="45"/>
  <c r="K91" i="50" s="1"/>
  <c r="AJ93" i="45"/>
  <c r="L91" i="50" s="1"/>
  <c r="S91" i="50"/>
  <c r="U91" i="50"/>
  <c r="D3" i="42"/>
  <c r="E3" i="42"/>
  <c r="D4" i="42"/>
  <c r="E4" i="42"/>
  <c r="D5" i="42"/>
  <c r="D6" i="42"/>
  <c r="E6" i="42"/>
  <c r="F6" i="42"/>
  <c r="G6" i="42"/>
  <c r="D7" i="42"/>
  <c r="E7" i="42"/>
  <c r="H7" i="42"/>
  <c r="I7" i="42"/>
  <c r="D8" i="42"/>
  <c r="E8" i="42"/>
  <c r="H8" i="42"/>
  <c r="I8" i="42"/>
  <c r="D9" i="42"/>
  <c r="E9" i="42"/>
  <c r="D10" i="42"/>
  <c r="E10" i="42"/>
  <c r="D11" i="42"/>
  <c r="E11" i="42"/>
  <c r="D12" i="42"/>
  <c r="E12" i="42"/>
  <c r="D13" i="42"/>
  <c r="E13" i="42"/>
  <c r="D14" i="42"/>
  <c r="E14" i="42"/>
  <c r="D15" i="42"/>
  <c r="E15" i="42"/>
  <c r="D16" i="42"/>
  <c r="E16" i="42"/>
  <c r="D17" i="42"/>
  <c r="E17" i="42"/>
  <c r="D18" i="42"/>
  <c r="E18" i="42"/>
  <c r="D19" i="42"/>
  <c r="E19" i="42"/>
  <c r="D20" i="42"/>
  <c r="D21" i="42"/>
  <c r="E21" i="42"/>
  <c r="D22" i="42"/>
  <c r="D23" i="42"/>
  <c r="E23" i="42"/>
  <c r="D24" i="42"/>
  <c r="E24" i="42"/>
  <c r="D25" i="42"/>
  <c r="D26" i="42"/>
  <c r="D27" i="42"/>
  <c r="D28" i="42"/>
  <c r="D29" i="42"/>
  <c r="D30" i="42"/>
  <c r="D31" i="42"/>
  <c r="E31" i="42"/>
  <c r="D32" i="42"/>
  <c r="E32" i="42"/>
  <c r="D33" i="42"/>
  <c r="E33" i="42"/>
  <c r="D34" i="42"/>
  <c r="E34" i="42"/>
  <c r="D35" i="42"/>
  <c r="E35" i="42"/>
  <c r="D36" i="42"/>
  <c r="D37" i="42"/>
  <c r="D38" i="42"/>
  <c r="D39" i="42"/>
  <c r="D40" i="42"/>
  <c r="D41" i="42"/>
  <c r="E41" i="42"/>
  <c r="D42" i="42"/>
  <c r="D43" i="42"/>
  <c r="D44" i="42"/>
  <c r="E44" i="42"/>
  <c r="D45" i="42"/>
  <c r="E45" i="42"/>
  <c r="D46" i="42"/>
  <c r="D47" i="42"/>
  <c r="D48" i="42"/>
  <c r="T4" i="50" a="1"/>
  <c r="T7" i="50" s="1"/>
  <c r="K7" i="50" s="1"/>
  <c r="V4" i="50" a="1"/>
  <c r="V10" i="50" s="1"/>
  <c r="N10" i="50" s="1"/>
  <c r="W4" i="50" a="1"/>
  <c r="W11" i="50" s="1"/>
  <c r="G11" i="50" s="1"/>
  <c r="Y4" i="50" a="1"/>
  <c r="Y11" i="50" s="1"/>
  <c r="F16" i="50"/>
  <c r="T32" i="50" a="1"/>
  <c r="T36" i="50" s="1"/>
  <c r="K36" i="50" s="1"/>
  <c r="K57" i="50"/>
  <c r="B71" i="50"/>
  <c r="C71" i="50"/>
  <c r="D71" i="50"/>
  <c r="E71" i="50"/>
  <c r="F71" i="50"/>
  <c r="G71" i="50"/>
  <c r="H71" i="50"/>
  <c r="I71" i="50"/>
  <c r="J71" i="50"/>
  <c r="K71" i="50"/>
  <c r="L71" i="50"/>
  <c r="M71" i="50"/>
  <c r="B77" i="50"/>
  <c r="C77" i="50"/>
  <c r="D77" i="50"/>
  <c r="E77" i="50"/>
  <c r="F77" i="50"/>
  <c r="G77" i="50"/>
  <c r="H77" i="50"/>
  <c r="I77" i="50"/>
  <c r="J77" i="50"/>
  <c r="K77" i="50"/>
  <c r="L77" i="50"/>
  <c r="M77" i="50"/>
  <c r="AA87" i="50"/>
  <c r="B88" i="50"/>
  <c r="C88" i="50"/>
  <c r="D88" i="50"/>
  <c r="E88" i="50"/>
  <c r="F88" i="50"/>
  <c r="G88" i="50"/>
  <c r="H88" i="50"/>
  <c r="I88" i="50"/>
  <c r="J88" i="50"/>
  <c r="K88" i="50"/>
  <c r="L88" i="50"/>
  <c r="M88" i="50"/>
  <c r="O88" i="50"/>
  <c r="P88" i="50"/>
  <c r="Q88" i="50"/>
  <c r="R88" i="50"/>
  <c r="S88" i="50"/>
  <c r="T88" i="50"/>
  <c r="V89" i="50"/>
  <c r="O91" i="50"/>
  <c r="P91" i="50"/>
  <c r="Q91" i="50"/>
  <c r="R91" i="50"/>
  <c r="T91" i="50"/>
  <c r="L99" i="50"/>
  <c r="O99" i="50"/>
  <c r="P99" i="50"/>
  <c r="R99" i="50"/>
  <c r="U99" i="50"/>
  <c r="V99" i="50"/>
  <c r="W99" i="50"/>
  <c r="X99" i="50"/>
  <c r="Y99" i="50"/>
  <c r="Z99" i="50"/>
  <c r="AB99" i="50"/>
  <c r="AC99" i="50"/>
  <c r="AD99" i="50"/>
  <c r="AE99" i="50"/>
  <c r="AF99" i="50"/>
  <c r="AG99" i="50"/>
  <c r="AH99" i="50"/>
  <c r="AI99" i="50"/>
  <c r="AJ99" i="50"/>
  <c r="AK99" i="50"/>
  <c r="AL99" i="50"/>
  <c r="AM99" i="50"/>
  <c r="B100" i="50"/>
  <c r="C100" i="50"/>
  <c r="D100" i="50"/>
  <c r="E100" i="50"/>
  <c r="F100" i="50"/>
  <c r="G100" i="50"/>
  <c r="H100" i="50"/>
  <c r="I100" i="50"/>
  <c r="J100" i="50"/>
  <c r="K100" i="50"/>
  <c r="L100" i="50"/>
  <c r="O100" i="50"/>
  <c r="P100" i="50"/>
  <c r="Q100" i="50"/>
  <c r="R100" i="50"/>
  <c r="S100" i="50"/>
  <c r="T100" i="50"/>
  <c r="U100" i="50"/>
  <c r="V100" i="50"/>
  <c r="W100" i="50"/>
  <c r="X100" i="50"/>
  <c r="Y100" i="50"/>
  <c r="Z100" i="50"/>
  <c r="AB100" i="50"/>
  <c r="AC100" i="50"/>
  <c r="AD100" i="50"/>
  <c r="AE100" i="50"/>
  <c r="AF100" i="50"/>
  <c r="AG100" i="50"/>
  <c r="AH100" i="50"/>
  <c r="AI100" i="50"/>
  <c r="AJ100" i="50"/>
  <c r="AK100" i="50"/>
  <c r="AL100" i="50"/>
  <c r="AM100" i="50"/>
  <c r="B101" i="50"/>
  <c r="C101" i="50"/>
  <c r="D101" i="50"/>
  <c r="E101" i="50"/>
  <c r="F101" i="50"/>
  <c r="G101" i="50"/>
  <c r="H101" i="50"/>
  <c r="I101" i="50"/>
  <c r="J101" i="50"/>
  <c r="K101" i="50"/>
  <c r="L101" i="50"/>
  <c r="M101" i="50"/>
  <c r="O101" i="50"/>
  <c r="P101" i="50"/>
  <c r="Q101" i="50"/>
  <c r="R101" i="50"/>
  <c r="S101" i="50"/>
  <c r="T101" i="50"/>
  <c r="U101" i="50"/>
  <c r="V101" i="50"/>
  <c r="W101" i="50"/>
  <c r="X101" i="50"/>
  <c r="Y101" i="50"/>
  <c r="Z101" i="50"/>
  <c r="AB101" i="50"/>
  <c r="AC101" i="50"/>
  <c r="AD101" i="50"/>
  <c r="AE101" i="50"/>
  <c r="AF101" i="50"/>
  <c r="AG101" i="50"/>
  <c r="AH101" i="50"/>
  <c r="AI101" i="50"/>
  <c r="AJ101" i="50"/>
  <c r="AK101" i="50"/>
  <c r="AL101" i="50"/>
  <c r="AM101" i="50"/>
  <c r="O102" i="50"/>
  <c r="Q102" i="50"/>
  <c r="T102" i="50"/>
  <c r="U102" i="50"/>
  <c r="V102" i="50"/>
  <c r="W102" i="50"/>
  <c r="X102" i="50"/>
  <c r="Y102" i="50"/>
  <c r="Z102" i="50"/>
  <c r="AB102" i="50"/>
  <c r="AC102" i="50"/>
  <c r="AD102" i="50"/>
  <c r="AE102" i="50"/>
  <c r="AF102" i="50"/>
  <c r="AG102" i="50"/>
  <c r="AH102" i="50"/>
  <c r="AI102" i="50"/>
  <c r="AJ102" i="50"/>
  <c r="AK102" i="50"/>
  <c r="AL102" i="50"/>
  <c r="AM102" i="50"/>
  <c r="B103" i="50"/>
  <c r="C103" i="50"/>
  <c r="D103" i="50"/>
  <c r="E103" i="50"/>
  <c r="F103" i="50"/>
  <c r="G103" i="50"/>
  <c r="H103" i="50"/>
  <c r="I103" i="50"/>
  <c r="J103" i="50"/>
  <c r="K103" i="50"/>
  <c r="L103" i="50"/>
  <c r="M103" i="50"/>
  <c r="O103" i="50"/>
  <c r="P103" i="50"/>
  <c r="Q103" i="50"/>
  <c r="R103" i="50"/>
  <c r="S103" i="50"/>
  <c r="T103" i="50"/>
  <c r="U103" i="50"/>
  <c r="V103" i="50"/>
  <c r="W103" i="50"/>
  <c r="X103" i="50"/>
  <c r="Y103" i="50"/>
  <c r="Z103" i="50"/>
  <c r="AB103" i="50"/>
  <c r="AC103" i="50"/>
  <c r="AD103" i="50"/>
  <c r="AE103" i="50"/>
  <c r="AF103" i="50"/>
  <c r="AG103" i="50"/>
  <c r="AH103" i="50"/>
  <c r="AI103" i="50"/>
  <c r="AJ103" i="50"/>
  <c r="AK103" i="50"/>
  <c r="AL103" i="50"/>
  <c r="AM103" i="50"/>
  <c r="B104" i="50"/>
  <c r="C104" i="50"/>
  <c r="D104" i="50"/>
  <c r="E104" i="50"/>
  <c r="F104" i="50"/>
  <c r="G104" i="50"/>
  <c r="H104" i="50"/>
  <c r="I104" i="50"/>
  <c r="J104" i="50"/>
  <c r="K104" i="50"/>
  <c r="L104" i="50"/>
  <c r="M104" i="50"/>
  <c r="O104" i="50"/>
  <c r="P104" i="50"/>
  <c r="Q104" i="50"/>
  <c r="R104" i="50"/>
  <c r="S104" i="50"/>
  <c r="T104" i="50"/>
  <c r="U104" i="50"/>
  <c r="V104" i="50"/>
  <c r="W104" i="50"/>
  <c r="X104" i="50"/>
  <c r="Y104" i="50"/>
  <c r="Z104" i="50"/>
  <c r="AB104" i="50"/>
  <c r="AC104" i="50"/>
  <c r="AD104" i="50"/>
  <c r="AE104" i="50"/>
  <c r="AF104" i="50"/>
  <c r="AG104" i="50"/>
  <c r="AH104" i="50"/>
  <c r="AI104" i="50"/>
  <c r="AJ104" i="50"/>
  <c r="AK104" i="50"/>
  <c r="AL104" i="50"/>
  <c r="AM104" i="50"/>
  <c r="B105" i="50"/>
  <c r="F105" i="50"/>
  <c r="K105" i="50"/>
  <c r="L105" i="50"/>
  <c r="O105" i="50"/>
  <c r="P105" i="50"/>
  <c r="Q105" i="50"/>
  <c r="R105" i="50"/>
  <c r="S105" i="50"/>
  <c r="T105" i="50"/>
  <c r="U105" i="50"/>
  <c r="V105" i="50"/>
  <c r="W105" i="50"/>
  <c r="X105" i="50"/>
  <c r="Y105" i="50"/>
  <c r="Z105" i="50"/>
  <c r="AB105" i="50"/>
  <c r="AC105" i="50"/>
  <c r="AD105" i="50"/>
  <c r="AE105" i="50"/>
  <c r="AF105" i="50"/>
  <c r="AG105" i="50"/>
  <c r="AH105" i="50"/>
  <c r="AI105" i="50"/>
  <c r="AJ105" i="50"/>
  <c r="AK105" i="50"/>
  <c r="AL105" i="50"/>
  <c r="AM105" i="50"/>
  <c r="C106" i="50"/>
  <c r="J106" i="50"/>
  <c r="R106" i="50"/>
  <c r="U106" i="50"/>
  <c r="V106" i="50"/>
  <c r="A107" i="50"/>
  <c r="B107" i="50"/>
  <c r="C107" i="50"/>
  <c r="D107" i="50"/>
  <c r="E107" i="50"/>
  <c r="F107" i="50"/>
  <c r="G107" i="50"/>
  <c r="H107" i="50"/>
  <c r="I107" i="50"/>
  <c r="J107" i="50"/>
  <c r="K107" i="50"/>
  <c r="L107" i="50"/>
  <c r="M107" i="50"/>
  <c r="O107" i="50"/>
  <c r="P107" i="50"/>
  <c r="Q107" i="50"/>
  <c r="R107" i="50"/>
  <c r="S107" i="50"/>
  <c r="T107" i="50"/>
  <c r="U107" i="50"/>
  <c r="V107" i="50"/>
  <c r="W107" i="50"/>
  <c r="X107" i="50"/>
  <c r="Z107" i="50"/>
  <c r="AB107" i="50"/>
  <c r="AC107" i="50"/>
  <c r="AE107" i="50"/>
  <c r="AF107" i="50"/>
  <c r="AH107" i="50"/>
  <c r="AI107" i="50"/>
  <c r="AM107" i="50"/>
  <c r="A108" i="50"/>
  <c r="B108" i="50"/>
  <c r="C108" i="50"/>
  <c r="D108" i="50"/>
  <c r="E108" i="50"/>
  <c r="F108" i="50"/>
  <c r="G108" i="50"/>
  <c r="H108" i="50"/>
  <c r="I108" i="50"/>
  <c r="J108" i="50"/>
  <c r="K108" i="50"/>
  <c r="L108" i="50"/>
  <c r="M108" i="50"/>
  <c r="O108" i="50"/>
  <c r="P108" i="50"/>
  <c r="Q108" i="50"/>
  <c r="R108" i="50"/>
  <c r="S108" i="50"/>
  <c r="T108" i="50"/>
  <c r="U108" i="50"/>
  <c r="V108" i="50"/>
  <c r="W108" i="50"/>
  <c r="X108" i="50"/>
  <c r="Y108" i="50"/>
  <c r="AC108" i="50"/>
  <c r="AD108" i="50"/>
  <c r="AF108" i="50"/>
  <c r="AG108" i="50"/>
  <c r="AH108" i="50"/>
  <c r="AI108" i="50"/>
  <c r="AJ108" i="50"/>
  <c r="AK108" i="50"/>
  <c r="AL108" i="50"/>
  <c r="AM108" i="50"/>
  <c r="A109" i="50"/>
  <c r="B109" i="50"/>
  <c r="C109" i="50"/>
  <c r="D109" i="50"/>
  <c r="E109" i="50"/>
  <c r="F109" i="50"/>
  <c r="G109" i="50"/>
  <c r="H109" i="50"/>
  <c r="I109" i="50"/>
  <c r="J109" i="50"/>
  <c r="K109" i="50"/>
  <c r="L109" i="50"/>
  <c r="M109" i="50"/>
  <c r="O109" i="50"/>
  <c r="P109" i="50"/>
  <c r="Q109" i="50"/>
  <c r="R109" i="50"/>
  <c r="S109" i="50"/>
  <c r="T109" i="50"/>
  <c r="U109" i="50"/>
  <c r="V109" i="50"/>
  <c r="W109" i="50"/>
  <c r="X109" i="50"/>
  <c r="Y109" i="50"/>
  <c r="Z109" i="50"/>
  <c r="AB109" i="50"/>
  <c r="AC109" i="50"/>
  <c r="AD109" i="50"/>
  <c r="AE109" i="50"/>
  <c r="AF109" i="50"/>
  <c r="AG109" i="50"/>
  <c r="AI109" i="50"/>
  <c r="AJ109" i="50"/>
  <c r="AK109" i="50"/>
  <c r="AL109" i="50"/>
  <c r="AM109" i="50"/>
  <c r="A110" i="50"/>
  <c r="B110" i="50"/>
  <c r="C110" i="50"/>
  <c r="D110" i="50"/>
  <c r="E110" i="50"/>
  <c r="F110" i="50"/>
  <c r="G110" i="50"/>
  <c r="H110" i="50"/>
  <c r="I110" i="50"/>
  <c r="J110" i="50"/>
  <c r="K110" i="50"/>
  <c r="L110" i="50"/>
  <c r="M110" i="50"/>
  <c r="U110" i="50"/>
  <c r="V110" i="50"/>
  <c r="W110" i="50"/>
  <c r="X110" i="50"/>
  <c r="Y110" i="50"/>
  <c r="Z110" i="50"/>
  <c r="AB110" i="50"/>
  <c r="AC110" i="50"/>
  <c r="AD110" i="50"/>
  <c r="AE110" i="50"/>
  <c r="AF110" i="50"/>
  <c r="AG110" i="50"/>
  <c r="AH110" i="50"/>
  <c r="AI110" i="50"/>
  <c r="AJ110" i="50"/>
  <c r="AK110" i="50"/>
  <c r="AL110" i="50"/>
  <c r="AM110" i="50"/>
  <c r="B111" i="50"/>
  <c r="C111" i="50"/>
  <c r="D111" i="50"/>
  <c r="E111" i="50"/>
  <c r="F111" i="50"/>
  <c r="G111" i="50"/>
  <c r="H111" i="50"/>
  <c r="I111" i="50"/>
  <c r="J111" i="50"/>
  <c r="K111" i="50"/>
  <c r="L111" i="50"/>
  <c r="M111" i="50"/>
  <c r="O111" i="50"/>
  <c r="P111" i="50"/>
  <c r="Q111" i="50"/>
  <c r="R111" i="50"/>
  <c r="S111" i="50"/>
  <c r="T111" i="50"/>
  <c r="V112" i="50"/>
  <c r="Q119" i="50"/>
  <c r="R119" i="50"/>
  <c r="S119" i="50"/>
  <c r="T119" i="50"/>
  <c r="U119" i="50"/>
  <c r="V119" i="50"/>
  <c r="W119" i="50"/>
  <c r="X119" i="50"/>
  <c r="Y119" i="50"/>
  <c r="Z119" i="50"/>
  <c r="AB119" i="50"/>
  <c r="AC119" i="50"/>
  <c r="AD119" i="50"/>
  <c r="AE119" i="50"/>
  <c r="AF119" i="50"/>
  <c r="AG119" i="50"/>
  <c r="AH119" i="50"/>
  <c r="AI119" i="50"/>
  <c r="AJ119" i="50"/>
  <c r="AK119" i="50"/>
  <c r="AL119" i="50"/>
  <c r="AM119" i="50"/>
  <c r="F120" i="50"/>
  <c r="U120" i="50"/>
  <c r="W120" i="50"/>
  <c r="X120" i="50"/>
  <c r="Y120" i="50"/>
  <c r="Z120" i="50"/>
  <c r="AB120" i="50"/>
  <c r="AB121" i="50" s="1"/>
  <c r="AC120" i="50"/>
  <c r="AD120" i="50"/>
  <c r="AE120" i="50"/>
  <c r="AF120" i="50"/>
  <c r="AG120" i="50"/>
  <c r="AH120" i="50"/>
  <c r="AI120" i="50"/>
  <c r="AJ120" i="50"/>
  <c r="AK120" i="50"/>
  <c r="AL120" i="50"/>
  <c r="AM120" i="50"/>
  <c r="B122" i="50"/>
  <c r="C122" i="50"/>
  <c r="D122" i="50"/>
  <c r="E122" i="50"/>
  <c r="F122" i="50"/>
  <c r="G122" i="50"/>
  <c r="H122" i="50"/>
  <c r="I122" i="50"/>
  <c r="J122" i="50"/>
  <c r="K122" i="50"/>
  <c r="L122" i="50"/>
  <c r="O122" i="50"/>
  <c r="P122" i="50"/>
  <c r="Q122" i="50"/>
  <c r="R122" i="50"/>
  <c r="S122" i="50"/>
  <c r="T122" i="50"/>
  <c r="U122" i="50"/>
  <c r="V122" i="50"/>
  <c r="B127" i="50"/>
  <c r="B128" i="50"/>
  <c r="B129" i="50"/>
  <c r="B130" i="50"/>
  <c r="B131" i="50"/>
  <c r="B132" i="50"/>
  <c r="B140" i="50"/>
  <c r="B141" i="50"/>
  <c r="B142" i="50"/>
  <c r="B143" i="50"/>
  <c r="B144" i="50"/>
  <c r="B145" i="50"/>
  <c r="B146" i="50"/>
  <c r="B147" i="50"/>
  <c r="B148" i="50"/>
  <c r="C148" i="50"/>
  <c r="B149" i="50"/>
  <c r="C149" i="50"/>
  <c r="C150" i="50"/>
  <c r="B151" i="50"/>
  <c r="C151" i="50"/>
  <c r="B153" i="50"/>
  <c r="B154" i="50"/>
  <c r="B159" i="50"/>
  <c r="B160" i="50"/>
  <c r="T32" i="25"/>
  <c r="E33" i="25"/>
  <c r="W37" i="25"/>
  <c r="AE37" i="25"/>
  <c r="W38" i="25"/>
  <c r="AD38" i="25"/>
  <c r="AE38" i="25"/>
  <c r="W39" i="25"/>
  <c r="AE39" i="25"/>
  <c r="W40" i="25"/>
  <c r="X40" i="25"/>
  <c r="X39" i="25" s="1"/>
  <c r="AE40" i="25"/>
  <c r="W41" i="25"/>
  <c r="Z41" i="25"/>
  <c r="Z40" i="25" s="1"/>
  <c r="Z39" i="25" s="1"/>
  <c r="AA41" i="25"/>
  <c r="AA40" i="25" s="1"/>
  <c r="AA39" i="25" s="1"/>
  <c r="AB41" i="25"/>
  <c r="AC41" i="25" s="1"/>
  <c r="AE41" i="25"/>
  <c r="W42" i="25"/>
  <c r="Y42" i="25"/>
  <c r="Y40" i="25" s="1"/>
  <c r="Y39" i="25" s="1"/>
  <c r="AA42" i="25"/>
  <c r="AB42" i="25"/>
  <c r="AC42" i="25" s="1"/>
  <c r="AE42" i="25"/>
  <c r="W43" i="25"/>
  <c r="AC43" i="25" s="1"/>
  <c r="AE43" i="25"/>
  <c r="W44" i="25"/>
  <c r="AC44" i="25" s="1"/>
  <c r="X44" i="25"/>
  <c r="X45" i="25" s="1"/>
  <c r="Y44" i="25"/>
  <c r="Y45" i="25" s="1"/>
  <c r="Z44" i="25"/>
  <c r="AA44" i="25"/>
  <c r="AA45" i="25" s="1"/>
  <c r="AB44" i="25"/>
  <c r="AB45" i="25" s="1"/>
  <c r="AE44" i="25"/>
  <c r="W45" i="25"/>
  <c r="Z45" i="25"/>
  <c r="AD45" i="25"/>
  <c r="AE45" i="25"/>
  <c r="W46" i="25"/>
  <c r="AD46" i="25"/>
  <c r="AE46" i="25"/>
  <c r="W47" i="25"/>
  <c r="X47" i="25"/>
  <c r="Y47" i="25"/>
  <c r="Z47" i="25"/>
  <c r="AA47" i="25"/>
  <c r="AB47" i="25"/>
  <c r="AD47" i="25"/>
  <c r="AE47" i="25"/>
  <c r="W48" i="25"/>
  <c r="Y48" i="25"/>
  <c r="Y46" i="25" s="1"/>
  <c r="Z48" i="25"/>
  <c r="AD48" i="25"/>
  <c r="AE48" i="25"/>
  <c r="W49" i="25"/>
  <c r="X49" i="25"/>
  <c r="X48" i="25" s="1"/>
  <c r="Y49" i="25"/>
  <c r="Z49" i="25"/>
  <c r="AA49" i="25"/>
  <c r="AA48" i="25" s="1"/>
  <c r="AB49" i="25"/>
  <c r="AB48" i="25" s="1"/>
  <c r="AC49" i="25"/>
  <c r="AD49" i="25"/>
  <c r="AE49" i="25"/>
  <c r="W50" i="25"/>
  <c r="AC50" i="25" s="1"/>
  <c r="AD50" i="25"/>
  <c r="AE50" i="25"/>
  <c r="W51" i="25"/>
  <c r="AE51" i="25"/>
  <c r="W52" i="25"/>
  <c r="AE52" i="25"/>
  <c r="W53" i="25"/>
  <c r="X53" i="25"/>
  <c r="Y53" i="25"/>
  <c r="Z53" i="25"/>
  <c r="AA53" i="25"/>
  <c r="AB53" i="25"/>
  <c r="AE53" i="25"/>
  <c r="W54" i="25"/>
  <c r="AC54" i="25" s="1"/>
  <c r="AD54" i="25"/>
  <c r="AE54" i="25"/>
  <c r="W55" i="25"/>
  <c r="AE55" i="25"/>
  <c r="M56" i="25"/>
  <c r="W56" i="25"/>
  <c r="AD56" i="25"/>
  <c r="AE56" i="25"/>
  <c r="B57" i="25"/>
  <c r="C57" i="25"/>
  <c r="D57" i="25"/>
  <c r="E57" i="25"/>
  <c r="F57" i="25"/>
  <c r="G57" i="25"/>
  <c r="H57" i="25"/>
  <c r="I57" i="25"/>
  <c r="J57" i="25"/>
  <c r="K57" i="25"/>
  <c r="L57" i="25"/>
  <c r="M57" i="25"/>
  <c r="W57" i="25"/>
  <c r="AE57" i="25"/>
  <c r="W58" i="25"/>
  <c r="X58" i="25"/>
  <c r="Y58" i="25"/>
  <c r="Z58" i="25"/>
  <c r="AA58" i="25"/>
  <c r="AB58" i="25"/>
  <c r="AC58" i="25"/>
  <c r="AD58" i="25"/>
  <c r="AE58" i="25"/>
  <c r="W59" i="25"/>
  <c r="AD59" i="25"/>
  <c r="AE59" i="25"/>
  <c r="W60" i="25"/>
  <c r="AE60" i="25"/>
  <c r="W61" i="25"/>
  <c r="AE61" i="25"/>
  <c r="W62" i="25"/>
  <c r="X62" i="25"/>
  <c r="Y62" i="25"/>
  <c r="Y61" i="25" s="1"/>
  <c r="Y59" i="25" s="1"/>
  <c r="AE62" i="25"/>
  <c r="W63" i="25"/>
  <c r="Z63" i="25"/>
  <c r="AA63" i="25"/>
  <c r="AE63" i="25"/>
  <c r="W64" i="25"/>
  <c r="AE64" i="25"/>
  <c r="W65" i="25"/>
  <c r="AC65" i="25" s="1"/>
  <c r="AD65" i="25"/>
  <c r="AE65" i="25"/>
  <c r="W66" i="25"/>
  <c r="AD66" i="25"/>
  <c r="AE66" i="25"/>
  <c r="W67" i="25"/>
  <c r="Y67" i="25"/>
  <c r="Y66" i="25" s="1"/>
  <c r="AE67" i="25"/>
  <c r="W68" i="25"/>
  <c r="AE68" i="25"/>
  <c r="W69" i="25"/>
  <c r="X69" i="25"/>
  <c r="X67" i="25" s="1"/>
  <c r="X66" i="25" s="1"/>
  <c r="Y69" i="25"/>
  <c r="Z69" i="25"/>
  <c r="Z67" i="25" s="1"/>
  <c r="AA69" i="25"/>
  <c r="AA67" i="25" s="1"/>
  <c r="AB69" i="25"/>
  <c r="AB67" i="25" s="1"/>
  <c r="AE69" i="25"/>
  <c r="W70" i="25"/>
  <c r="AE70" i="25"/>
  <c r="W71" i="25"/>
  <c r="AE71" i="25"/>
  <c r="W72" i="25"/>
  <c r="X72" i="25"/>
  <c r="AB72" i="25"/>
  <c r="AE72" i="25"/>
  <c r="W73" i="25"/>
  <c r="AE73" i="25"/>
  <c r="W74" i="25"/>
  <c r="X74" i="25"/>
  <c r="Y74" i="25"/>
  <c r="Y72" i="25" s="1"/>
  <c r="Z74" i="25"/>
  <c r="Z72" i="25" s="1"/>
  <c r="AA74" i="25"/>
  <c r="AA72" i="25" s="1"/>
  <c r="AB74" i="25"/>
  <c r="AE74" i="25"/>
  <c r="W75" i="25"/>
  <c r="AE75" i="25"/>
  <c r="W76" i="25"/>
  <c r="AE76" i="25"/>
  <c r="W77" i="25"/>
  <c r="X77" i="25"/>
  <c r="Y77" i="25" s="1"/>
  <c r="AB77" i="25" s="1"/>
  <c r="AA77" i="25"/>
  <c r="AE77" i="25"/>
  <c r="X78" i="25"/>
  <c r="Y78" i="25"/>
  <c r="Z78" i="25"/>
  <c r="AA78" i="25"/>
  <c r="AB78" i="25"/>
  <c r="N79" i="25"/>
  <c r="O79" i="25"/>
  <c r="O95" i="25" s="1"/>
  <c r="O94" i="25" s="1"/>
  <c r="P79" i="25"/>
  <c r="P95" i="25" s="1"/>
  <c r="P94" i="25" s="1"/>
  <c r="Q79" i="25"/>
  <c r="R79" i="25"/>
  <c r="AC78" i="25" s="1"/>
  <c r="S79" i="25"/>
  <c r="T79" i="25"/>
  <c r="AC79" i="25"/>
  <c r="AC80" i="25"/>
  <c r="AC83" i="25"/>
  <c r="AC84" i="25"/>
  <c r="AC85" i="25"/>
  <c r="Y87" i="25"/>
  <c r="Z87" i="25"/>
  <c r="N88" i="25"/>
  <c r="N95" i="25" s="1"/>
  <c r="N94" i="25" s="1"/>
  <c r="O88" i="25"/>
  <c r="P88" i="25"/>
  <c r="Q88" i="25"/>
  <c r="R88" i="25"/>
  <c r="S88" i="25"/>
  <c r="S95" i="25" s="1"/>
  <c r="T88" i="25"/>
  <c r="X88" i="25"/>
  <c r="X87" i="25" s="1"/>
  <c r="Z88" i="25"/>
  <c r="AA88" i="25"/>
  <c r="AA87" i="25" s="1"/>
  <c r="AB88" i="25"/>
  <c r="AB87" i="25" s="1"/>
  <c r="AB94" i="25" s="1"/>
  <c r="AB95" i="25" s="1"/>
  <c r="AB93" i="25" s="1"/>
  <c r="AC89" i="25"/>
  <c r="T95" i="25"/>
  <c r="T96" i="25" s="1"/>
  <c r="T97" i="25" s="1"/>
  <c r="AD95" i="25"/>
  <c r="S96" i="25"/>
  <c r="S94" i="25" s="1"/>
  <c r="B100" i="25"/>
  <c r="C100" i="25"/>
  <c r="D100" i="25"/>
  <c r="E100" i="25"/>
  <c r="F100" i="25"/>
  <c r="G100" i="25"/>
  <c r="H100" i="25"/>
  <c r="I100" i="25"/>
  <c r="J100" i="25"/>
  <c r="K100" i="25"/>
  <c r="L100" i="25"/>
  <c r="M100" i="25"/>
  <c r="N100" i="25"/>
  <c r="O100" i="25"/>
  <c r="O105" i="25" s="1"/>
  <c r="O104" i="25" s="1"/>
  <c r="P100" i="25"/>
  <c r="P105" i="25" s="1"/>
  <c r="Q100" i="25"/>
  <c r="Q105" i="25" s="1"/>
  <c r="Q104" i="25" s="1"/>
  <c r="R100" i="25"/>
  <c r="R105" i="25" s="1"/>
  <c r="S100" i="25"/>
  <c r="Y100" i="25" s="1"/>
  <c r="W100" i="25"/>
  <c r="X100" i="25"/>
  <c r="Z100" i="25"/>
  <c r="Z102" i="25" s="1"/>
  <c r="AA100" i="25"/>
  <c r="AE100" i="25"/>
  <c r="N101" i="25"/>
  <c r="O101" i="25"/>
  <c r="P101" i="25"/>
  <c r="Q101" i="25"/>
  <c r="R101" i="25"/>
  <c r="S101" i="25"/>
  <c r="W101" i="25"/>
  <c r="AE101" i="25"/>
  <c r="W102" i="25"/>
  <c r="X102" i="25"/>
  <c r="AA102" i="25"/>
  <c r="AD102" i="25"/>
  <c r="AE102" i="25"/>
  <c r="S103" i="25"/>
  <c r="W103" i="25"/>
  <c r="AE103" i="25"/>
  <c r="P104" i="25"/>
  <c r="W104" i="25"/>
  <c r="AE104" i="25"/>
  <c r="N105" i="25"/>
  <c r="N104" i="25" s="1"/>
  <c r="S105" i="25"/>
  <c r="S104" i="25" s="1"/>
  <c r="W105" i="25"/>
  <c r="AE105" i="25"/>
  <c r="W106" i="25"/>
  <c r="AE106" i="25"/>
  <c r="N107" i="25"/>
  <c r="T113" i="25"/>
  <c r="AC112" i="25" s="1"/>
  <c r="O117" i="25"/>
  <c r="P117" i="25"/>
  <c r="Q117" i="25"/>
  <c r="R117" i="25"/>
  <c r="T117" i="25"/>
  <c r="Z115" i="25" s="1"/>
  <c r="T118" i="25"/>
  <c r="T121" i="25"/>
  <c r="Q123" i="25"/>
  <c r="AC122" i="25" s="1"/>
  <c r="R123" i="25"/>
  <c r="R126" i="25" s="1"/>
  <c r="AC125" i="25" s="1"/>
  <c r="AD125" i="25" s="1"/>
  <c r="T123" i="25"/>
  <c r="Z124" i="25"/>
  <c r="AB124" i="25"/>
  <c r="R125" i="25"/>
  <c r="T125" i="25"/>
  <c r="Z127" i="25"/>
  <c r="AB127" i="25"/>
  <c r="R128" i="25"/>
  <c r="T128" i="25"/>
  <c r="T4" i="32" a="1"/>
  <c r="T5" i="32" s="1"/>
  <c r="K5" i="32" s="1"/>
  <c r="V4" i="32" a="1"/>
  <c r="V5" i="32" s="1"/>
  <c r="N5" i="32" s="1"/>
  <c r="W4" i="32" a="1"/>
  <c r="W4" i="32" s="1"/>
  <c r="G4" i="32" s="1"/>
  <c r="Y4" i="32" a="1"/>
  <c r="Y13" i="32" s="1"/>
  <c r="F16" i="32"/>
  <c r="T32" i="32" a="1"/>
  <c r="T41" i="32" s="1"/>
  <c r="K41" i="32" s="1"/>
  <c r="Y32" i="32" a="1"/>
  <c r="Y33" i="32" s="1"/>
  <c r="T47" i="32" a="1"/>
  <c r="T58" i="32" s="1"/>
  <c r="K58" i="32" s="1"/>
  <c r="W47" i="32" a="1"/>
  <c r="W47" i="32" s="1"/>
  <c r="G47" i="32" s="1"/>
  <c r="B71" i="32"/>
  <c r="C71" i="32"/>
  <c r="D71" i="32"/>
  <c r="E71" i="32"/>
  <c r="F71" i="32"/>
  <c r="G71" i="32"/>
  <c r="H71" i="32"/>
  <c r="I71" i="32"/>
  <c r="J71" i="32"/>
  <c r="K71" i="32"/>
  <c r="L71" i="32"/>
  <c r="M71" i="32"/>
  <c r="D73" i="32"/>
  <c r="L73" i="32"/>
  <c r="B77" i="32"/>
  <c r="C77" i="32"/>
  <c r="D77" i="32"/>
  <c r="E77" i="32"/>
  <c r="F77" i="32"/>
  <c r="G77" i="32"/>
  <c r="H77" i="32"/>
  <c r="I77" i="32"/>
  <c r="J77" i="32"/>
  <c r="K77" i="32"/>
  <c r="L77" i="32"/>
  <c r="M77" i="32"/>
  <c r="AA87" i="32"/>
  <c r="AN87" i="32"/>
  <c r="B88" i="32"/>
  <c r="C88" i="32"/>
  <c r="D88" i="32"/>
  <c r="E88" i="32"/>
  <c r="F88" i="32"/>
  <c r="G88" i="32"/>
  <c r="H88" i="32"/>
  <c r="I88" i="32"/>
  <c r="J88" i="32"/>
  <c r="K88" i="32"/>
  <c r="L88" i="32"/>
  <c r="M88" i="32"/>
  <c r="O88" i="32"/>
  <c r="P88" i="32"/>
  <c r="Q88" i="32"/>
  <c r="R88" i="32"/>
  <c r="S88" i="32"/>
  <c r="T88" i="32"/>
  <c r="V89" i="32"/>
  <c r="F91" i="32"/>
  <c r="L91" i="32"/>
  <c r="O91" i="32"/>
  <c r="P91" i="32"/>
  <c r="Q91" i="32"/>
  <c r="R91" i="32"/>
  <c r="S91" i="32"/>
  <c r="T91" i="32"/>
  <c r="U91" i="32"/>
  <c r="B99" i="32"/>
  <c r="C99" i="32"/>
  <c r="D99" i="32"/>
  <c r="E99" i="32"/>
  <c r="L99" i="32"/>
  <c r="O99" i="32"/>
  <c r="P99" i="32"/>
  <c r="Q99" i="32"/>
  <c r="R99" i="32"/>
  <c r="U99" i="32"/>
  <c r="V99" i="32"/>
  <c r="W99" i="32"/>
  <c r="X99" i="32"/>
  <c r="Y99" i="32"/>
  <c r="Z99" i="32"/>
  <c r="AB99" i="32"/>
  <c r="AC99" i="32"/>
  <c r="AD99" i="32"/>
  <c r="AE99" i="32"/>
  <c r="AF99" i="32"/>
  <c r="AG99" i="32"/>
  <c r="AH99" i="32"/>
  <c r="AI99" i="32"/>
  <c r="AJ99" i="32"/>
  <c r="AK99" i="32"/>
  <c r="AL99" i="32"/>
  <c r="AM99" i="32"/>
  <c r="B100" i="32"/>
  <c r="C100" i="32"/>
  <c r="D100" i="32"/>
  <c r="E100" i="32"/>
  <c r="F100" i="32"/>
  <c r="G100" i="32"/>
  <c r="H100" i="32"/>
  <c r="I100" i="32"/>
  <c r="J100" i="32"/>
  <c r="K100" i="32"/>
  <c r="L100" i="32"/>
  <c r="O100" i="32"/>
  <c r="P100" i="32"/>
  <c r="Q100" i="32"/>
  <c r="R100" i="32"/>
  <c r="S100" i="32"/>
  <c r="T100" i="32"/>
  <c r="U100" i="32"/>
  <c r="V100" i="32"/>
  <c r="W100" i="32"/>
  <c r="X100" i="32"/>
  <c r="Y100" i="32"/>
  <c r="Z100" i="32"/>
  <c r="AB100" i="32"/>
  <c r="AC100" i="32"/>
  <c r="AD100" i="32"/>
  <c r="AE100" i="32"/>
  <c r="AF100" i="32"/>
  <c r="AG100" i="32"/>
  <c r="AH100" i="32"/>
  <c r="AI100" i="32"/>
  <c r="AJ100" i="32"/>
  <c r="AK100" i="32"/>
  <c r="AL100" i="32"/>
  <c r="AM100" i="32"/>
  <c r="B101" i="32"/>
  <c r="C101" i="32"/>
  <c r="D101" i="32"/>
  <c r="E101" i="32"/>
  <c r="F101" i="32"/>
  <c r="G101" i="32"/>
  <c r="H101" i="32"/>
  <c r="I101" i="32"/>
  <c r="J101" i="32"/>
  <c r="K101" i="32"/>
  <c r="L101" i="32"/>
  <c r="M101" i="32"/>
  <c r="O101" i="32"/>
  <c r="P101" i="32"/>
  <c r="Q101" i="32"/>
  <c r="R101" i="32"/>
  <c r="S101" i="32"/>
  <c r="T101" i="32"/>
  <c r="U101" i="32"/>
  <c r="V101" i="32"/>
  <c r="W101" i="32"/>
  <c r="X101" i="32"/>
  <c r="Y101" i="32"/>
  <c r="Z101" i="32"/>
  <c r="AB101" i="32"/>
  <c r="AC101" i="32"/>
  <c r="AD101" i="32"/>
  <c r="AE101" i="32"/>
  <c r="AF101" i="32"/>
  <c r="AG101" i="32"/>
  <c r="AH101" i="32"/>
  <c r="AI101" i="32"/>
  <c r="AJ101" i="32"/>
  <c r="AK101" i="32"/>
  <c r="AL101" i="32"/>
  <c r="AM101" i="32"/>
  <c r="D102" i="32"/>
  <c r="L102" i="32"/>
  <c r="O102" i="32"/>
  <c r="Q102" i="32"/>
  <c r="R102" i="32"/>
  <c r="S102" i="32"/>
  <c r="T102" i="32"/>
  <c r="U102" i="32"/>
  <c r="V102" i="32"/>
  <c r="W102" i="32"/>
  <c r="X102" i="32"/>
  <c r="Y102" i="32"/>
  <c r="Z102" i="32"/>
  <c r="AB102" i="32"/>
  <c r="AC102" i="32"/>
  <c r="AD102" i="32"/>
  <c r="AE102" i="32"/>
  <c r="AF102" i="32"/>
  <c r="AG102" i="32"/>
  <c r="AH102" i="32"/>
  <c r="AI102" i="32"/>
  <c r="AJ102" i="32"/>
  <c r="AK102" i="32"/>
  <c r="AL102" i="32"/>
  <c r="AM102" i="32"/>
  <c r="B103" i="32"/>
  <c r="C103" i="32"/>
  <c r="D103" i="32"/>
  <c r="E103" i="32"/>
  <c r="F103" i="32"/>
  <c r="G103" i="32"/>
  <c r="H103" i="32"/>
  <c r="I103" i="32"/>
  <c r="J103" i="32"/>
  <c r="K103" i="32"/>
  <c r="L103" i="32"/>
  <c r="M103" i="32"/>
  <c r="O103" i="32"/>
  <c r="P103" i="32"/>
  <c r="Q103" i="32"/>
  <c r="R103" i="32"/>
  <c r="S103" i="32"/>
  <c r="T103" i="32"/>
  <c r="U103" i="32"/>
  <c r="V103" i="32"/>
  <c r="W103" i="32"/>
  <c r="X103" i="32"/>
  <c r="Y103" i="32"/>
  <c r="Z103" i="32"/>
  <c r="AB103" i="32"/>
  <c r="AC103" i="32"/>
  <c r="AD103" i="32"/>
  <c r="AE103" i="32"/>
  <c r="AF103" i="32"/>
  <c r="AG103" i="32"/>
  <c r="AH103" i="32"/>
  <c r="AI103" i="32"/>
  <c r="AJ103" i="32"/>
  <c r="AK103" i="32"/>
  <c r="AL103" i="32"/>
  <c r="AM103" i="32"/>
  <c r="B104" i="32"/>
  <c r="C104" i="32"/>
  <c r="D104" i="32"/>
  <c r="E104" i="32"/>
  <c r="F104" i="32"/>
  <c r="G104" i="32"/>
  <c r="H104" i="32"/>
  <c r="I104" i="32"/>
  <c r="J104" i="32"/>
  <c r="K104" i="32"/>
  <c r="L104" i="32"/>
  <c r="M104" i="32"/>
  <c r="O104" i="32"/>
  <c r="P104" i="32"/>
  <c r="Q104" i="32"/>
  <c r="R104" i="32"/>
  <c r="S104" i="32"/>
  <c r="T104" i="32"/>
  <c r="U104" i="32"/>
  <c r="V104" i="32"/>
  <c r="W104" i="32"/>
  <c r="X104" i="32"/>
  <c r="Y104" i="32"/>
  <c r="Z104" i="32"/>
  <c r="AB104" i="32"/>
  <c r="AC104" i="32"/>
  <c r="AD104" i="32"/>
  <c r="AE104" i="32"/>
  <c r="AF104" i="32"/>
  <c r="AG104" i="32"/>
  <c r="AH104" i="32"/>
  <c r="AI104" i="32"/>
  <c r="AJ104" i="32"/>
  <c r="AK104" i="32"/>
  <c r="AL104" i="32"/>
  <c r="AM104" i="32"/>
  <c r="B105" i="32"/>
  <c r="C105" i="32"/>
  <c r="D105" i="32"/>
  <c r="F105" i="32"/>
  <c r="J105" i="32"/>
  <c r="K105" i="32"/>
  <c r="L105" i="32"/>
  <c r="O105" i="32"/>
  <c r="P105" i="32"/>
  <c r="Q105" i="32"/>
  <c r="R105" i="32"/>
  <c r="S105" i="32"/>
  <c r="T105" i="32"/>
  <c r="U105" i="32"/>
  <c r="V105" i="32"/>
  <c r="W105" i="32"/>
  <c r="X105" i="32"/>
  <c r="Y105" i="32"/>
  <c r="Z105" i="32"/>
  <c r="AB105" i="32"/>
  <c r="AC105" i="32"/>
  <c r="AD105" i="32"/>
  <c r="AE105" i="32"/>
  <c r="AF105" i="32"/>
  <c r="AG105" i="32"/>
  <c r="AH105" i="32"/>
  <c r="AI105" i="32"/>
  <c r="AJ105" i="32"/>
  <c r="AK105" i="32"/>
  <c r="AL105" i="32"/>
  <c r="AM105" i="32"/>
  <c r="B106" i="32"/>
  <c r="C106" i="32"/>
  <c r="G106" i="32"/>
  <c r="I106" i="32"/>
  <c r="J106" i="32"/>
  <c r="M106" i="32"/>
  <c r="O106" i="32"/>
  <c r="P106" i="32"/>
  <c r="R106" i="32"/>
  <c r="U106" i="32"/>
  <c r="V106" i="32"/>
  <c r="AE106" i="32"/>
  <c r="AK106" i="32"/>
  <c r="A107" i="32"/>
  <c r="B107" i="32"/>
  <c r="C107" i="32"/>
  <c r="D107" i="32"/>
  <c r="E107" i="32"/>
  <c r="F107" i="32"/>
  <c r="G107" i="32"/>
  <c r="H107" i="32"/>
  <c r="I107" i="32"/>
  <c r="J107" i="32"/>
  <c r="K107" i="32"/>
  <c r="L107" i="32"/>
  <c r="M107" i="32"/>
  <c r="O107" i="32"/>
  <c r="P107" i="32"/>
  <c r="Q107" i="32"/>
  <c r="R107" i="32"/>
  <c r="S107" i="32"/>
  <c r="T107" i="32"/>
  <c r="U107" i="32"/>
  <c r="V107" i="32"/>
  <c r="W107" i="32"/>
  <c r="X107" i="32"/>
  <c r="Z107" i="32"/>
  <c r="AB107" i="32"/>
  <c r="AC107" i="32"/>
  <c r="AD107" i="32"/>
  <c r="AE107" i="32"/>
  <c r="AF107" i="32"/>
  <c r="AH107" i="32"/>
  <c r="AI107" i="32"/>
  <c r="AK107" i="32"/>
  <c r="AM107" i="32"/>
  <c r="A108" i="32"/>
  <c r="B108" i="32"/>
  <c r="C108" i="32"/>
  <c r="D108" i="32"/>
  <c r="E108" i="32"/>
  <c r="F108" i="32"/>
  <c r="G108" i="32"/>
  <c r="H108" i="32"/>
  <c r="I108" i="32"/>
  <c r="J108" i="32"/>
  <c r="K108" i="32"/>
  <c r="L108" i="32"/>
  <c r="M108" i="32"/>
  <c r="O108" i="32"/>
  <c r="P108" i="32"/>
  <c r="Q108" i="32"/>
  <c r="R108" i="32"/>
  <c r="S108" i="32"/>
  <c r="T108" i="32"/>
  <c r="U108" i="32"/>
  <c r="V108" i="32"/>
  <c r="W108" i="32"/>
  <c r="X108" i="32"/>
  <c r="Y108" i="32"/>
  <c r="Z108" i="32"/>
  <c r="AB108" i="32"/>
  <c r="AC108" i="32"/>
  <c r="AD108" i="32"/>
  <c r="AE108" i="32"/>
  <c r="AF108" i="32"/>
  <c r="AG108" i="32"/>
  <c r="AH108" i="32"/>
  <c r="AI108" i="32"/>
  <c r="AJ108" i="32"/>
  <c r="AK108" i="32"/>
  <c r="AL108" i="32"/>
  <c r="AM108" i="32"/>
  <c r="A109" i="32"/>
  <c r="B109" i="32"/>
  <c r="C109" i="32"/>
  <c r="D109" i="32"/>
  <c r="E109" i="32"/>
  <c r="F109" i="32"/>
  <c r="G109" i="32"/>
  <c r="H109" i="32"/>
  <c r="I109" i="32"/>
  <c r="J109" i="32"/>
  <c r="K109" i="32"/>
  <c r="L109" i="32"/>
  <c r="M109" i="32"/>
  <c r="O109" i="32"/>
  <c r="P109" i="32"/>
  <c r="Q109" i="32"/>
  <c r="R109" i="32"/>
  <c r="S109" i="32"/>
  <c r="T109" i="32"/>
  <c r="U109" i="32"/>
  <c r="V109" i="32"/>
  <c r="W109" i="32"/>
  <c r="X109" i="32"/>
  <c r="Y109" i="32"/>
  <c r="Z109" i="32"/>
  <c r="AB109" i="32"/>
  <c r="AC109" i="32"/>
  <c r="AE109" i="32"/>
  <c r="AF109" i="32"/>
  <c r="AG109" i="32"/>
  <c r="AI109" i="32"/>
  <c r="AJ109" i="32"/>
  <c r="AK109" i="32"/>
  <c r="AL109" i="32"/>
  <c r="AM109" i="32"/>
  <c r="A110" i="32"/>
  <c r="B110" i="32"/>
  <c r="C110" i="32"/>
  <c r="D110" i="32"/>
  <c r="E110" i="32"/>
  <c r="F110" i="32"/>
  <c r="G110" i="32"/>
  <c r="H110" i="32"/>
  <c r="I110" i="32"/>
  <c r="J110" i="32"/>
  <c r="K110" i="32"/>
  <c r="L110" i="32"/>
  <c r="M110" i="32"/>
  <c r="U110" i="32"/>
  <c r="V110" i="32"/>
  <c r="W110" i="32"/>
  <c r="X110" i="32"/>
  <c r="Y110" i="32"/>
  <c r="Z110" i="32"/>
  <c r="AB110" i="32"/>
  <c r="AC110" i="32"/>
  <c r="AD110" i="32"/>
  <c r="AE110" i="32"/>
  <c r="AF110" i="32"/>
  <c r="AG110" i="32"/>
  <c r="AH110" i="32"/>
  <c r="AI110" i="32"/>
  <c r="AJ110" i="32"/>
  <c r="AK110" i="32"/>
  <c r="AL110" i="32"/>
  <c r="AM110" i="32"/>
  <c r="B111" i="32"/>
  <c r="C111" i="32"/>
  <c r="D111" i="32"/>
  <c r="E111" i="32"/>
  <c r="F111" i="32"/>
  <c r="G111" i="32"/>
  <c r="H111" i="32"/>
  <c r="I111" i="32"/>
  <c r="J111" i="32"/>
  <c r="K111" i="32"/>
  <c r="L111" i="32"/>
  <c r="M111" i="32"/>
  <c r="O111" i="32"/>
  <c r="P111" i="32"/>
  <c r="Q111" i="32"/>
  <c r="R111" i="32"/>
  <c r="S111" i="32"/>
  <c r="T111" i="32"/>
  <c r="V112" i="32"/>
  <c r="Q119" i="32"/>
  <c r="R119" i="32"/>
  <c r="S119" i="32"/>
  <c r="T119" i="32"/>
  <c r="U119" i="32"/>
  <c r="V119" i="32"/>
  <c r="W119" i="32"/>
  <c r="X119" i="32"/>
  <c r="Y119" i="32"/>
  <c r="Z119" i="32"/>
  <c r="AB119" i="32"/>
  <c r="AC119" i="32"/>
  <c r="AD119" i="32"/>
  <c r="AE119" i="32"/>
  <c r="AF119" i="32"/>
  <c r="AG119" i="32"/>
  <c r="AH119" i="32"/>
  <c r="AI119" i="32"/>
  <c r="AJ119" i="32"/>
  <c r="AK119" i="32"/>
  <c r="AL119" i="32"/>
  <c r="AM119" i="32"/>
  <c r="D120" i="32"/>
  <c r="F120" i="32"/>
  <c r="G120" i="32"/>
  <c r="H120" i="32"/>
  <c r="J120" i="32"/>
  <c r="L120" i="32"/>
  <c r="U120" i="32"/>
  <c r="W120" i="32"/>
  <c r="X120" i="32"/>
  <c r="Y120" i="32"/>
  <c r="Z120" i="32"/>
  <c r="AB120" i="32"/>
  <c r="AB121" i="32" s="1"/>
  <c r="AC120" i="32"/>
  <c r="AD120" i="32"/>
  <c r="AE120" i="32"/>
  <c r="AF120" i="32"/>
  <c r="AG120" i="32"/>
  <c r="AH120" i="32"/>
  <c r="AI120" i="32"/>
  <c r="AJ120" i="32"/>
  <c r="AK120" i="32"/>
  <c r="AL120" i="32"/>
  <c r="AM120" i="32"/>
  <c r="B122" i="32"/>
  <c r="C122" i="32"/>
  <c r="D122" i="32"/>
  <c r="E122" i="32"/>
  <c r="F122" i="32"/>
  <c r="G122" i="32"/>
  <c r="H122" i="32"/>
  <c r="I122" i="32"/>
  <c r="J122" i="32"/>
  <c r="K122" i="32"/>
  <c r="L122" i="32"/>
  <c r="O122" i="32"/>
  <c r="P122" i="32"/>
  <c r="Q122" i="32"/>
  <c r="R122" i="32"/>
  <c r="S122" i="32"/>
  <c r="T122" i="32"/>
  <c r="U122" i="32"/>
  <c r="V122" i="32"/>
  <c r="B127" i="32"/>
  <c r="B128" i="32"/>
  <c r="B129" i="32"/>
  <c r="B130" i="32"/>
  <c r="B131" i="32"/>
  <c r="B132" i="32"/>
  <c r="B140" i="32"/>
  <c r="B141" i="32"/>
  <c r="B142" i="32"/>
  <c r="B143" i="32"/>
  <c r="B144" i="32"/>
  <c r="B145" i="32"/>
  <c r="B146" i="32"/>
  <c r="B147" i="32"/>
  <c r="B148" i="32"/>
  <c r="C148" i="32"/>
  <c r="B149" i="32"/>
  <c r="C149" i="32"/>
  <c r="C150" i="32"/>
  <c r="B151" i="32"/>
  <c r="C151" i="32"/>
  <c r="B153" i="32"/>
  <c r="B154" i="32"/>
  <c r="B159" i="32"/>
  <c r="B160" i="32"/>
  <c r="D4" i="17" a="1"/>
  <c r="E4" i="17" a="1"/>
  <c r="P4" i="17" a="1"/>
  <c r="P15" i="17" s="1"/>
  <c r="G15" i="17" s="1"/>
  <c r="S4" i="17" a="1"/>
  <c r="S14" i="17" s="1"/>
  <c r="J14" i="17" s="1"/>
  <c r="T4" i="17" a="1"/>
  <c r="U4" i="17" a="1"/>
  <c r="V4" i="17" a="1"/>
  <c r="V11" i="17" s="1"/>
  <c r="F11" i="17" s="1"/>
  <c r="T10" i="17"/>
  <c r="K10" i="17" s="1"/>
  <c r="V10" i="17"/>
  <c r="F10" i="17" s="1"/>
  <c r="S13" i="17"/>
  <c r="J13" i="17" s="1"/>
  <c r="S15" i="17"/>
  <c r="J15" i="17" s="1"/>
  <c r="D18" i="17" a="1"/>
  <c r="D18" i="17" s="1"/>
  <c r="C18" i="17" s="1"/>
  <c r="D23" i="17"/>
  <c r="C23" i="17" s="1"/>
  <c r="D27" i="17"/>
  <c r="C27" i="17" s="1"/>
  <c r="D28" i="17"/>
  <c r="C28" i="17" s="1"/>
  <c r="B46" i="17"/>
  <c r="C46" i="17"/>
  <c r="D46" i="17"/>
  <c r="E46" i="17"/>
  <c r="F46" i="17"/>
  <c r="G46" i="17"/>
  <c r="H46" i="17"/>
  <c r="I46" i="17"/>
  <c r="J46" i="17"/>
  <c r="K46" i="17"/>
  <c r="L46" i="17"/>
  <c r="M46" i="17"/>
  <c r="B48" i="17"/>
  <c r="C48" i="17"/>
  <c r="D48" i="17"/>
  <c r="E48" i="17"/>
  <c r="F48" i="17"/>
  <c r="G48" i="17"/>
  <c r="H48" i="17"/>
  <c r="I48" i="17"/>
  <c r="J48" i="17"/>
  <c r="K48" i="17"/>
  <c r="L48" i="17"/>
  <c r="M48" i="17"/>
  <c r="B49" i="17"/>
  <c r="C49" i="17" s="1"/>
  <c r="D49" i="17" s="1"/>
  <c r="E49" i="17" s="1"/>
  <c r="F49" i="17" s="1"/>
  <c r="G49" i="17" s="1"/>
  <c r="H49" i="17" s="1"/>
  <c r="I49" i="17" s="1"/>
  <c r="J49" i="17" s="1"/>
  <c r="E7" i="22" a="1"/>
  <c r="E18" i="22" s="1"/>
  <c r="F7" i="22" a="1"/>
  <c r="F13" i="22" s="1"/>
  <c r="G7" i="22" a="1"/>
  <c r="G8" i="22" s="1"/>
  <c r="H7" i="22" a="1"/>
  <c r="H8" i="22" s="1"/>
  <c r="I7" i="22" a="1"/>
  <c r="J7" i="22" a="1"/>
  <c r="K7" i="22" a="1"/>
  <c r="E8" i="22"/>
  <c r="E9" i="22"/>
  <c r="G9" i="22"/>
  <c r="H10" i="22"/>
  <c r="E11" i="22"/>
  <c r="F12" i="22"/>
  <c r="G12" i="22"/>
  <c r="H13" i="22"/>
  <c r="E14" i="22"/>
  <c r="E15" i="22"/>
  <c r="J16" i="22"/>
  <c r="E17" i="22"/>
  <c r="H17" i="22"/>
  <c r="E34" i="22" a="1"/>
  <c r="E39" i="22" s="1"/>
  <c r="F34" i="22" a="1"/>
  <c r="F44" i="22" s="1"/>
  <c r="G34" i="22" a="1"/>
  <c r="G37" i="22" s="1"/>
  <c r="H34" i="22" a="1"/>
  <c r="H45" i="22" s="1"/>
  <c r="I34" i="22" a="1"/>
  <c r="I36" i="22" s="1"/>
  <c r="J34" i="22" a="1"/>
  <c r="J40" i="22" s="1"/>
  <c r="K34" i="22" a="1"/>
  <c r="E36" i="22"/>
  <c r="E38" i="22"/>
  <c r="E42" i="22"/>
  <c r="J43" i="22"/>
  <c r="E44" i="22"/>
  <c r="J45" i="22"/>
  <c r="BL47" i="46"/>
  <c r="BM47" i="46" s="1"/>
  <c r="BO47" i="46"/>
  <c r="BL15" i="46"/>
  <c r="BM15" i="46" s="1"/>
  <c r="BO15" i="46"/>
  <c r="BL11" i="46"/>
  <c r="BM11" i="46"/>
  <c r="BO11" i="46"/>
  <c r="BL20" i="46"/>
  <c r="BO20" i="46"/>
  <c r="BL26" i="46"/>
  <c r="BM26" i="46" s="1"/>
  <c r="BO26" i="46"/>
  <c r="BL10" i="46"/>
  <c r="BM10" i="46"/>
  <c r="BO10" i="46"/>
  <c r="AA88" i="46"/>
  <c r="BL50" i="46"/>
  <c r="BM50" i="46" s="1"/>
  <c r="BO50" i="46"/>
  <c r="AC88" i="46"/>
  <c r="BL41" i="46"/>
  <c r="BM41" i="46" s="1"/>
  <c r="AK79" i="46"/>
  <c r="BL18" i="46"/>
  <c r="BM18" i="46" s="1"/>
  <c r="K58" i="50"/>
  <c r="BO35" i="46"/>
  <c r="BL13" i="46"/>
  <c r="BM13" i="46" s="1"/>
  <c r="BL46" i="46"/>
  <c r="BM46" i="46" s="1"/>
  <c r="BL39" i="46"/>
  <c r="BM39" i="46" s="1"/>
  <c r="BL34" i="46"/>
  <c r="BM34" i="46" s="1"/>
  <c r="BQ29" i="46"/>
  <c r="AH69" i="46"/>
  <c r="Z32" i="46"/>
  <c r="N32" i="46"/>
  <c r="BL49" i="46"/>
  <c r="BM49" i="46" s="1"/>
  <c r="AK32" i="46"/>
  <c r="Y32" i="46"/>
  <c r="BL19" i="46"/>
  <c r="BM19" i="46" s="1"/>
  <c r="AH5" i="46"/>
  <c r="V5" i="46"/>
  <c r="V4" i="46" s="1"/>
  <c r="AN101" i="50"/>
  <c r="AF69" i="46"/>
  <c r="AK48" i="46"/>
  <c r="BL42" i="46"/>
  <c r="BM42" i="46" s="1"/>
  <c r="AJ32" i="46"/>
  <c r="X32" i="46"/>
  <c r="BL24" i="46"/>
  <c r="BM24" i="46" s="1"/>
  <c r="BL16" i="46"/>
  <c r="BM16" i="46" s="1"/>
  <c r="BL8" i="46"/>
  <c r="BM8" i="46" s="1"/>
  <c r="U5" i="46"/>
  <c r="AI32" i="46"/>
  <c r="W32" i="46"/>
  <c r="W22" i="46" s="1"/>
  <c r="AF5" i="46"/>
  <c r="AF4" i="46"/>
  <c r="T5" i="46"/>
  <c r="T4" i="46" s="1"/>
  <c r="K52" i="50"/>
  <c r="BL48" i="46"/>
  <c r="BM48" i="46" s="1"/>
  <c r="AH32" i="46"/>
  <c r="V32" i="46"/>
  <c r="AE5" i="46"/>
  <c r="AE4" i="46" s="1"/>
  <c r="S5" i="46"/>
  <c r="S4" i="46" s="1"/>
  <c r="AG32" i="46"/>
  <c r="U32" i="46"/>
  <c r="BL28" i="46"/>
  <c r="BM28" i="46" s="1"/>
  <c r="AD5" i="46"/>
  <c r="R5" i="46"/>
  <c r="K50" i="50"/>
  <c r="AA69" i="46"/>
  <c r="AF32" i="46"/>
  <c r="AF22" i="46" s="1"/>
  <c r="AF62" i="46" s="1"/>
  <c r="T32" i="46"/>
  <c r="BL31" i="46"/>
  <c r="BM31" i="46"/>
  <c r="Q4" i="47"/>
  <c r="AC5" i="46"/>
  <c r="Q5" i="46"/>
  <c r="AE32" i="46"/>
  <c r="S32" i="46"/>
  <c r="BL7" i="46"/>
  <c r="BM7" i="46" s="1"/>
  <c r="P5" i="46"/>
  <c r="AE106" i="50"/>
  <c r="BL51" i="46"/>
  <c r="BM51" i="46" s="1"/>
  <c r="AD32" i="46"/>
  <c r="AA5" i="46"/>
  <c r="O5" i="46"/>
  <c r="AD106" i="50"/>
  <c r="N5" i="46"/>
  <c r="N4" i="46" s="1"/>
  <c r="AC106" i="50"/>
  <c r="AJ69" i="46"/>
  <c r="AB32" i="46"/>
  <c r="P32" i="46"/>
  <c r="Y5" i="46"/>
  <c r="BL30" i="46"/>
  <c r="BM30" i="46"/>
  <c r="AJ5" i="46"/>
  <c r="AJ4" i="46" s="1"/>
  <c r="X5" i="46"/>
  <c r="X4" i="46" s="1"/>
  <c r="Q106" i="50"/>
  <c r="Q106" i="32"/>
  <c r="T106" i="50"/>
  <c r="T106" i="32"/>
  <c r="B73" i="32"/>
  <c r="Y8" i="32"/>
  <c r="Y6" i="32"/>
  <c r="P106" i="50"/>
  <c r="B102" i="50"/>
  <c r="T11" i="50"/>
  <c r="K11" i="50" s="1"/>
  <c r="U89" i="50"/>
  <c r="T14" i="50"/>
  <c r="K14" i="50" s="1"/>
  <c r="V7" i="50"/>
  <c r="N7" i="50" s="1"/>
  <c r="AC5" i="45"/>
  <c r="U89" i="32"/>
  <c r="B73" i="50"/>
  <c r="V13" i="50"/>
  <c r="N13" i="50" s="1"/>
  <c r="T10" i="50"/>
  <c r="K10" i="50" s="1"/>
  <c r="T4" i="50"/>
  <c r="K4" i="50" s="1"/>
  <c r="AB32" i="45"/>
  <c r="O4" i="43"/>
  <c r="O5" i="45"/>
  <c r="U112" i="32"/>
  <c r="T13" i="50"/>
  <c r="K13" i="50" s="1"/>
  <c r="Y32" i="50" a="1"/>
  <c r="Y39" i="50" s="1"/>
  <c r="V6" i="50"/>
  <c r="N6" i="50" s="1"/>
  <c r="AK5" i="45"/>
  <c r="E106" i="32"/>
  <c r="Y5" i="32"/>
  <c r="I105" i="50"/>
  <c r="T6" i="50"/>
  <c r="K6" i="50" s="1"/>
  <c r="V9" i="50"/>
  <c r="N9" i="50" s="1"/>
  <c r="K4" i="43"/>
  <c r="V12" i="50"/>
  <c r="N12" i="50" s="1"/>
  <c r="T9" i="50"/>
  <c r="K9" i="50" s="1"/>
  <c r="W5" i="50"/>
  <c r="G5" i="50" s="1"/>
  <c r="B102" i="32"/>
  <c r="Y4" i="32"/>
  <c r="V15" i="50"/>
  <c r="N15" i="50" s="1"/>
  <c r="T12" i="50"/>
  <c r="K12" i="50" s="1"/>
  <c r="Y8" i="50"/>
  <c r="T5" i="50"/>
  <c r="K5" i="50" s="1"/>
  <c r="AH32" i="45"/>
  <c r="V32" i="45"/>
  <c r="T15" i="50"/>
  <c r="K15" i="50" s="1"/>
  <c r="AF5" i="45"/>
  <c r="AE88" i="45"/>
  <c r="T32" i="45"/>
  <c r="AE5" i="45"/>
  <c r="B9" i="48"/>
  <c r="Z88" i="46"/>
  <c r="AJ87" i="50"/>
  <c r="V4" i="47"/>
  <c r="J4" i="47"/>
  <c r="AH4" i="46"/>
  <c r="AK88" i="46"/>
  <c r="Y88" i="46"/>
  <c r="Z25" i="46"/>
  <c r="N22" i="46"/>
  <c r="N23" i="46"/>
  <c r="U4" i="47"/>
  <c r="K54" i="50"/>
  <c r="AJ88" i="46"/>
  <c r="X88" i="46"/>
  <c r="X83" i="46" s="1"/>
  <c r="Y83" i="46" s="1"/>
  <c r="AM87" i="50"/>
  <c r="AK22" i="46"/>
  <c r="AK23" i="46"/>
  <c r="T4" i="47"/>
  <c r="H4" i="47"/>
  <c r="K49" i="50"/>
  <c r="AI88" i="46"/>
  <c r="S4" i="47"/>
  <c r="G4" i="47"/>
  <c r="K56" i="50"/>
  <c r="AH88" i="46"/>
  <c r="R4" i="47"/>
  <c r="F4" i="47"/>
  <c r="K51" i="50"/>
  <c r="G48" i="50"/>
  <c r="AG88" i="46"/>
  <c r="AE87" i="50"/>
  <c r="E4" i="47"/>
  <c r="Q4" i="46"/>
  <c r="AF88" i="46"/>
  <c r="AI87" i="50"/>
  <c r="AG22" i="46"/>
  <c r="AG62" i="46" s="1"/>
  <c r="AG23" i="46"/>
  <c r="W4" i="47"/>
  <c r="K4" i="47"/>
  <c r="D4" i="47"/>
  <c r="K53" i="50"/>
  <c r="K47" i="50"/>
  <c r="AE88" i="46"/>
  <c r="AH87" i="50"/>
  <c r="O4" i="47"/>
  <c r="K48" i="50"/>
  <c r="AD88" i="46"/>
  <c r="BO33" i="46"/>
  <c r="AG87" i="50"/>
  <c r="AE23" i="46"/>
  <c r="AE22" i="46"/>
  <c r="N4" i="47"/>
  <c r="B4" i="47"/>
  <c r="K55" i="50"/>
  <c r="Y4" i="47"/>
  <c r="M4" i="47"/>
  <c r="AK4" i="46"/>
  <c r="Y4" i="46"/>
  <c r="AB88" i="46"/>
  <c r="X4" i="47"/>
  <c r="BL37" i="46"/>
  <c r="BM37" i="46" s="1"/>
  <c r="P22" i="46"/>
  <c r="AI4" i="46"/>
  <c r="BR6" i="46"/>
  <c r="AK45" i="46"/>
  <c r="BO6" i="46"/>
  <c r="BO14" i="46"/>
  <c r="T45" i="46"/>
  <c r="T57" i="46" s="1"/>
  <c r="B4" i="48"/>
  <c r="W13" i="50"/>
  <c r="G13" i="50" s="1"/>
  <c r="W10" i="50"/>
  <c r="G10" i="50" s="1"/>
  <c r="W7" i="50"/>
  <c r="G7" i="50" s="1"/>
  <c r="P4" i="43"/>
  <c r="D4" i="43"/>
  <c r="AK87" i="32"/>
  <c r="C4" i="43"/>
  <c r="W4" i="50"/>
  <c r="G4" i="50" s="1"/>
  <c r="AL87" i="32"/>
  <c r="U4" i="43"/>
  <c r="I4" i="43"/>
  <c r="N4" i="43"/>
  <c r="Z5" i="45"/>
  <c r="Z4" i="45" s="1"/>
  <c r="B72" i="32" s="1"/>
  <c r="AE87" i="32"/>
  <c r="Y4" i="43"/>
  <c r="W15" i="50"/>
  <c r="G15" i="50" s="1"/>
  <c r="W12" i="50"/>
  <c r="G12" i="50" s="1"/>
  <c r="W9" i="50"/>
  <c r="G9" i="50" s="1"/>
  <c r="V4" i="50"/>
  <c r="N4" i="50" s="1"/>
  <c r="F4" i="43"/>
  <c r="T45" i="45"/>
  <c r="AG87" i="32"/>
  <c r="W5" i="45"/>
  <c r="W4" i="45" s="1"/>
  <c r="AH57" i="45"/>
  <c r="AF87" i="32"/>
  <c r="V4" i="43"/>
  <c r="J4" i="43"/>
  <c r="T4" i="43"/>
  <c r="H4" i="43"/>
  <c r="V14" i="50"/>
  <c r="N14" i="50" s="1"/>
  <c r="V11" i="50"/>
  <c r="N11" i="50" s="1"/>
  <c r="V8" i="50"/>
  <c r="N8" i="50" s="1"/>
  <c r="AA27" i="45"/>
  <c r="S4" i="43"/>
  <c r="G4" i="43"/>
  <c r="X4" i="43"/>
  <c r="L4" i="43"/>
  <c r="E4" i="43"/>
  <c r="BL17" i="46"/>
  <c r="BM17" i="46" s="1"/>
  <c r="BO17" i="46"/>
  <c r="BL29" i="46"/>
  <c r="BM29" i="46"/>
  <c r="BO29" i="46"/>
  <c r="AC4" i="46"/>
  <c r="AM106" i="50"/>
  <c r="AJ107" i="50"/>
  <c r="AI88" i="50"/>
  <c r="AI106" i="50"/>
  <c r="AC106" i="32"/>
  <c r="AF106" i="32"/>
  <c r="X106" i="50"/>
  <c r="X106" i="32"/>
  <c r="T110" i="50"/>
  <c r="T110" i="32"/>
  <c r="AI106" i="32"/>
  <c r="S106" i="50"/>
  <c r="S106" i="32"/>
  <c r="P112" i="50"/>
  <c r="P112" i="32"/>
  <c r="P89" i="32"/>
  <c r="P89" i="50"/>
  <c r="AC89" i="50"/>
  <c r="AC112" i="50"/>
  <c r="H3" i="47"/>
  <c r="H9" i="47" s="1"/>
  <c r="AG3" i="46"/>
  <c r="AD111" i="50"/>
  <c r="AD88" i="50"/>
  <c r="AD112" i="50"/>
  <c r="AD89" i="50"/>
  <c r="AE112" i="50"/>
  <c r="AE89" i="50"/>
  <c r="AK57" i="46"/>
  <c r="AK69" i="46"/>
  <c r="AM112" i="50"/>
  <c r="AM89" i="50"/>
  <c r="D3" i="47"/>
  <c r="AL87" i="50"/>
  <c r="AK112" i="50"/>
  <c r="AK89" i="50"/>
  <c r="E3" i="47"/>
  <c r="E9" i="47" s="1"/>
  <c r="AG112" i="50"/>
  <c r="AG89" i="50"/>
  <c r="K5" i="47"/>
  <c r="G3" i="47"/>
  <c r="G9" i="47" s="1"/>
  <c r="Z22" i="46"/>
  <c r="Z23" i="46"/>
  <c r="C5" i="43"/>
  <c r="P87" i="50"/>
  <c r="P87" i="32"/>
  <c r="Q110" i="50"/>
  <c r="Q110" i="32"/>
  <c r="T87" i="50"/>
  <c r="T87" i="32"/>
  <c r="AB88" i="32"/>
  <c r="AB111" i="32"/>
  <c r="Y107" i="50"/>
  <c r="Y107" i="32"/>
  <c r="W87" i="50"/>
  <c r="W87" i="32"/>
  <c r="V88" i="50"/>
  <c r="V111" i="50"/>
  <c r="V88" i="32"/>
  <c r="V111" i="32"/>
  <c r="AC87" i="32"/>
  <c r="O5" i="43"/>
  <c r="AJ107" i="32"/>
  <c r="U87" i="50"/>
  <c r="U87" i="32"/>
  <c r="AD106" i="32"/>
  <c r="Q89" i="50"/>
  <c r="Q112" i="50"/>
  <c r="Q89" i="32"/>
  <c r="Q112" i="32"/>
  <c r="Z106" i="50"/>
  <c r="Z106" i="32"/>
  <c r="Q87" i="50"/>
  <c r="Q87" i="32"/>
  <c r="C3" i="43"/>
  <c r="AB89" i="32"/>
  <c r="AB112" i="32"/>
  <c r="F3" i="43"/>
  <c r="AI87" i="32"/>
  <c r="H3" i="43"/>
  <c r="H9" i="43" s="1"/>
  <c r="H5" i="43"/>
  <c r="R4" i="43"/>
  <c r="O89" i="50"/>
  <c r="O112" i="50"/>
  <c r="O89" i="32"/>
  <c r="O112" i="32"/>
  <c r="AH106" i="32"/>
  <c r="S87" i="50"/>
  <c r="S87" i="32"/>
  <c r="W106" i="50"/>
  <c r="W106" i="32"/>
  <c r="BO12" i="46"/>
  <c r="AI112" i="50"/>
  <c r="AI89" i="50"/>
  <c r="AI111" i="50"/>
  <c r="AM88" i="50"/>
  <c r="AM111" i="50"/>
  <c r="Y5" i="47"/>
  <c r="AJ106" i="50"/>
  <c r="AF112" i="32"/>
  <c r="AF89" i="32"/>
  <c r="AI111" i="32"/>
  <c r="AI88" i="32"/>
  <c r="AF111" i="32"/>
  <c r="AF88" i="32"/>
  <c r="AI112" i="32"/>
  <c r="AI89" i="32"/>
  <c r="X89" i="50"/>
  <c r="X112" i="50"/>
  <c r="X112" i="32"/>
  <c r="X89" i="32"/>
  <c r="AC112" i="32"/>
  <c r="AC89" i="32"/>
  <c r="AC111" i="32"/>
  <c r="AC88" i="32"/>
  <c r="U5" i="43"/>
  <c r="S112" i="50"/>
  <c r="S112" i="32"/>
  <c r="S89" i="32"/>
  <c r="S89" i="50"/>
  <c r="B5" i="47"/>
  <c r="S3" i="47"/>
  <c r="S8" i="47"/>
  <c r="BL36" i="46"/>
  <c r="BM36" i="46" s="1"/>
  <c r="D9" i="47"/>
  <c r="V8" i="47"/>
  <c r="V3" i="47"/>
  <c r="G5" i="47"/>
  <c r="D5" i="47"/>
  <c r="O3" i="47"/>
  <c r="O8" i="47"/>
  <c r="E5" i="47"/>
  <c r="Q3" i="47"/>
  <c r="AB87" i="50"/>
  <c r="Y3" i="47"/>
  <c r="Y8" i="47"/>
  <c r="R5" i="43"/>
  <c r="Y106" i="50"/>
  <c r="Y106" i="32"/>
  <c r="AB87" i="32"/>
  <c r="AL107" i="32"/>
  <c r="J3" i="43"/>
  <c r="AD89" i="32"/>
  <c r="AD112" i="32"/>
  <c r="W88" i="50"/>
  <c r="W111" i="50"/>
  <c r="W111" i="32"/>
  <c r="W88" i="32"/>
  <c r="J5" i="43"/>
  <c r="F5" i="43"/>
  <c r="X3" i="43"/>
  <c r="X8" i="43" s="1"/>
  <c r="AJ88" i="32"/>
  <c r="AJ106" i="32"/>
  <c r="W112" i="50"/>
  <c r="W89" i="50"/>
  <c r="W89" i="32"/>
  <c r="W112" i="32"/>
  <c r="O3" i="43"/>
  <c r="O8" i="43" s="1"/>
  <c r="P120" i="50"/>
  <c r="P120" i="32"/>
  <c r="W32" i="32" a="1"/>
  <c r="W41" i="32" s="1"/>
  <c r="G41" i="32" s="1"/>
  <c r="S3" i="43"/>
  <c r="S8" i="43" s="1"/>
  <c r="AH89" i="32"/>
  <c r="AH112" i="32"/>
  <c r="W32" i="50" a="1"/>
  <c r="AH88" i="32"/>
  <c r="AH111" i="32"/>
  <c r="P119" i="50"/>
  <c r="P119" i="32"/>
  <c r="Z89" i="50"/>
  <c r="Z112" i="50"/>
  <c r="Z89" i="32"/>
  <c r="Z112" i="32"/>
  <c r="BL33" i="46"/>
  <c r="BM33" i="46" s="1"/>
  <c r="BL35" i="46"/>
  <c r="BM35" i="46" s="1"/>
  <c r="AJ89" i="50"/>
  <c r="AJ112" i="50"/>
  <c r="V5" i="47"/>
  <c r="AJ111" i="50"/>
  <c r="AJ88" i="50"/>
  <c r="X8" i="47"/>
  <c r="X3" i="47"/>
  <c r="AL106" i="32"/>
  <c r="Y111" i="50"/>
  <c r="Y88" i="50"/>
  <c r="Y88" i="32"/>
  <c r="Y111" i="32"/>
  <c r="AJ89" i="32"/>
  <c r="AJ112" i="32"/>
  <c r="J8" i="43"/>
  <c r="R3" i="43"/>
  <c r="R8" i="43" s="1"/>
  <c r="AD88" i="32"/>
  <c r="AD111" i="32"/>
  <c r="U3" i="43"/>
  <c r="U8" i="43" s="1"/>
  <c r="S120" i="50"/>
  <c r="S120" i="32"/>
  <c r="N3" i="43"/>
  <c r="N8" i="43" s="1"/>
  <c r="N5" i="43"/>
  <c r="Y89" i="50"/>
  <c r="Y112" i="50"/>
  <c r="Y89" i="32"/>
  <c r="Y112" i="32"/>
  <c r="J7" i="47"/>
  <c r="J7" i="43"/>
  <c r="W122" i="50"/>
  <c r="W122" i="32"/>
  <c r="AL89" i="32"/>
  <c r="AL112" i="32"/>
  <c r="W91" i="50"/>
  <c r="W91" i="32"/>
  <c r="O6" i="56" l="1"/>
  <c r="M149" i="53" s="1"/>
  <c r="L149" i="53" s="1"/>
  <c r="O8" i="56"/>
  <c r="M151" i="53" s="1"/>
  <c r="L151" i="53" s="1"/>
  <c r="O6" i="55"/>
  <c r="M4" i="53" s="1"/>
  <c r="L4" i="53" s="1"/>
  <c r="O8" i="55"/>
  <c r="M6" i="53" s="1"/>
  <c r="L6" i="53" s="1"/>
  <c r="N152" i="53"/>
  <c r="K152" i="53" s="1"/>
  <c r="M152" i="53"/>
  <c r="L152" i="53" s="1"/>
  <c r="Z32" i="45"/>
  <c r="Z23" i="45" s="1"/>
  <c r="B87" i="50" s="1"/>
  <c r="C120" i="32"/>
  <c r="AG69" i="45"/>
  <c r="I89" i="32" s="1"/>
  <c r="H106" i="32"/>
  <c r="M122" i="32"/>
  <c r="I102" i="32"/>
  <c r="E120" i="32"/>
  <c r="K99" i="32"/>
  <c r="AF4" i="45"/>
  <c r="H72" i="32" s="1"/>
  <c r="I105" i="32"/>
  <c r="E91" i="50"/>
  <c r="Y5" i="45"/>
  <c r="Y4" i="45" s="1"/>
  <c r="L73" i="50"/>
  <c r="AE69" i="45"/>
  <c r="G89" i="32" s="1"/>
  <c r="K120" i="32"/>
  <c r="I99" i="32"/>
  <c r="AF32" i="45"/>
  <c r="AF22" i="45" s="1"/>
  <c r="AF62" i="45" s="1"/>
  <c r="P32" i="45"/>
  <c r="P23" i="45" s="1"/>
  <c r="W32" i="45"/>
  <c r="W23" i="45" s="1"/>
  <c r="W3" i="45" s="1"/>
  <c r="CB14" i="45"/>
  <c r="I73" i="32"/>
  <c r="D105" i="50"/>
  <c r="D91" i="50"/>
  <c r="CB9" i="45"/>
  <c r="Q5" i="45"/>
  <c r="Q4" i="45" s="1"/>
  <c r="Y9" i="32"/>
  <c r="Y7" i="32"/>
  <c r="N32" i="45"/>
  <c r="N22" i="45" s="1"/>
  <c r="Y11" i="32"/>
  <c r="R57" i="45"/>
  <c r="R55" i="45" s="1"/>
  <c r="K73" i="50"/>
  <c r="AI69" i="45"/>
  <c r="K89" i="50" s="1"/>
  <c r="K102" i="50"/>
  <c r="K73" i="32"/>
  <c r="K102" i="32"/>
  <c r="AA88" i="45"/>
  <c r="Y14" i="50"/>
  <c r="Y9" i="50"/>
  <c r="Y6" i="50"/>
  <c r="Y88" i="45"/>
  <c r="H99" i="32"/>
  <c r="AG88" i="45"/>
  <c r="AH88" i="45"/>
  <c r="AI88" i="45"/>
  <c r="T5" i="45"/>
  <c r="T4" i="45" s="1"/>
  <c r="AD88" i="45"/>
  <c r="CB6" i="45"/>
  <c r="F102" i="50"/>
  <c r="AF57" i="45"/>
  <c r="AB88" i="45"/>
  <c r="T57" i="45"/>
  <c r="T55" i="45" s="1"/>
  <c r="Y5" i="50"/>
  <c r="Y15" i="50"/>
  <c r="Y10" i="50"/>
  <c r="CB46" i="45"/>
  <c r="X88" i="45"/>
  <c r="X83" i="45" s="1"/>
  <c r="Y83" i="45" s="1"/>
  <c r="AC88" i="45"/>
  <c r="I120" i="32"/>
  <c r="L106" i="32"/>
  <c r="M105" i="32"/>
  <c r="N57" i="45"/>
  <c r="N55" i="45" s="1"/>
  <c r="AF88" i="45"/>
  <c r="Y12" i="50"/>
  <c r="Y7" i="50"/>
  <c r="C91" i="32"/>
  <c r="K91" i="32"/>
  <c r="V8" i="32"/>
  <c r="N8" i="32" s="1"/>
  <c r="AJ57" i="45"/>
  <c r="S57" i="45"/>
  <c r="S55" i="45" s="1"/>
  <c r="W9" i="32"/>
  <c r="G9" i="32" s="1"/>
  <c r="H91" i="32"/>
  <c r="I91" i="32"/>
  <c r="AA32" i="45"/>
  <c r="AG32" i="45"/>
  <c r="M62" i="45"/>
  <c r="CC62" i="45" s="1"/>
  <c r="AG5" i="45"/>
  <c r="AG4" i="45" s="1"/>
  <c r="B91" i="32"/>
  <c r="C105" i="50"/>
  <c r="AJ69" i="45"/>
  <c r="L89" i="50" s="1"/>
  <c r="AK4" i="45"/>
  <c r="M72" i="50" s="1"/>
  <c r="AB69" i="45"/>
  <c r="D112" i="32" s="1"/>
  <c r="AD5" i="45"/>
  <c r="AD4" i="45" s="1"/>
  <c r="J91" i="50"/>
  <c r="Z88" i="45"/>
  <c r="X32" i="45"/>
  <c r="X23" i="45" s="1"/>
  <c r="O32" i="45"/>
  <c r="W15" i="32"/>
  <c r="G15" i="32" s="1"/>
  <c r="O4" i="45"/>
  <c r="AE4" i="45"/>
  <c r="X4" i="45"/>
  <c r="W6" i="32"/>
  <c r="G6" i="32" s="1"/>
  <c r="G91" i="32"/>
  <c r="Y57" i="45"/>
  <c r="Y55" i="45" s="1"/>
  <c r="AK32" i="45"/>
  <c r="AK22" i="45" s="1"/>
  <c r="AC32" i="45"/>
  <c r="CC23" i="45"/>
  <c r="AI4" i="45"/>
  <c r="AI3" i="45" s="1"/>
  <c r="V5" i="45"/>
  <c r="V4" i="45" s="1"/>
  <c r="B79" i="32"/>
  <c r="B80" i="32" s="1"/>
  <c r="W12" i="32"/>
  <c r="G12" i="32" s="1"/>
  <c r="W7" i="32"/>
  <c r="G7" i="32" s="1"/>
  <c r="X57" i="45"/>
  <c r="X55" i="45" s="1"/>
  <c r="P57" i="45"/>
  <c r="P55" i="45" s="1"/>
  <c r="AJ32" i="45"/>
  <c r="P5" i="45"/>
  <c r="P4" i="45" s="1"/>
  <c r="U5" i="45"/>
  <c r="U4" i="45" s="1"/>
  <c r="W14" i="32"/>
  <c r="G14" i="32" s="1"/>
  <c r="W5" i="32"/>
  <c r="G5" i="32" s="1"/>
  <c r="W13" i="32"/>
  <c r="G13" i="32" s="1"/>
  <c r="AC4" i="45"/>
  <c r="E72" i="50" s="1"/>
  <c r="W8" i="32"/>
  <c r="G8" i="32" s="1"/>
  <c r="W10" i="32"/>
  <c r="G10" i="32" s="1"/>
  <c r="W57" i="45"/>
  <c r="W55" i="45" s="1"/>
  <c r="I73" i="50"/>
  <c r="AJ5" i="45"/>
  <c r="AJ4" i="45" s="1"/>
  <c r="L72" i="32" s="1"/>
  <c r="L79" i="32" s="1"/>
  <c r="N4" i="45"/>
  <c r="W11" i="32"/>
  <c r="G11" i="32" s="1"/>
  <c r="C121" i="50"/>
  <c r="U57" i="45"/>
  <c r="U55" i="45" s="1"/>
  <c r="Y32" i="45"/>
  <c r="Y23" i="45" s="1"/>
  <c r="Y3" i="45" s="1"/>
  <c r="Q32" i="45"/>
  <c r="Q22" i="45" s="1"/>
  <c r="S4" i="45"/>
  <c r="AH5" i="45"/>
  <c r="AH4" i="45" s="1"/>
  <c r="AE62" i="46"/>
  <c r="AE63" i="46"/>
  <c r="AE65" i="46" s="1"/>
  <c r="AE3" i="46"/>
  <c r="U4" i="46"/>
  <c r="U3" i="46" s="1"/>
  <c r="C73" i="32"/>
  <c r="C102" i="32"/>
  <c r="CB29" i="45"/>
  <c r="O27" i="45"/>
  <c r="O25" i="45" s="1"/>
  <c r="CB25" i="45" s="1"/>
  <c r="AC23" i="46"/>
  <c r="AC22" i="46"/>
  <c r="AC62" i="46" s="1"/>
  <c r="R3" i="46"/>
  <c r="Z507" i="10"/>
  <c r="AC507" i="10" s="1"/>
  <c r="AU140" i="10"/>
  <c r="AQ140" i="10"/>
  <c r="K87" i="50"/>
  <c r="K87" i="32"/>
  <c r="AD23" i="46"/>
  <c r="AD22" i="46"/>
  <c r="E4" i="17"/>
  <c r="E13" i="17"/>
  <c r="E7" i="17"/>
  <c r="E9" i="17"/>
  <c r="BR48" i="46"/>
  <c r="BQ45" i="46"/>
  <c r="AH57" i="46"/>
  <c r="BQ38" i="46"/>
  <c r="AA32" i="46"/>
  <c r="AA23" i="46" s="1"/>
  <c r="AA63" i="46" s="1"/>
  <c r="AA65" i="46" s="1"/>
  <c r="O32" i="46"/>
  <c r="BR38" i="46"/>
  <c r="BQ33" i="46"/>
  <c r="BR33" i="46"/>
  <c r="R32" i="46"/>
  <c r="R23" i="46" s="1"/>
  <c r="BS23" i="46"/>
  <c r="BQ17" i="46"/>
  <c r="BR17" i="46"/>
  <c r="D11" i="17"/>
  <c r="D14" i="17"/>
  <c r="D8" i="17"/>
  <c r="D10" i="17"/>
  <c r="D12" i="17"/>
  <c r="R22" i="46"/>
  <c r="R62" i="46" s="1"/>
  <c r="I112" i="32"/>
  <c r="I89" i="50"/>
  <c r="K9" i="22"/>
  <c r="K14" i="22"/>
  <c r="K12" i="22"/>
  <c r="V22" i="45"/>
  <c r="V23" i="45"/>
  <c r="AB69" i="46"/>
  <c r="BQ51" i="46"/>
  <c r="AE48" i="46"/>
  <c r="AE69" i="46" s="1"/>
  <c r="AB25" i="46"/>
  <c r="BQ25" i="46" s="1"/>
  <c r="BQ27" i="46"/>
  <c r="Q27" i="46"/>
  <c r="Q25" i="46" s="1"/>
  <c r="Q23" i="46" s="1"/>
  <c r="Q3" i="46" s="1"/>
  <c r="BR29" i="46"/>
  <c r="AH22" i="45"/>
  <c r="AH23" i="45"/>
  <c r="J8" i="22"/>
  <c r="J11" i="22"/>
  <c r="J14" i="22"/>
  <c r="J18" i="22"/>
  <c r="J9" i="22"/>
  <c r="J12" i="22"/>
  <c r="J15" i="22"/>
  <c r="J7" i="22"/>
  <c r="J17" i="22"/>
  <c r="AK21" i="10"/>
  <c r="AL22" i="10" s="1"/>
  <c r="AJ26" i="10"/>
  <c r="K45" i="22"/>
  <c r="K40" i="22"/>
  <c r="K44" i="22"/>
  <c r="K38" i="22"/>
  <c r="J13" i="22"/>
  <c r="E11" i="17"/>
  <c r="Z57" i="46"/>
  <c r="BQ52" i="46"/>
  <c r="BQ9" i="46"/>
  <c r="Z5" i="46"/>
  <c r="BR9" i="46"/>
  <c r="V22" i="46"/>
  <c r="V23" i="46"/>
  <c r="V3" i="46" s="1"/>
  <c r="T22" i="45"/>
  <c r="T23" i="45"/>
  <c r="AB22" i="45"/>
  <c r="AB23" i="45"/>
  <c r="AC45" i="25"/>
  <c r="G99" i="50"/>
  <c r="G99" i="32"/>
  <c r="AJ22" i="46"/>
  <c r="AJ62" i="46" s="1"/>
  <c r="AJ23" i="46"/>
  <c r="AJ3" i="46" s="1"/>
  <c r="Y498" i="10"/>
  <c r="Z498" i="10" s="1"/>
  <c r="AC498" i="10" s="1"/>
  <c r="T22" i="46"/>
  <c r="T62" i="46" s="1"/>
  <c r="T23" i="46"/>
  <c r="T3" i="46" s="1"/>
  <c r="U32" i="45"/>
  <c r="CB33" i="45"/>
  <c r="Z69" i="46"/>
  <c r="BQ48" i="46"/>
  <c r="AG63" i="46"/>
  <c r="AG65" i="46" s="1"/>
  <c r="Z35" i="10"/>
  <c r="Z36" i="10"/>
  <c r="AK62" i="46"/>
  <c r="AK63" i="46"/>
  <c r="AK65" i="46" s="1"/>
  <c r="AK3" i="46"/>
  <c r="AA62" i="25"/>
  <c r="AA61" i="25" s="1"/>
  <c r="AA59" i="25" s="1"/>
  <c r="Z62" i="25"/>
  <c r="Z61" i="25" s="1"/>
  <c r="Z59" i="25" s="1"/>
  <c r="G55" i="50"/>
  <c r="G52" i="50"/>
  <c r="G50" i="50"/>
  <c r="G51" i="50"/>
  <c r="AK45" i="45"/>
  <c r="M100" i="50"/>
  <c r="N100" i="50" s="1"/>
  <c r="M100" i="32"/>
  <c r="N100" i="32" s="1"/>
  <c r="AC57" i="45"/>
  <c r="E99" i="50"/>
  <c r="BR14" i="46"/>
  <c r="U12" i="46"/>
  <c r="N3" i="46"/>
  <c r="N62" i="46"/>
  <c r="V62" i="46"/>
  <c r="AC48" i="45"/>
  <c r="AC69" i="45" s="1"/>
  <c r="E105" i="50"/>
  <c r="E105" i="32"/>
  <c r="X22" i="45"/>
  <c r="AD12" i="46"/>
  <c r="AD4" i="46" s="1"/>
  <c r="BQ14" i="46"/>
  <c r="AB377" i="10"/>
  <c r="T377" i="10"/>
  <c r="Z45" i="10"/>
  <c r="AJ63" i="46"/>
  <c r="AJ65" i="46" s="1"/>
  <c r="AI22" i="45"/>
  <c r="K10" i="22"/>
  <c r="X52" i="25"/>
  <c r="X51" i="25" s="1"/>
  <c r="X38" i="25" s="1"/>
  <c r="Y52" i="25"/>
  <c r="X46" i="25"/>
  <c r="AF23" i="46"/>
  <c r="BR12" i="46"/>
  <c r="F14" i="22"/>
  <c r="F11" i="22"/>
  <c r="F8" i="22"/>
  <c r="K49" i="17"/>
  <c r="L49" i="17" s="1"/>
  <c r="M49" i="17" s="1"/>
  <c r="G105" i="32"/>
  <c r="T129" i="25"/>
  <c r="AD488" i="10"/>
  <c r="Z471" i="10"/>
  <c r="T369" i="10"/>
  <c r="T367" i="10"/>
  <c r="T365" i="10"/>
  <c r="T363" i="10"/>
  <c r="AS118" i="10"/>
  <c r="AS117" i="10" s="1"/>
  <c r="AS116" i="10" s="1"/>
  <c r="AS115" i="10" s="1"/>
  <c r="Z31" i="10"/>
  <c r="CB17" i="45"/>
  <c r="Z501" i="10"/>
  <c r="AC501" i="10" s="1"/>
  <c r="AQ99" i="10"/>
  <c r="Y99" i="10" s="1"/>
  <c r="Z99" i="10" s="1"/>
  <c r="AB99" i="10" s="1"/>
  <c r="Z81" i="10"/>
  <c r="AB81" i="10" s="1"/>
  <c r="Z40" i="10"/>
  <c r="P4" i="46"/>
  <c r="H16" i="22"/>
  <c r="E13" i="22"/>
  <c r="F10" i="22"/>
  <c r="D22" i="17"/>
  <c r="C22" i="17" s="1"/>
  <c r="B120" i="32"/>
  <c r="B121" i="32" s="1"/>
  <c r="V15" i="32"/>
  <c r="N15" i="32" s="1"/>
  <c r="O57" i="45"/>
  <c r="O55" i="45" s="1"/>
  <c r="V57" i="45"/>
  <c r="V55" i="45" s="1"/>
  <c r="D73" i="50"/>
  <c r="W5" i="46"/>
  <c r="W4" i="46" s="1"/>
  <c r="W62" i="46" s="1"/>
  <c r="A12" i="47"/>
  <c r="AD466" i="10"/>
  <c r="E16" i="22"/>
  <c r="E10" i="22"/>
  <c r="D21" i="17"/>
  <c r="C21" i="17" s="1"/>
  <c r="V14" i="32"/>
  <c r="N14" i="32" s="1"/>
  <c r="T126" i="25"/>
  <c r="AN110" i="50"/>
  <c r="Z57" i="45"/>
  <c r="AE32" i="45"/>
  <c r="AE22" i="45" s="1"/>
  <c r="AQ508" i="10"/>
  <c r="Y503" i="10"/>
  <c r="V495" i="10"/>
  <c r="Y495" i="10" s="1"/>
  <c r="Z496" i="10" s="1"/>
  <c r="AC496" i="10" s="1"/>
  <c r="Z464" i="10"/>
  <c r="Z456" i="10"/>
  <c r="Z437" i="10"/>
  <c r="Z434" i="10"/>
  <c r="Z89" i="10"/>
  <c r="D20" i="17"/>
  <c r="C20" i="17" s="1"/>
  <c r="V12" i="32"/>
  <c r="N12" i="32" s="1"/>
  <c r="AC48" i="25"/>
  <c r="Z497" i="10"/>
  <c r="AC497" i="10" s="1"/>
  <c r="AD483" i="10"/>
  <c r="Z43" i="10"/>
  <c r="H15" i="22"/>
  <c r="H9" i="22"/>
  <c r="Z77" i="25"/>
  <c r="G105" i="50"/>
  <c r="W8" i="50"/>
  <c r="G8" i="50" s="1"/>
  <c r="AK93" i="45"/>
  <c r="M91" i="50" s="1"/>
  <c r="A8" i="57"/>
  <c r="N8" i="57" s="1"/>
  <c r="R5" i="45"/>
  <c r="R4" i="45" s="1"/>
  <c r="V492" i="10"/>
  <c r="Y492" i="10" s="1"/>
  <c r="Z493" i="10" s="1"/>
  <c r="AC493" i="10" s="1"/>
  <c r="Z445" i="10"/>
  <c r="AQ243" i="10"/>
  <c r="AU150" i="10"/>
  <c r="Z104" i="10"/>
  <c r="AH104" i="10" s="1"/>
  <c r="N107" i="32"/>
  <c r="AD57" i="25"/>
  <c r="AN119" i="50"/>
  <c r="AN108" i="50"/>
  <c r="AN100" i="50"/>
  <c r="AN99" i="50"/>
  <c r="AK48" i="45"/>
  <c r="M102" i="32" s="1"/>
  <c r="U57" i="46"/>
  <c r="U55" i="46" s="1"/>
  <c r="AC57" i="46"/>
  <c r="Z23" i="47"/>
  <c r="Z494" i="10"/>
  <c r="AC494" i="10" s="1"/>
  <c r="AD480" i="10"/>
  <c r="AC480" i="10" s="1"/>
  <c r="Z459" i="10"/>
  <c r="E12" i="22"/>
  <c r="F9" i="22"/>
  <c r="F7" i="22"/>
  <c r="N101" i="50"/>
  <c r="AK88" i="45"/>
  <c r="AB5" i="45"/>
  <c r="AB4" i="45" s="1"/>
  <c r="AB57" i="46"/>
  <c r="Z483" i="10"/>
  <c r="Z468" i="10"/>
  <c r="AD463" i="10"/>
  <c r="Z439" i="10"/>
  <c r="Z433" i="10"/>
  <c r="Z103" i="10"/>
  <c r="AB103" i="10" s="1"/>
  <c r="Z94" i="10"/>
  <c r="Z82" i="10"/>
  <c r="AB82" i="10" s="1"/>
  <c r="E40" i="22"/>
  <c r="Y94" i="25"/>
  <c r="Y95" i="25" s="1"/>
  <c r="Y93" i="25" s="1"/>
  <c r="V5" i="50"/>
  <c r="N5" i="50" s="1"/>
  <c r="AD32" i="45"/>
  <c r="S57" i="46"/>
  <c r="S55" i="46" s="1"/>
  <c r="AA57" i="46"/>
  <c r="V499" i="10"/>
  <c r="Y499" i="10" s="1"/>
  <c r="Z499" i="10" s="1"/>
  <c r="AC499" i="10" s="1"/>
  <c r="AD484" i="10"/>
  <c r="Z481" i="10"/>
  <c r="AD470" i="10"/>
  <c r="AD465" i="10"/>
  <c r="Z461" i="10"/>
  <c r="AC461" i="10" s="1"/>
  <c r="Z454" i="10"/>
  <c r="AU124" i="10"/>
  <c r="AS125" i="10" s="1"/>
  <c r="AS126" i="10" s="1"/>
  <c r="AS127" i="10" s="1"/>
  <c r="AS128" i="10" s="1"/>
  <c r="AS129" i="10" s="1"/>
  <c r="AS130" i="10" s="1"/>
  <c r="AS131" i="10" s="1"/>
  <c r="AS132" i="10" s="1"/>
  <c r="AS133" i="10" s="1"/>
  <c r="AS134" i="10" s="1"/>
  <c r="AS135" i="10" s="1"/>
  <c r="AS136" i="10" s="1"/>
  <c r="AS137" i="10" s="1"/>
  <c r="AS138" i="10" s="1"/>
  <c r="AS139" i="10" s="1"/>
  <c r="AS140" i="10" s="1"/>
  <c r="AS141" i="10" s="1"/>
  <c r="AS142" i="10" s="1"/>
  <c r="AS143" i="10" s="1"/>
  <c r="AS144" i="10" s="1"/>
  <c r="AS145" i="10" s="1"/>
  <c r="AS146" i="10" s="1"/>
  <c r="AS147" i="10" s="1"/>
  <c r="AS148" i="10" s="1"/>
  <c r="AS149" i="10" s="1"/>
  <c r="AS150" i="10" s="1"/>
  <c r="AS151" i="10" s="1"/>
  <c r="AS152" i="10" s="1"/>
  <c r="AS153" i="10" s="1"/>
  <c r="P23" i="46"/>
  <c r="J39" i="22"/>
  <c r="H18" i="22"/>
  <c r="H14" i="22"/>
  <c r="H11" i="22"/>
  <c r="E7" i="22"/>
  <c r="X94" i="25"/>
  <c r="X95" i="25" s="1"/>
  <c r="X93" i="25" s="1"/>
  <c r="Z46" i="25"/>
  <c r="AE57" i="45"/>
  <c r="AG57" i="45"/>
  <c r="R32" i="45"/>
  <c r="R22" i="45" s="1"/>
  <c r="AD69" i="46"/>
  <c r="BR46" i="46"/>
  <c r="Z510" i="10"/>
  <c r="AC510" i="10" s="1"/>
  <c r="AQ152" i="10"/>
  <c r="N7" i="53"/>
  <c r="K7" i="53" s="1"/>
  <c r="L7" i="53"/>
  <c r="L3" i="53"/>
  <c r="L5" i="53"/>
  <c r="T57" i="32"/>
  <c r="K57" i="32" s="1"/>
  <c r="E18" i="47"/>
  <c r="D18" i="43"/>
  <c r="B18" i="43"/>
  <c r="Y39" i="32"/>
  <c r="Y43" i="50"/>
  <c r="F9" i="43"/>
  <c r="T38" i="50"/>
  <c r="K38" i="50" s="1"/>
  <c r="AC121" i="32"/>
  <c r="AD121" i="32" s="1"/>
  <c r="AE121" i="32" s="1"/>
  <c r="AF121" i="32" s="1"/>
  <c r="AG121" i="32" s="1"/>
  <c r="AH121" i="32" s="1"/>
  <c r="AI121" i="32" s="1"/>
  <c r="AJ121" i="32" s="1"/>
  <c r="AK121" i="32" s="1"/>
  <c r="AL121" i="32" s="1"/>
  <c r="AM121" i="32" s="1"/>
  <c r="Y36" i="32"/>
  <c r="Y37" i="32"/>
  <c r="Y41" i="32"/>
  <c r="V13" i="32"/>
  <c r="N13" i="32" s="1"/>
  <c r="T12" i="32"/>
  <c r="K12" i="32" s="1"/>
  <c r="Y12" i="32"/>
  <c r="N88" i="50"/>
  <c r="Y4" i="50"/>
  <c r="J18" i="43"/>
  <c r="V7" i="32"/>
  <c r="N7" i="32" s="1"/>
  <c r="N104" i="50"/>
  <c r="N103" i="50"/>
  <c r="V9" i="32"/>
  <c r="N9" i="32" s="1"/>
  <c r="N107" i="50"/>
  <c r="V6" i="32"/>
  <c r="N6" i="32" s="1"/>
  <c r="E18" i="43"/>
  <c r="V4" i="32"/>
  <c r="N4" i="32" s="1"/>
  <c r="N109" i="32"/>
  <c r="T9" i="32"/>
  <c r="K9" i="32" s="1"/>
  <c r="V11" i="32"/>
  <c r="N11" i="32" s="1"/>
  <c r="T8" i="50"/>
  <c r="K8" i="50" s="1"/>
  <c r="N111" i="32"/>
  <c r="T13" i="32"/>
  <c r="K13" i="32" s="1"/>
  <c r="V10" i="32"/>
  <c r="N10" i="32" s="1"/>
  <c r="Y14" i="32"/>
  <c r="D18" i="47"/>
  <c r="Y32" i="32"/>
  <c r="W51" i="32"/>
  <c r="G51" i="32" s="1"/>
  <c r="Y35" i="32"/>
  <c r="Y43" i="32"/>
  <c r="B18" i="47"/>
  <c r="G18" i="47"/>
  <c r="Y34" i="32"/>
  <c r="Y38" i="32"/>
  <c r="W48" i="32"/>
  <c r="G48" i="32" s="1"/>
  <c r="Y42" i="32"/>
  <c r="A12" i="43"/>
  <c r="J18" i="47"/>
  <c r="I18" i="43"/>
  <c r="H18" i="43"/>
  <c r="G18" i="43"/>
  <c r="AA105" i="50"/>
  <c r="Y47" i="32" a="1"/>
  <c r="Y58" i="32" s="1"/>
  <c r="P5" i="56"/>
  <c r="G57" i="50"/>
  <c r="AN104" i="50"/>
  <c r="AN103" i="50"/>
  <c r="AN102" i="50"/>
  <c r="G47" i="50"/>
  <c r="G49" i="50"/>
  <c r="G54" i="50"/>
  <c r="G53" i="50"/>
  <c r="G56" i="50"/>
  <c r="G58" i="50"/>
  <c r="AN110" i="32"/>
  <c r="AA106" i="32"/>
  <c r="AA100" i="32"/>
  <c r="AA101" i="50"/>
  <c r="AA100" i="50"/>
  <c r="AA107" i="50"/>
  <c r="AA104" i="50"/>
  <c r="C9" i="43"/>
  <c r="Y36" i="50"/>
  <c r="T35" i="50"/>
  <c r="K35" i="50" s="1"/>
  <c r="W39" i="32"/>
  <c r="G39" i="32" s="1"/>
  <c r="W55" i="32"/>
  <c r="G55" i="32" s="1"/>
  <c r="W40" i="32"/>
  <c r="G40" i="32" s="1"/>
  <c r="Y42" i="50"/>
  <c r="W34" i="32"/>
  <c r="G34" i="32" s="1"/>
  <c r="W32" i="32"/>
  <c r="G32" i="32" s="1"/>
  <c r="Y38" i="50"/>
  <c r="T40" i="50"/>
  <c r="K40" i="50" s="1"/>
  <c r="T48" i="32"/>
  <c r="K48" i="32" s="1"/>
  <c r="T47" i="32"/>
  <c r="K47" i="32" s="1"/>
  <c r="W54" i="32"/>
  <c r="G54" i="32" s="1"/>
  <c r="AA109" i="32"/>
  <c r="AN108" i="32"/>
  <c r="AN103" i="32"/>
  <c r="AA103" i="32"/>
  <c r="W52" i="32"/>
  <c r="G52" i="32" s="1"/>
  <c r="T32" i="50"/>
  <c r="K32" i="50" s="1"/>
  <c r="F18" i="47"/>
  <c r="Y34" i="50"/>
  <c r="Y32" i="50"/>
  <c r="T32" i="32"/>
  <c r="K32" i="32" s="1"/>
  <c r="T42" i="50"/>
  <c r="K42" i="50" s="1"/>
  <c r="W56" i="32"/>
  <c r="G56" i="32" s="1"/>
  <c r="T50" i="32"/>
  <c r="K50" i="32" s="1"/>
  <c r="F18" i="43"/>
  <c r="AA103" i="50"/>
  <c r="W53" i="32"/>
  <c r="G53" i="32" s="1"/>
  <c r="T56" i="32"/>
  <c r="K56" i="32" s="1"/>
  <c r="Y40" i="32"/>
  <c r="W35" i="32"/>
  <c r="G35" i="32" s="1"/>
  <c r="W33" i="32"/>
  <c r="G33" i="32" s="1"/>
  <c r="AA107" i="32"/>
  <c r="T39" i="32"/>
  <c r="K39" i="32" s="1"/>
  <c r="W57" i="32"/>
  <c r="G57" i="32" s="1"/>
  <c r="T37" i="50"/>
  <c r="K37" i="50" s="1"/>
  <c r="T36" i="32"/>
  <c r="K36" i="32" s="1"/>
  <c r="C18" i="43"/>
  <c r="W43" i="32"/>
  <c r="G43" i="32" s="1"/>
  <c r="W37" i="32"/>
  <c r="G37" i="32" s="1"/>
  <c r="T33" i="50"/>
  <c r="K33" i="50" s="1"/>
  <c r="AN101" i="32"/>
  <c r="W42" i="32"/>
  <c r="G42" i="32" s="1"/>
  <c r="Y35" i="50"/>
  <c r="W58" i="32"/>
  <c r="G58" i="32" s="1"/>
  <c r="I18" i="47"/>
  <c r="W38" i="32"/>
  <c r="G38" i="32" s="1"/>
  <c r="W36" i="32"/>
  <c r="G36" i="32" s="1"/>
  <c r="Y40" i="50"/>
  <c r="Y37" i="50"/>
  <c r="H18" i="47"/>
  <c r="N3" i="48"/>
  <c r="P5" i="55"/>
  <c r="P5" i="54"/>
  <c r="AE88" i="50"/>
  <c r="AE111" i="50"/>
  <c r="Q5" i="47"/>
  <c r="CB12" i="45"/>
  <c r="V5" i="43"/>
  <c r="AL88" i="32"/>
  <c r="AL111" i="32"/>
  <c r="AA46" i="25"/>
  <c r="AC46" i="25" s="1"/>
  <c r="X5" i="43"/>
  <c r="Y22" i="46"/>
  <c r="Y62" i="46" s="1"/>
  <c r="Y23" i="46"/>
  <c r="Y3" i="46" s="1"/>
  <c r="N79" i="46"/>
  <c r="O79" i="46" s="1"/>
  <c r="P79" i="46" s="1"/>
  <c r="Q79" i="46" s="1"/>
  <c r="R79" i="46" s="1"/>
  <c r="S79" i="46" s="1"/>
  <c r="T79" i="46" s="1"/>
  <c r="U79" i="46" s="1"/>
  <c r="V79" i="46" s="1"/>
  <c r="W79" i="46" s="1"/>
  <c r="X79" i="46" s="1"/>
  <c r="Y79" i="46" s="1"/>
  <c r="D3" i="43"/>
  <c r="K5" i="43"/>
  <c r="W43" i="50"/>
  <c r="G43" i="50" s="1"/>
  <c r="W41" i="50"/>
  <c r="G41" i="50" s="1"/>
  <c r="W34" i="50"/>
  <c r="G34" i="50" s="1"/>
  <c r="W32" i="50"/>
  <c r="G32" i="50" s="1"/>
  <c r="W38" i="50"/>
  <c r="G38" i="50" s="1"/>
  <c r="W36" i="50"/>
  <c r="G36" i="50" s="1"/>
  <c r="W42" i="50"/>
  <c r="G42" i="50" s="1"/>
  <c r="W40" i="50"/>
  <c r="G40" i="50" s="1"/>
  <c r="W35" i="50"/>
  <c r="G35" i="50" s="1"/>
  <c r="W33" i="50"/>
  <c r="G33" i="50" s="1"/>
  <c r="T3" i="47"/>
  <c r="T8" i="47"/>
  <c r="AB100" i="25"/>
  <c r="AB102" i="25" s="1"/>
  <c r="Y102" i="25"/>
  <c r="X87" i="32"/>
  <c r="X87" i="50"/>
  <c r="Q8" i="47"/>
  <c r="W37" i="50"/>
  <c r="G37" i="50" s="1"/>
  <c r="K8" i="47"/>
  <c r="K3" i="47"/>
  <c r="Z111" i="50"/>
  <c r="Z88" i="50"/>
  <c r="Z88" i="32"/>
  <c r="Z111" i="32"/>
  <c r="V32" i="50" a="1"/>
  <c r="V32" i="32" a="1"/>
  <c r="G3" i="43"/>
  <c r="G9" i="43" s="1"/>
  <c r="AD3" i="46"/>
  <c r="AD62" i="46"/>
  <c r="AD63" i="46"/>
  <c r="AD65" i="46" s="1"/>
  <c r="O4" i="46"/>
  <c r="BR5" i="46"/>
  <c r="W39" i="50"/>
  <c r="G39" i="50" s="1"/>
  <c r="G112" i="50"/>
  <c r="G112" i="32"/>
  <c r="S110" i="32"/>
  <c r="S110" i="50"/>
  <c r="X111" i="32"/>
  <c r="X88" i="32"/>
  <c r="X111" i="50"/>
  <c r="X88" i="50"/>
  <c r="AH87" i="32"/>
  <c r="U12" i="17"/>
  <c r="M12" i="17" s="1"/>
  <c r="U15" i="17"/>
  <c r="M15" i="17" s="1"/>
  <c r="U9" i="17"/>
  <c r="M9" i="17" s="1"/>
  <c r="U13" i="17"/>
  <c r="M13" i="17" s="1"/>
  <c r="U5" i="17"/>
  <c r="M5" i="17" s="1"/>
  <c r="U11" i="17"/>
  <c r="M11" i="17" s="1"/>
  <c r="H6" i="42"/>
  <c r="I6" i="42"/>
  <c r="J5" i="47"/>
  <c r="M4" i="43"/>
  <c r="AM87" i="32"/>
  <c r="AC63" i="46"/>
  <c r="AC65" i="46" s="1"/>
  <c r="AC3" i="46"/>
  <c r="U5" i="47"/>
  <c r="U47" i="32" a="1"/>
  <c r="B4" i="43"/>
  <c r="AC111" i="50"/>
  <c r="AC88" i="50"/>
  <c r="O5" i="47"/>
  <c r="T55" i="46"/>
  <c r="O107" i="25"/>
  <c r="P107" i="25" s="1"/>
  <c r="Q107" i="25" s="1"/>
  <c r="R107" i="25" s="1"/>
  <c r="AJ111" i="32"/>
  <c r="AA25" i="45"/>
  <c r="N88" i="32"/>
  <c r="B72" i="50"/>
  <c r="B79" i="50" s="1"/>
  <c r="B80" i="50" s="1"/>
  <c r="T5" i="43"/>
  <c r="BL54" i="46"/>
  <c r="BM54" i="46" s="1"/>
  <c r="BO54" i="46"/>
  <c r="I9" i="22"/>
  <c r="I11" i="22"/>
  <c r="I13" i="22"/>
  <c r="I15" i="22"/>
  <c r="I10" i="22"/>
  <c r="I12" i="22"/>
  <c r="I7" i="22"/>
  <c r="I14" i="22"/>
  <c r="I16" i="22"/>
  <c r="I8" i="22"/>
  <c r="I17" i="22"/>
  <c r="I18" i="22"/>
  <c r="N3" i="47"/>
  <c r="AM106" i="32"/>
  <c r="AF106" i="50"/>
  <c r="AG106" i="50"/>
  <c r="T4" i="17"/>
  <c r="K4" i="17" s="1"/>
  <c r="T14" i="17"/>
  <c r="K14" i="17" s="1"/>
  <c r="L14" i="17" s="1"/>
  <c r="T7" i="32"/>
  <c r="K7" i="32" s="1"/>
  <c r="T4" i="32"/>
  <c r="K4" i="32" s="1"/>
  <c r="T8" i="32"/>
  <c r="K8" i="32" s="1"/>
  <c r="T14" i="32"/>
  <c r="K14" i="32" s="1"/>
  <c r="T15" i="32"/>
  <c r="K15" i="32" s="1"/>
  <c r="T10" i="32"/>
  <c r="K10" i="32" s="1"/>
  <c r="T6" i="32"/>
  <c r="K6" i="32" s="1"/>
  <c r="K106" i="50"/>
  <c r="AI57" i="45"/>
  <c r="K106" i="32"/>
  <c r="BL43" i="46"/>
  <c r="BM43" i="46" s="1"/>
  <c r="X22" i="46"/>
  <c r="X62" i="46" s="1"/>
  <c r="X23" i="46"/>
  <c r="X3" i="46" s="1"/>
  <c r="AB5" i="46"/>
  <c r="BQ6" i="46"/>
  <c r="L4" i="47"/>
  <c r="AH106" i="50"/>
  <c r="G11" i="22"/>
  <c r="G13" i="22"/>
  <c r="G15" i="22"/>
  <c r="G17" i="22"/>
  <c r="G14" i="22"/>
  <c r="G16" i="22"/>
  <c r="G18" i="22"/>
  <c r="T12" i="17"/>
  <c r="K12" i="17" s="1"/>
  <c r="AN120" i="32"/>
  <c r="AA101" i="32"/>
  <c r="N101" i="32"/>
  <c r="AN100" i="32"/>
  <c r="AN99" i="32"/>
  <c r="T51" i="32"/>
  <c r="K51" i="32" s="1"/>
  <c r="T53" i="32"/>
  <c r="K53" i="32" s="1"/>
  <c r="T49" i="32"/>
  <c r="K49" i="32" s="1"/>
  <c r="T52" i="32"/>
  <c r="K52" i="32" s="1"/>
  <c r="T55" i="32"/>
  <c r="K55" i="32" s="1"/>
  <c r="T54" i="32"/>
  <c r="K54" i="32" s="1"/>
  <c r="T11" i="32"/>
  <c r="K11" i="32" s="1"/>
  <c r="AA94" i="25"/>
  <c r="AA95" i="25" s="1"/>
  <c r="AA93" i="25" s="1"/>
  <c r="U88" i="50"/>
  <c r="U88" i="32"/>
  <c r="U111" i="50"/>
  <c r="U111" i="32"/>
  <c r="AG107" i="32"/>
  <c r="AN107" i="32" s="1"/>
  <c r="BR32" i="46"/>
  <c r="R5" i="47"/>
  <c r="I4" i="47"/>
  <c r="Z491" i="10"/>
  <c r="AC491" i="10" s="1"/>
  <c r="Z492" i="10"/>
  <c r="AC492" i="10" s="1"/>
  <c r="W23" i="46"/>
  <c r="W3" i="46" s="1"/>
  <c r="G7" i="22"/>
  <c r="Z94" i="25"/>
  <c r="Z95" i="25" s="1"/>
  <c r="Z93" i="25" s="1"/>
  <c r="AB66" i="25"/>
  <c r="Y56" i="25"/>
  <c r="Y57" i="25"/>
  <c r="AC47" i="25"/>
  <c r="BO45" i="46"/>
  <c r="BL45" i="46"/>
  <c r="BM45" i="46" s="1"/>
  <c r="H5" i="47"/>
  <c r="AA66" i="25"/>
  <c r="AA56" i="25" s="1"/>
  <c r="D120" i="50"/>
  <c r="P102" i="50"/>
  <c r="AA102" i="50" s="1"/>
  <c r="P102" i="32"/>
  <c r="AA102" i="32" s="1"/>
  <c r="J99" i="32"/>
  <c r="J99" i="50"/>
  <c r="AI57" i="46"/>
  <c r="AI69" i="46"/>
  <c r="BQ69" i="46" s="1"/>
  <c r="X96" i="25"/>
  <c r="Z66" i="25"/>
  <c r="AC66" i="25" s="1"/>
  <c r="AB115" i="25"/>
  <c r="AB112" i="25" s="1"/>
  <c r="AC111" i="25" s="1"/>
  <c r="AD111" i="25" s="1"/>
  <c r="AB40" i="25"/>
  <c r="AB39" i="25" s="1"/>
  <c r="S23" i="46"/>
  <c r="S3" i="46" s="1"/>
  <c r="S22" i="46"/>
  <c r="S62" i="46" s="1"/>
  <c r="AN109" i="32"/>
  <c r="AN102" i="32"/>
  <c r="AN120" i="50"/>
  <c r="AC121" i="50"/>
  <c r="AD121" i="50" s="1"/>
  <c r="AE121" i="50" s="1"/>
  <c r="AF121" i="50" s="1"/>
  <c r="AG121" i="50" s="1"/>
  <c r="AH121" i="50" s="1"/>
  <c r="AI121" i="50" s="1"/>
  <c r="AJ121" i="50" s="1"/>
  <c r="AK121" i="50" s="1"/>
  <c r="AL121" i="50" s="1"/>
  <c r="AM121" i="50" s="1"/>
  <c r="N111" i="50"/>
  <c r="CB38" i="45"/>
  <c r="S32" i="45"/>
  <c r="AA12" i="45"/>
  <c r="U22" i="46"/>
  <c r="U23" i="46"/>
  <c r="O23" i="46"/>
  <c r="O22" i="46"/>
  <c r="BR25" i="46"/>
  <c r="Z4" i="46"/>
  <c r="BQ12" i="46"/>
  <c r="AI22" i="46"/>
  <c r="AI62" i="46" s="1"/>
  <c r="AI23" i="46"/>
  <c r="AI3" i="46" s="1"/>
  <c r="AK106" i="50"/>
  <c r="I35" i="22"/>
  <c r="I42" i="22"/>
  <c r="I38" i="22"/>
  <c r="I44" i="22"/>
  <c r="I40" i="22"/>
  <c r="AN119" i="32"/>
  <c r="N110" i="32"/>
  <c r="AN104" i="32"/>
  <c r="AA104" i="32"/>
  <c r="N104" i="32"/>
  <c r="T42" i="32"/>
  <c r="K42" i="32" s="1"/>
  <c r="T37" i="32"/>
  <c r="K37" i="32" s="1"/>
  <c r="T35" i="32"/>
  <c r="K35" i="32" s="1"/>
  <c r="T40" i="32"/>
  <c r="K40" i="32" s="1"/>
  <c r="T33" i="32"/>
  <c r="K33" i="32" s="1"/>
  <c r="T38" i="32"/>
  <c r="K38" i="32" s="1"/>
  <c r="T34" i="32"/>
  <c r="K34" i="32" s="1"/>
  <c r="T43" i="32"/>
  <c r="K43" i="32" s="1"/>
  <c r="AC104" i="25"/>
  <c r="R104" i="25"/>
  <c r="AA57" i="25"/>
  <c r="AB23" i="46"/>
  <c r="AB22" i="46"/>
  <c r="AH22" i="46"/>
  <c r="AH62" i="46" s="1"/>
  <c r="AH23" i="46"/>
  <c r="H34" i="22"/>
  <c r="H37" i="22"/>
  <c r="H35" i="22"/>
  <c r="AN105" i="32"/>
  <c r="AA105" i="32"/>
  <c r="R95" i="25"/>
  <c r="R94" i="25" s="1"/>
  <c r="AN105" i="50"/>
  <c r="T99" i="50"/>
  <c r="AA99" i="50" s="1"/>
  <c r="T99" i="32"/>
  <c r="F73" i="50"/>
  <c r="F99" i="50"/>
  <c r="F73" i="32"/>
  <c r="F99" i="32"/>
  <c r="AB106" i="50"/>
  <c r="H41" i="22"/>
  <c r="G10" i="22"/>
  <c r="Q95" i="25"/>
  <c r="Q94" i="25" s="1"/>
  <c r="AB62" i="25"/>
  <c r="AB61" i="25" s="1"/>
  <c r="AB59" i="25" s="1"/>
  <c r="AB56" i="25" s="1"/>
  <c r="AN109" i="50"/>
  <c r="AA109" i="50"/>
  <c r="D106" i="50"/>
  <c r="D106" i="32"/>
  <c r="AF48" i="45"/>
  <c r="H105" i="50"/>
  <c r="H105" i="32"/>
  <c r="N105" i="32" s="1"/>
  <c r="BO55" i="46"/>
  <c r="BL55" i="46"/>
  <c r="BM55" i="46" s="1"/>
  <c r="Y41" i="50"/>
  <c r="Y33" i="50"/>
  <c r="AA108" i="32"/>
  <c r="N108" i="32"/>
  <c r="N103" i="32"/>
  <c r="AB46" i="25"/>
  <c r="N110" i="50"/>
  <c r="P110" i="50"/>
  <c r="P110" i="32"/>
  <c r="D26" i="17"/>
  <c r="C26" i="17" s="1"/>
  <c r="E15" i="17"/>
  <c r="AA57" i="45"/>
  <c r="AA69" i="45"/>
  <c r="AH48" i="45"/>
  <c r="J73" i="50" s="1"/>
  <c r="J105" i="50"/>
  <c r="CB48" i="45"/>
  <c r="AB88" i="10"/>
  <c r="AH88" i="10"/>
  <c r="F18" i="22"/>
  <c r="J10" i="22"/>
  <c r="K8" i="22"/>
  <c r="D25" i="17"/>
  <c r="C25" i="17" s="1"/>
  <c r="V14" i="17"/>
  <c r="F14" i="17" s="1"/>
  <c r="S11" i="17"/>
  <c r="J11" i="17" s="1"/>
  <c r="S99" i="32"/>
  <c r="W50" i="32"/>
  <c r="G50" i="32" s="1"/>
  <c r="Y15" i="32"/>
  <c r="Y10" i="32"/>
  <c r="AH109" i="50"/>
  <c r="Q57" i="45"/>
  <c r="G40" i="22"/>
  <c r="F16" i="22"/>
  <c r="H12" i="22"/>
  <c r="H7" i="22"/>
  <c r="D24" i="17"/>
  <c r="C24" i="17" s="1"/>
  <c r="G102" i="32"/>
  <c r="O106" i="50"/>
  <c r="AA106" i="50" s="1"/>
  <c r="AF57" i="46"/>
  <c r="AB94" i="10"/>
  <c r="AH94" i="10"/>
  <c r="CC51" i="45"/>
  <c r="AB106" i="32"/>
  <c r="W49" i="32"/>
  <c r="G49" i="32" s="1"/>
  <c r="AA108" i="50"/>
  <c r="Z101" i="10"/>
  <c r="Z102" i="10"/>
  <c r="AB92" i="10"/>
  <c r="AH92" i="10"/>
  <c r="G73" i="32"/>
  <c r="N109" i="50"/>
  <c r="N108" i="50"/>
  <c r="V91" i="50"/>
  <c r="V91" i="32"/>
  <c r="Z107" i="10"/>
  <c r="F17" i="22"/>
  <c r="D19" i="17"/>
  <c r="C19" i="17" s="1"/>
  <c r="T39" i="50"/>
  <c r="K39" i="50" s="1"/>
  <c r="T41" i="50"/>
  <c r="K41" i="50" s="1"/>
  <c r="T43" i="50"/>
  <c r="K43" i="50" s="1"/>
  <c r="T34" i="50"/>
  <c r="K34" i="50" s="1"/>
  <c r="C73" i="50"/>
  <c r="C102" i="50"/>
  <c r="M62" i="46"/>
  <c r="BS62" i="46" s="1"/>
  <c r="K18" i="22"/>
  <c r="F15" i="22"/>
  <c r="K7" i="22"/>
  <c r="X61" i="25"/>
  <c r="X59" i="25" s="1"/>
  <c r="X57" i="25" s="1"/>
  <c r="AC57" i="25" s="1"/>
  <c r="F106" i="50"/>
  <c r="AD57" i="45"/>
  <c r="AD69" i="45"/>
  <c r="C18" i="47"/>
  <c r="G42" i="22"/>
  <c r="K36" i="22"/>
  <c r="K16" i="22"/>
  <c r="D29" i="17"/>
  <c r="C29" i="17" s="1"/>
  <c r="V12" i="17"/>
  <c r="F12" i="17" s="1"/>
  <c r="V8" i="17"/>
  <c r="F8" i="17" s="1"/>
  <c r="G73" i="50"/>
  <c r="AB364" i="10"/>
  <c r="T364" i="10"/>
  <c r="AC484" i="10"/>
  <c r="AC462" i="10"/>
  <c r="Z100" i="10"/>
  <c r="Z83" i="10"/>
  <c r="AB83" i="10" s="1"/>
  <c r="Z489" i="10"/>
  <c r="Z488" i="10"/>
  <c r="AC488" i="10" s="1"/>
  <c r="AC466" i="10"/>
  <c r="AB390" i="10"/>
  <c r="T390" i="10"/>
  <c r="AU114" i="10"/>
  <c r="AS114" i="10" s="1"/>
  <c r="AS113" i="10" s="1"/>
  <c r="AS112" i="10" s="1"/>
  <c r="AS111" i="10" s="1"/>
  <c r="AS110" i="10" s="1"/>
  <c r="AQ114" i="10"/>
  <c r="Z93" i="10"/>
  <c r="Z87" i="10"/>
  <c r="Z39" i="10"/>
  <c r="N8" i="48"/>
  <c r="AB105" i="10"/>
  <c r="AH105" i="10"/>
  <c r="Z98" i="10"/>
  <c r="Z473" i="10"/>
  <c r="Z453" i="10"/>
  <c r="Z452" i="10"/>
  <c r="AQ283" i="10"/>
  <c r="AB104" i="10"/>
  <c r="Z97" i="10"/>
  <c r="Z91" i="10"/>
  <c r="Z46" i="10"/>
  <c r="W14" i="50"/>
  <c r="G14" i="50" s="1"/>
  <c r="V45" i="46"/>
  <c r="V57" i="46" s="1"/>
  <c r="V55" i="46" s="1"/>
  <c r="Z500" i="10"/>
  <c r="AC500" i="10" s="1"/>
  <c r="AQ238" i="10"/>
  <c r="AU109" i="10"/>
  <c r="AQ109" i="10"/>
  <c r="Z90" i="10"/>
  <c r="Z37" i="10"/>
  <c r="Y13" i="50"/>
  <c r="AK79" i="45"/>
  <c r="D4" i="50" s="1" a="1"/>
  <c r="Z502" i="10"/>
  <c r="AC502" i="10" s="1"/>
  <c r="AB387" i="10"/>
  <c r="T387" i="10"/>
  <c r="T385" i="10"/>
  <c r="AB385" i="10"/>
  <c r="AB96" i="10"/>
  <c r="AH96" i="10"/>
  <c r="Z25" i="10"/>
  <c r="Z24" i="10"/>
  <c r="W6" i="50"/>
  <c r="G6" i="50" s="1"/>
  <c r="Z69" i="45"/>
  <c r="AD57" i="46"/>
  <c r="Z512" i="10"/>
  <c r="AC512" i="10" s="1"/>
  <c r="Z509" i="10"/>
  <c r="AC509" i="10" s="1"/>
  <c r="Z487" i="10"/>
  <c r="Z485" i="10"/>
  <c r="AC483" i="10"/>
  <c r="Z478" i="10"/>
  <c r="Z463" i="10"/>
  <c r="Z108" i="10"/>
  <c r="AB89" i="10"/>
  <c r="AH89" i="10"/>
  <c r="Z495" i="10"/>
  <c r="AC495" i="10" s="1"/>
  <c r="T470" i="10"/>
  <c r="Z465" i="10"/>
  <c r="AC465" i="10" s="1"/>
  <c r="Z32" i="10"/>
  <c r="Z451" i="10"/>
  <c r="Z441" i="10"/>
  <c r="Z438" i="10"/>
  <c r="Z432" i="10"/>
  <c r="AB371" i="10"/>
  <c r="T371" i="10"/>
  <c r="Z95" i="10"/>
  <c r="Z44" i="10"/>
  <c r="Z41" i="10"/>
  <c r="Z27" i="10"/>
  <c r="AD487" i="10"/>
  <c r="AC487" i="10" s="1"/>
  <c r="AD467" i="10"/>
  <c r="AC467" i="10" s="1"/>
  <c r="T392" i="10"/>
  <c r="T376" i="10"/>
  <c r="T361" i="10"/>
  <c r="BL18" i="10"/>
  <c r="BM18" i="10" s="1"/>
  <c r="AB396" i="10"/>
  <c r="H15" i="10"/>
  <c r="H14" i="10"/>
  <c r="H19" i="10" s="1"/>
  <c r="Z480" i="10"/>
  <c r="AD478" i="10"/>
  <c r="AC478" i="10" s="1"/>
  <c r="Z475" i="10"/>
  <c r="AC475" i="10" s="1"/>
  <c r="AD473" i="10"/>
  <c r="AC473" i="10" s="1"/>
  <c r="Z470" i="10"/>
  <c r="AC470" i="10" s="1"/>
  <c r="Z446" i="10"/>
  <c r="AB394" i="10"/>
  <c r="AB383" i="10"/>
  <c r="AB375" i="10"/>
  <c r="AB372" i="10"/>
  <c r="AB370" i="10"/>
  <c r="AD468" i="10"/>
  <c r="AC468" i="10" s="1"/>
  <c r="AD489" i="10"/>
  <c r="AD485" i="10"/>
  <c r="AC485" i="10" s="1"/>
  <c r="AD481" i="10"/>
  <c r="AC481" i="10" s="1"/>
  <c r="AD476" i="10"/>
  <c r="AC476" i="10" s="1"/>
  <c r="AD471" i="10"/>
  <c r="AC471" i="10" s="1"/>
  <c r="Z455" i="10"/>
  <c r="AB389" i="10"/>
  <c r="AB381" i="10"/>
  <c r="AB378" i="10"/>
  <c r="AB368" i="10"/>
  <c r="AD479" i="10"/>
  <c r="AC479" i="10" s="1"/>
  <c r="AD474" i="10"/>
  <c r="AC474" i="10" s="1"/>
  <c r="AD486" i="10"/>
  <c r="AC486" i="10" s="1"/>
  <c r="AD469" i="10"/>
  <c r="AC469" i="10" s="1"/>
  <c r="AD482" i="10"/>
  <c r="AC482" i="10" s="1"/>
  <c r="AD477" i="10"/>
  <c r="AC477" i="10" s="1"/>
  <c r="AD472" i="10"/>
  <c r="AC472" i="10" s="1"/>
  <c r="AD464" i="10"/>
  <c r="AC464" i="10" s="1"/>
  <c r="L15" i="17"/>
  <c r="F35" i="22"/>
  <c r="P12" i="17"/>
  <c r="G12" i="17" s="1"/>
  <c r="F37" i="22"/>
  <c r="P14" i="17"/>
  <c r="G14" i="17" s="1"/>
  <c r="I45" i="22"/>
  <c r="K43" i="22"/>
  <c r="F42" i="22"/>
  <c r="H40" i="22"/>
  <c r="J38" i="22"/>
  <c r="E37" i="22"/>
  <c r="G35" i="22"/>
  <c r="G34" i="22"/>
  <c r="K17" i="22"/>
  <c r="P13" i="17"/>
  <c r="G13" i="17" s="1"/>
  <c r="S12" i="17"/>
  <c r="J12" i="17" s="1"/>
  <c r="L12" i="17" s="1"/>
  <c r="T11" i="17"/>
  <c r="K11" i="17" s="1"/>
  <c r="U10" i="17"/>
  <c r="M10" i="17" s="1"/>
  <c r="V9" i="17"/>
  <c r="F9" i="17" s="1"/>
  <c r="D9" i="17"/>
  <c r="E8" i="17"/>
  <c r="S4" i="17"/>
  <c r="J4" i="17" s="1"/>
  <c r="D4" i="17"/>
  <c r="G45" i="22"/>
  <c r="I43" i="22"/>
  <c r="K41" i="22"/>
  <c r="F40" i="22"/>
  <c r="H38" i="22"/>
  <c r="J36" i="22"/>
  <c r="E35" i="22"/>
  <c r="F34" i="22"/>
  <c r="K15" i="22"/>
  <c r="P11" i="17"/>
  <c r="G11" i="17" s="1"/>
  <c r="S10" i="17"/>
  <c r="J10" i="17" s="1"/>
  <c r="L10" i="17" s="1"/>
  <c r="T9" i="17"/>
  <c r="K9" i="17" s="1"/>
  <c r="U8" i="17"/>
  <c r="M8" i="17" s="1"/>
  <c r="V7" i="17"/>
  <c r="F7" i="17" s="1"/>
  <c r="D7" i="17"/>
  <c r="E6" i="17"/>
  <c r="P4" i="17"/>
  <c r="G4" i="17" s="1"/>
  <c r="F45" i="22"/>
  <c r="H43" i="22"/>
  <c r="J41" i="22"/>
  <c r="G38" i="22"/>
  <c r="P10" i="17"/>
  <c r="G10" i="17" s="1"/>
  <c r="S9" i="17"/>
  <c r="J9" i="17" s="1"/>
  <c r="T8" i="17"/>
  <c r="K8" i="17" s="1"/>
  <c r="U7" i="17"/>
  <c r="M7" i="17" s="1"/>
  <c r="V6" i="17"/>
  <c r="F6" i="17" s="1"/>
  <c r="D6" i="17"/>
  <c r="E5" i="17"/>
  <c r="E45" i="22"/>
  <c r="G43" i="22"/>
  <c r="I41" i="22"/>
  <c r="K39" i="22"/>
  <c r="F38" i="22"/>
  <c r="H36" i="22"/>
  <c r="K34" i="22"/>
  <c r="E34" i="22"/>
  <c r="K13" i="22"/>
  <c r="P9" i="17"/>
  <c r="G9" i="17" s="1"/>
  <c r="S8" i="17"/>
  <c r="J8" i="17" s="1"/>
  <c r="T7" i="17"/>
  <c r="K7" i="17" s="1"/>
  <c r="U6" i="17"/>
  <c r="M6" i="17" s="1"/>
  <c r="V5" i="17"/>
  <c r="F5" i="17" s="1"/>
  <c r="D5" i="17"/>
  <c r="F43" i="22"/>
  <c r="G36" i="22"/>
  <c r="P8" i="17"/>
  <c r="G8" i="17" s="1"/>
  <c r="S7" i="17"/>
  <c r="J7" i="17" s="1"/>
  <c r="T6" i="17"/>
  <c r="K6" i="17" s="1"/>
  <c r="J44" i="22"/>
  <c r="E43" i="22"/>
  <c r="G41" i="22"/>
  <c r="I39" i="22"/>
  <c r="K37" i="22"/>
  <c r="F36" i="22"/>
  <c r="J34" i="22"/>
  <c r="K11" i="22"/>
  <c r="V15" i="17"/>
  <c r="F15" i="17" s="1"/>
  <c r="D15" i="17"/>
  <c r="E14" i="17"/>
  <c r="P7" i="17"/>
  <c r="G7" i="17" s="1"/>
  <c r="S6" i="17"/>
  <c r="J6" i="17" s="1"/>
  <c r="L6" i="17" s="1"/>
  <c r="T5" i="17"/>
  <c r="K5" i="17" s="1"/>
  <c r="V4" i="17"/>
  <c r="F4" i="17" s="1"/>
  <c r="K42" i="22"/>
  <c r="F41" i="22"/>
  <c r="H39" i="22"/>
  <c r="J37" i="22"/>
  <c r="P6" i="17"/>
  <c r="G6" i="17" s="1"/>
  <c r="S5" i="17"/>
  <c r="J5" i="17" s="1"/>
  <c r="H44" i="22"/>
  <c r="J42" i="22"/>
  <c r="E41" i="22"/>
  <c r="G39" i="22"/>
  <c r="I37" i="22"/>
  <c r="K35" i="22"/>
  <c r="I34" i="22"/>
  <c r="T15" i="17"/>
  <c r="K15" i="17" s="1"/>
  <c r="U14" i="17"/>
  <c r="M14" i="17" s="1"/>
  <c r="V13" i="17"/>
  <c r="F13" i="17" s="1"/>
  <c r="D13" i="17"/>
  <c r="E12" i="17"/>
  <c r="P5" i="17"/>
  <c r="G5" i="17" s="1"/>
  <c r="U4" i="17"/>
  <c r="M4" i="17" s="1"/>
  <c r="G44" i="22"/>
  <c r="F39" i="22"/>
  <c r="J35" i="22"/>
  <c r="H42" i="22"/>
  <c r="T13" i="17"/>
  <c r="K13" i="17" s="1"/>
  <c r="L13" i="17" s="1"/>
  <c r="E10" i="17"/>
  <c r="Y22" i="45" l="1"/>
  <c r="Y62" i="45" s="1"/>
  <c r="G89" i="50"/>
  <c r="C121" i="32"/>
  <c r="D121" i="32" s="1"/>
  <c r="AF23" i="45"/>
  <c r="Z22" i="45"/>
  <c r="Z62" i="45" s="1"/>
  <c r="P22" i="45"/>
  <c r="P62" i="45" s="1"/>
  <c r="N23" i="45"/>
  <c r="K72" i="32"/>
  <c r="K79" i="32" s="1"/>
  <c r="T3" i="45"/>
  <c r="I112" i="50"/>
  <c r="H72" i="50"/>
  <c r="L89" i="32"/>
  <c r="E121" i="32"/>
  <c r="F121" i="32" s="1"/>
  <c r="G121" i="32" s="1"/>
  <c r="H121" i="32" s="1"/>
  <c r="W22" i="45"/>
  <c r="W62" i="45" s="1"/>
  <c r="K89" i="32"/>
  <c r="M102" i="50"/>
  <c r="AE62" i="45"/>
  <c r="I121" i="32"/>
  <c r="J121" i="32" s="1"/>
  <c r="K121" i="32" s="1"/>
  <c r="L121" i="32" s="1"/>
  <c r="N91" i="50"/>
  <c r="D112" i="50"/>
  <c r="E72" i="32"/>
  <c r="R23" i="45"/>
  <c r="R3" i="45" s="1"/>
  <c r="M91" i="32"/>
  <c r="N91" i="32" s="1"/>
  <c r="K112" i="32"/>
  <c r="K112" i="50"/>
  <c r="D89" i="32"/>
  <c r="D89" i="50"/>
  <c r="T62" i="45"/>
  <c r="B87" i="32"/>
  <c r="Z63" i="45"/>
  <c r="Z65" i="45" s="1"/>
  <c r="E73" i="32"/>
  <c r="Z3" i="45"/>
  <c r="L112" i="32"/>
  <c r="L112" i="50"/>
  <c r="Q23" i="45"/>
  <c r="Q3" i="45" s="1"/>
  <c r="M73" i="32"/>
  <c r="L72" i="50"/>
  <c r="L79" i="50" s="1"/>
  <c r="AI63" i="45"/>
  <c r="K119" i="32" s="1"/>
  <c r="AI62" i="45"/>
  <c r="X3" i="45"/>
  <c r="AG22" i="45"/>
  <c r="AG62" i="45" s="1"/>
  <c r="AG23" i="45"/>
  <c r="AG3" i="45" s="1"/>
  <c r="U4" i="50" a="1"/>
  <c r="U7" i="50" s="1"/>
  <c r="L7" i="50" s="1"/>
  <c r="K72" i="50"/>
  <c r="K79" i="50" s="1"/>
  <c r="U4" i="32" a="1"/>
  <c r="U9" i="32" s="1"/>
  <c r="L9" i="32" s="1"/>
  <c r="M72" i="32"/>
  <c r="AH62" i="45"/>
  <c r="AK62" i="45"/>
  <c r="V3" i="45"/>
  <c r="AA99" i="32"/>
  <c r="AK23" i="45"/>
  <c r="J72" i="32"/>
  <c r="Q62" i="45"/>
  <c r="J72" i="50"/>
  <c r="J79" i="50" s="1"/>
  <c r="AJ23" i="45"/>
  <c r="AJ22" i="45"/>
  <c r="AJ62" i="45" s="1"/>
  <c r="M73" i="50"/>
  <c r="M79" i="50" s="1"/>
  <c r="X62" i="45"/>
  <c r="N62" i="45"/>
  <c r="N79" i="45" s="1"/>
  <c r="O79" i="45" s="1"/>
  <c r="P79" i="45" s="1"/>
  <c r="Q79" i="45" s="1"/>
  <c r="R79" i="45" s="1"/>
  <c r="S79" i="45" s="1"/>
  <c r="T79" i="45" s="1"/>
  <c r="U79" i="45" s="1"/>
  <c r="V79" i="45" s="1"/>
  <c r="W79" i="45" s="1"/>
  <c r="X79" i="45" s="1"/>
  <c r="Y79" i="45" s="1"/>
  <c r="G72" i="50"/>
  <c r="G79" i="50" s="1"/>
  <c r="G72" i="32"/>
  <c r="G79" i="32" s="1"/>
  <c r="AC23" i="45"/>
  <c r="AC22" i="45"/>
  <c r="AC62" i="45" s="1"/>
  <c r="V62" i="45"/>
  <c r="AS109" i="10"/>
  <c r="AV131" i="10" s="1"/>
  <c r="AV132" i="10" s="1"/>
  <c r="AV133" i="10" s="1"/>
  <c r="AD23" i="45"/>
  <c r="AD3" i="45" s="1"/>
  <c r="AD22" i="45"/>
  <c r="AD62" i="45" s="1"/>
  <c r="M99" i="32"/>
  <c r="N99" i="32" s="1"/>
  <c r="M99" i="50"/>
  <c r="N99" i="50" s="1"/>
  <c r="AK69" i="45"/>
  <c r="AK57" i="45"/>
  <c r="L11" i="17"/>
  <c r="BQ60" i="46"/>
  <c r="BR55" i="46"/>
  <c r="BQ59" i="46"/>
  <c r="BR58" i="46"/>
  <c r="CB5" i="45"/>
  <c r="AK26" i="10"/>
  <c r="AL27" i="10" s="1"/>
  <c r="AJ31" i="10"/>
  <c r="AA3" i="46"/>
  <c r="BS45" i="46"/>
  <c r="B58" i="17" a="1"/>
  <c r="AC463" i="10"/>
  <c r="N105" i="50"/>
  <c r="AA22" i="46"/>
  <c r="Z504" i="10"/>
  <c r="AC504" i="10" s="1"/>
  <c r="Z503" i="10"/>
  <c r="AC503" i="10" s="1"/>
  <c r="AF63" i="46"/>
  <c r="AF3" i="46"/>
  <c r="D87" i="50"/>
  <c r="D87" i="32"/>
  <c r="BQ23" i="46"/>
  <c r="L8" i="17"/>
  <c r="U62" i="46"/>
  <c r="Z56" i="25"/>
  <c r="AI63" i="46"/>
  <c r="AI65" i="46" s="1"/>
  <c r="P62" i="46"/>
  <c r="P3" i="46"/>
  <c r="BQ32" i="46"/>
  <c r="N106" i="32"/>
  <c r="Y51" i="25"/>
  <c r="Y38" i="25" s="1"/>
  <c r="Y99" i="25" s="1"/>
  <c r="Y104" i="25" s="1"/>
  <c r="Y103" i="25" s="1"/>
  <c r="Z52" i="25"/>
  <c r="U22" i="45"/>
  <c r="U62" i="45" s="1"/>
  <c r="U23" i="45"/>
  <c r="U3" i="45" s="1"/>
  <c r="Q22" i="46"/>
  <c r="Q62" i="46" s="1"/>
  <c r="I72" i="50"/>
  <c r="I79" i="50" s="1"/>
  <c r="I72" i="32"/>
  <c r="I79" i="32" s="1"/>
  <c r="Z57" i="25"/>
  <c r="O22" i="45"/>
  <c r="O62" i="45" s="1"/>
  <c r="O23" i="45"/>
  <c r="O3" i="45" s="1"/>
  <c r="AH3" i="45"/>
  <c r="J87" i="50"/>
  <c r="J87" i="32"/>
  <c r="AH63" i="45"/>
  <c r="AF3" i="45"/>
  <c r="AF63" i="45"/>
  <c r="H87" i="50"/>
  <c r="H87" i="32"/>
  <c r="E112" i="32"/>
  <c r="E89" i="50"/>
  <c r="E112" i="50"/>
  <c r="E89" i="32"/>
  <c r="AE23" i="45"/>
  <c r="E102" i="50"/>
  <c r="E102" i="32"/>
  <c r="E73" i="50"/>
  <c r="E79" i="50" s="1"/>
  <c r="Y47" i="32"/>
  <c r="Y57" i="32"/>
  <c r="Y49" i="32"/>
  <c r="Y53" i="32"/>
  <c r="AA111" i="50"/>
  <c r="Y56" i="32"/>
  <c r="Y54" i="32"/>
  <c r="Y55" i="32"/>
  <c r="Y52" i="32"/>
  <c r="Y50" i="32"/>
  <c r="Y48" i="32"/>
  <c r="Y51" i="32"/>
  <c r="AA88" i="50"/>
  <c r="C4" i="48"/>
  <c r="P3" i="43"/>
  <c r="P8" i="43" s="1"/>
  <c r="D4" i="50"/>
  <c r="C4" i="50" s="1"/>
  <c r="D13" i="50"/>
  <c r="D10" i="50"/>
  <c r="D9" i="50"/>
  <c r="D11" i="50"/>
  <c r="D6" i="50"/>
  <c r="D8" i="50"/>
  <c r="D5" i="50"/>
  <c r="D14" i="50"/>
  <c r="D7" i="50"/>
  <c r="D15" i="50"/>
  <c r="D12" i="50"/>
  <c r="AB108" i="10"/>
  <c r="AH108" i="10"/>
  <c r="Q55" i="45"/>
  <c r="CB57" i="45"/>
  <c r="AH63" i="46"/>
  <c r="AH65" i="46" s="1"/>
  <c r="AH83" i="46" s="1"/>
  <c r="AH84" i="46" s="1"/>
  <c r="AH3" i="46"/>
  <c r="Z63" i="46"/>
  <c r="Z3" i="46"/>
  <c r="Z62" i="46"/>
  <c r="AA22" i="45"/>
  <c r="AA23" i="45"/>
  <c r="AB90" i="10"/>
  <c r="AH90" i="10"/>
  <c r="BL12" i="46"/>
  <c r="BM12" i="46" s="1"/>
  <c r="BL14" i="46"/>
  <c r="BM14" i="46" s="1"/>
  <c r="AG106" i="32"/>
  <c r="AN106" i="32" s="1"/>
  <c r="C4" i="47"/>
  <c r="AF111" i="50"/>
  <c r="AF88" i="50"/>
  <c r="BR57" i="46"/>
  <c r="AC39" i="25"/>
  <c r="AB87" i="10"/>
  <c r="AH87" i="10"/>
  <c r="AK112" i="32"/>
  <c r="AK89" i="32"/>
  <c r="CB32" i="45"/>
  <c r="S22" i="45"/>
  <c r="S62" i="45" s="1"/>
  <c r="S23" i="45"/>
  <c r="S3" i="45" s="1"/>
  <c r="R110" i="50"/>
  <c r="R110" i="32"/>
  <c r="AH102" i="10"/>
  <c r="AB102" i="10"/>
  <c r="AE112" i="32"/>
  <c r="AE89" i="32"/>
  <c r="R112" i="32"/>
  <c r="R89" i="32"/>
  <c r="R112" i="50"/>
  <c r="R89" i="50"/>
  <c r="AB101" i="10"/>
  <c r="AH101" i="10"/>
  <c r="AA111" i="32"/>
  <c r="Q32" i="50" a="1"/>
  <c r="Q32" i="32" a="1"/>
  <c r="AB57" i="25"/>
  <c r="F3" i="47"/>
  <c r="F72" i="50"/>
  <c r="F79" i="50" s="1"/>
  <c r="F72" i="32"/>
  <c r="F79" i="32" s="1"/>
  <c r="L4" i="17"/>
  <c r="AC59" i="25"/>
  <c r="X56" i="25"/>
  <c r="AC56" i="25" s="1"/>
  <c r="BO40" i="46"/>
  <c r="BL40" i="46"/>
  <c r="BM40" i="46" s="1"/>
  <c r="BR22" i="46"/>
  <c r="D4" i="32" a="1"/>
  <c r="S5" i="47"/>
  <c r="AG111" i="50"/>
  <c r="AG88" i="50"/>
  <c r="AM89" i="32"/>
  <c r="AM112" i="32"/>
  <c r="AD87" i="32"/>
  <c r="M47" i="32" a="1"/>
  <c r="U51" i="32"/>
  <c r="L51" i="32" s="1"/>
  <c r="U55" i="32"/>
  <c r="L55" i="32" s="1"/>
  <c r="U50" i="32"/>
  <c r="L50" i="32" s="1"/>
  <c r="U54" i="32"/>
  <c r="L54" i="32" s="1"/>
  <c r="U58" i="32"/>
  <c r="L58" i="32" s="1"/>
  <c r="U57" i="32"/>
  <c r="L57" i="32" s="1"/>
  <c r="U48" i="32"/>
  <c r="L48" i="32" s="1"/>
  <c r="U47" i="32"/>
  <c r="L47" i="32" s="1"/>
  <c r="U52" i="32"/>
  <c r="L52" i="32" s="1"/>
  <c r="U56" i="32"/>
  <c r="L56" i="32" s="1"/>
  <c r="U49" i="32"/>
  <c r="L49" i="32" s="1"/>
  <c r="U53" i="32"/>
  <c r="L53" i="32" s="1"/>
  <c r="G5" i="43"/>
  <c r="W4" i="43"/>
  <c r="T112" i="50"/>
  <c r="T112" i="32"/>
  <c r="T89" i="32"/>
  <c r="T89" i="50"/>
  <c r="X55" i="25"/>
  <c r="X99" i="25"/>
  <c r="X37" i="25"/>
  <c r="AB112" i="50"/>
  <c r="AB89" i="50"/>
  <c r="BR23" i="46"/>
  <c r="Y96" i="25"/>
  <c r="Z96" i="25" s="1"/>
  <c r="AA96" i="25" s="1"/>
  <c r="AB96" i="25" s="1"/>
  <c r="AB111" i="25" s="1"/>
  <c r="D121" i="50"/>
  <c r="E121" i="50" s="1"/>
  <c r="F121" i="50" s="1"/>
  <c r="G121" i="50" s="1"/>
  <c r="H121" i="50" s="1"/>
  <c r="I121" i="50" s="1"/>
  <c r="J121" i="50" s="1"/>
  <c r="K121" i="50" s="1"/>
  <c r="L121" i="50" s="1"/>
  <c r="I3" i="47"/>
  <c r="I9" i="47" s="1"/>
  <c r="AA88" i="32"/>
  <c r="AM88" i="32"/>
  <c r="AM111" i="32"/>
  <c r="Y5" i="43"/>
  <c r="M5" i="47"/>
  <c r="U3" i="47"/>
  <c r="U8" i="47"/>
  <c r="Y3" i="43"/>
  <c r="Y8" i="43" s="1"/>
  <c r="AB98" i="10"/>
  <c r="AH98" i="10"/>
  <c r="AB107" i="10"/>
  <c r="AH107" i="10"/>
  <c r="J102" i="50"/>
  <c r="J102" i="32"/>
  <c r="AH69" i="45"/>
  <c r="J73" i="32"/>
  <c r="N3" i="45"/>
  <c r="BO9" i="46"/>
  <c r="BL9" i="46"/>
  <c r="BM9" i="46" s="1"/>
  <c r="AH112" i="50"/>
  <c r="AH89" i="50"/>
  <c r="BQ22" i="46"/>
  <c r="AA62" i="46"/>
  <c r="R62" i="45"/>
  <c r="P3" i="45"/>
  <c r="CB4" i="45"/>
  <c r="T5" i="47"/>
  <c r="AH111" i="50"/>
  <c r="AH88" i="50"/>
  <c r="N8" i="47"/>
  <c r="Z87" i="50"/>
  <c r="Z87" i="32"/>
  <c r="M5" i="43"/>
  <c r="B3" i="47"/>
  <c r="B9" i="47" s="1"/>
  <c r="C89" i="50"/>
  <c r="C112" i="32"/>
  <c r="C89" i="32"/>
  <c r="C112" i="50"/>
  <c r="AC40" i="25"/>
  <c r="BO27" i="46"/>
  <c r="BL27" i="46"/>
  <c r="BM27" i="46" s="1"/>
  <c r="BO5" i="46"/>
  <c r="L5" i="43"/>
  <c r="AK111" i="50"/>
  <c r="AK88" i="50"/>
  <c r="P4" i="47"/>
  <c r="AC489" i="10"/>
  <c r="D72" i="50"/>
  <c r="D79" i="50" s="1"/>
  <c r="AB62" i="45"/>
  <c r="D72" i="32"/>
  <c r="D79" i="32" s="1"/>
  <c r="AB3" i="45"/>
  <c r="AB63" i="45"/>
  <c r="AH95" i="10"/>
  <c r="AB95" i="10"/>
  <c r="B89" i="32"/>
  <c r="B89" i="50"/>
  <c r="B112" i="50"/>
  <c r="B112" i="32"/>
  <c r="M120" i="32"/>
  <c r="M120" i="50"/>
  <c r="AB100" i="10"/>
  <c r="AH100" i="10"/>
  <c r="N106" i="50"/>
  <c r="AL107" i="50"/>
  <c r="AN107" i="50" s="1"/>
  <c r="J3" i="47"/>
  <c r="O87" i="32"/>
  <c r="M32" i="50" a="1"/>
  <c r="O87" i="50"/>
  <c r="D5" i="43"/>
  <c r="H73" i="50"/>
  <c r="H79" i="50" s="1"/>
  <c r="H102" i="50"/>
  <c r="H73" i="32"/>
  <c r="H79" i="32" s="1"/>
  <c r="AF69" i="45"/>
  <c r="H102" i="32"/>
  <c r="BQ57" i="46"/>
  <c r="BS58" i="46" s="1"/>
  <c r="CC58" i="45"/>
  <c r="AB91" i="10"/>
  <c r="AH91" i="10"/>
  <c r="AA4" i="45"/>
  <c r="T3" i="43"/>
  <c r="T8" i="43" s="1"/>
  <c r="I5" i="43"/>
  <c r="AJ87" i="32"/>
  <c r="AH97" i="10"/>
  <c r="AB97" i="10"/>
  <c r="U32" i="32" a="1"/>
  <c r="U32" i="50" a="1"/>
  <c r="AF87" i="50"/>
  <c r="I3" i="43"/>
  <c r="I9" i="43" s="1"/>
  <c r="V87" i="50"/>
  <c r="V87" i="32"/>
  <c r="V41" i="32"/>
  <c r="N41" i="32" s="1"/>
  <c r="V34" i="32"/>
  <c r="N34" i="32" s="1"/>
  <c r="V36" i="32"/>
  <c r="N36" i="32" s="1"/>
  <c r="V38" i="32"/>
  <c r="N38" i="32" s="1"/>
  <c r="V40" i="32"/>
  <c r="N40" i="32" s="1"/>
  <c r="V42" i="32"/>
  <c r="N42" i="32" s="1"/>
  <c r="V32" i="32"/>
  <c r="N32" i="32" s="1"/>
  <c r="V35" i="32"/>
  <c r="N35" i="32" s="1"/>
  <c r="V33" i="32"/>
  <c r="N33" i="32" s="1"/>
  <c r="V39" i="32"/>
  <c r="N39" i="32" s="1"/>
  <c r="V43" i="32"/>
  <c r="N43" i="32" s="1"/>
  <c r="V37" i="32"/>
  <c r="N37" i="32" s="1"/>
  <c r="D9" i="43"/>
  <c r="Q4" i="43"/>
  <c r="F112" i="32"/>
  <c r="F112" i="50"/>
  <c r="F89" i="50"/>
  <c r="F89" i="32"/>
  <c r="CC45" i="45"/>
  <c r="AB4" i="46"/>
  <c r="BQ5" i="46"/>
  <c r="AB93" i="10"/>
  <c r="AH93" i="10"/>
  <c r="AK88" i="32"/>
  <c r="AK111" i="32"/>
  <c r="BL5" i="46"/>
  <c r="BM5" i="46" s="1"/>
  <c r="BL6" i="46"/>
  <c r="BM6" i="46" s="1"/>
  <c r="AF89" i="50"/>
  <c r="AF112" i="50"/>
  <c r="S107" i="25"/>
  <c r="AC106" i="25" s="1"/>
  <c r="R118" i="25"/>
  <c r="O62" i="46"/>
  <c r="BR62" i="46" s="1"/>
  <c r="O3" i="46"/>
  <c r="BR4" i="46"/>
  <c r="V38" i="50"/>
  <c r="N38" i="50" s="1"/>
  <c r="V36" i="50"/>
  <c r="N36" i="50" s="1"/>
  <c r="V42" i="50"/>
  <c r="N42" i="50" s="1"/>
  <c r="V40" i="50"/>
  <c r="N40" i="50" s="1"/>
  <c r="V35" i="50"/>
  <c r="N35" i="50" s="1"/>
  <c r="V32" i="50"/>
  <c r="N32" i="50" s="1"/>
  <c r="V39" i="50"/>
  <c r="N39" i="50" s="1"/>
  <c r="V33" i="50"/>
  <c r="N33" i="50" s="1"/>
  <c r="V43" i="50"/>
  <c r="N43" i="50" s="1"/>
  <c r="V37" i="50"/>
  <c r="N37" i="50" s="1"/>
  <c r="V41" i="50"/>
  <c r="N41" i="50" s="1"/>
  <c r="V34" i="50"/>
  <c r="N34" i="50" s="1"/>
  <c r="K3" i="43"/>
  <c r="K8" i="43" s="1"/>
  <c r="P5" i="43"/>
  <c r="D58" i="17"/>
  <c r="B58" i="17"/>
  <c r="E58" i="17"/>
  <c r="F58" i="17"/>
  <c r="M58" i="17"/>
  <c r="G58" i="17"/>
  <c r="H58" i="17"/>
  <c r="I58" i="17"/>
  <c r="J58" i="17"/>
  <c r="K58" i="17"/>
  <c r="L58" i="17"/>
  <c r="C58" i="17"/>
  <c r="L5" i="17"/>
  <c r="B59" i="17" a="1"/>
  <c r="B55" i="17" a="1"/>
  <c r="B57" i="17" a="1"/>
  <c r="L7" i="17"/>
  <c r="L9" i="17"/>
  <c r="AG63" i="45" l="1"/>
  <c r="I119" i="50" s="1"/>
  <c r="B119" i="32"/>
  <c r="B119" i="50"/>
  <c r="E79" i="32"/>
  <c r="K119" i="50"/>
  <c r="U8" i="32"/>
  <c r="L8" i="32" s="1"/>
  <c r="U5" i="32"/>
  <c r="L5" i="32" s="1"/>
  <c r="U7" i="32"/>
  <c r="L7" i="32" s="1"/>
  <c r="M79" i="32"/>
  <c r="U9" i="50"/>
  <c r="L9" i="50" s="1"/>
  <c r="U10" i="50"/>
  <c r="L10" i="50" s="1"/>
  <c r="J79" i="32"/>
  <c r="U10" i="32"/>
  <c r="L10" i="32" s="1"/>
  <c r="U14" i="32"/>
  <c r="L14" i="32" s="1"/>
  <c r="U11" i="32"/>
  <c r="L11" i="32" s="1"/>
  <c r="AI65" i="45"/>
  <c r="U15" i="32"/>
  <c r="L15" i="32" s="1"/>
  <c r="U6" i="32"/>
  <c r="L6" i="32" s="1"/>
  <c r="U8" i="50"/>
  <c r="L8" i="50" s="1"/>
  <c r="I87" i="32"/>
  <c r="I87" i="50"/>
  <c r="U12" i="50"/>
  <c r="L12" i="50" s="1"/>
  <c r="U14" i="50"/>
  <c r="L14" i="50" s="1"/>
  <c r="U15" i="50"/>
  <c r="L15" i="50" s="1"/>
  <c r="AD63" i="45"/>
  <c r="F119" i="50" s="1"/>
  <c r="U13" i="32"/>
  <c r="L13" i="32" s="1"/>
  <c r="U4" i="32"/>
  <c r="L4" i="32" s="1"/>
  <c r="U12" i="32"/>
  <c r="L12" i="32" s="1"/>
  <c r="U13" i="50"/>
  <c r="L13" i="50" s="1"/>
  <c r="U11" i="50"/>
  <c r="L11" i="50" s="1"/>
  <c r="U4" i="50"/>
  <c r="L4" i="50" s="1"/>
  <c r="U5" i="50"/>
  <c r="L5" i="50" s="1"/>
  <c r="U6" i="50"/>
  <c r="L6" i="50" s="1"/>
  <c r="N102" i="50"/>
  <c r="CB23" i="45"/>
  <c r="CB22" i="45"/>
  <c r="AK63" i="45"/>
  <c r="M87" i="32"/>
  <c r="M87" i="50"/>
  <c r="AK3" i="45"/>
  <c r="N102" i="32"/>
  <c r="E87" i="50"/>
  <c r="E87" i="32"/>
  <c r="AC3" i="45"/>
  <c r="AC63" i="45"/>
  <c r="L87" i="50"/>
  <c r="L87" i="32"/>
  <c r="AJ63" i="45"/>
  <c r="AJ3" i="45"/>
  <c r="AF65" i="45"/>
  <c r="AF83" i="45" s="1"/>
  <c r="H119" i="32"/>
  <c r="H119" i="50"/>
  <c r="J119" i="50"/>
  <c r="AH65" i="45"/>
  <c r="AH83" i="45" s="1"/>
  <c r="AH84" i="45" s="1"/>
  <c r="J119" i="32"/>
  <c r="AF65" i="46"/>
  <c r="AF83" i="46" s="1"/>
  <c r="AK31" i="10"/>
  <c r="AL32" i="10" s="1"/>
  <c r="AJ36" i="10"/>
  <c r="AG65" i="45"/>
  <c r="M89" i="32"/>
  <c r="M112" i="32"/>
  <c r="M89" i="50"/>
  <c r="M112" i="50"/>
  <c r="G87" i="32"/>
  <c r="G87" i="50"/>
  <c r="AE63" i="45"/>
  <c r="AE3" i="45"/>
  <c r="F87" i="32"/>
  <c r="F87" i="50"/>
  <c r="Z51" i="25"/>
  <c r="Z38" i="25" s="1"/>
  <c r="AA52" i="25"/>
  <c r="Y55" i="25"/>
  <c r="Y37" i="25"/>
  <c r="M121" i="50"/>
  <c r="AA112" i="50"/>
  <c r="AK87" i="50"/>
  <c r="M121" i="32"/>
  <c r="N120" i="32"/>
  <c r="BL38" i="46"/>
  <c r="BM38" i="46" s="1"/>
  <c r="BO38" i="46"/>
  <c r="AA89" i="32"/>
  <c r="AG112" i="32"/>
  <c r="AN112" i="32" s="1"/>
  <c r="AG89" i="32"/>
  <c r="AN89" i="32" s="1"/>
  <c r="B56" i="17" a="1"/>
  <c r="E56" i="17" s="1"/>
  <c r="BL25" i="46"/>
  <c r="BM25" i="46" s="1"/>
  <c r="BO25" i="46"/>
  <c r="J112" i="50"/>
  <c r="J89" i="50"/>
  <c r="J89" i="32"/>
  <c r="J112" i="32"/>
  <c r="AA112" i="32"/>
  <c r="W5" i="47"/>
  <c r="AB62" i="46"/>
  <c r="AB63" i="46"/>
  <c r="AB65" i="46" s="1"/>
  <c r="AB3" i="46"/>
  <c r="O110" i="50"/>
  <c r="AA110" i="50" s="1"/>
  <c r="O110" i="32"/>
  <c r="AA110" i="32" s="1"/>
  <c r="Q120" i="50"/>
  <c r="Q120" i="32"/>
  <c r="AN87" i="50"/>
  <c r="M32" i="32" a="1"/>
  <c r="W5" i="43"/>
  <c r="O119" i="50"/>
  <c r="AA119" i="50" s="1"/>
  <c r="O119" i="32"/>
  <c r="AA119" i="32" s="1"/>
  <c r="R3" i="47"/>
  <c r="R8" i="47"/>
  <c r="V3" i="43"/>
  <c r="V8" i="43" s="1"/>
  <c r="V120" i="50"/>
  <c r="V120" i="32"/>
  <c r="U38" i="50"/>
  <c r="L38" i="50" s="1"/>
  <c r="U35" i="50"/>
  <c r="L35" i="50" s="1"/>
  <c r="U33" i="50"/>
  <c r="L33" i="50" s="1"/>
  <c r="U32" i="50"/>
  <c r="L32" i="50" s="1"/>
  <c r="U39" i="50"/>
  <c r="L39" i="50" s="1"/>
  <c r="U36" i="50"/>
  <c r="L36" i="50" s="1"/>
  <c r="U37" i="50"/>
  <c r="L37" i="50" s="1"/>
  <c r="U34" i="50"/>
  <c r="L34" i="50" s="1"/>
  <c r="U41" i="50"/>
  <c r="L41" i="50" s="1"/>
  <c r="U40" i="50"/>
  <c r="L40" i="50" s="1"/>
  <c r="U42" i="50"/>
  <c r="L42" i="50" s="1"/>
  <c r="U43" i="50"/>
  <c r="L43" i="50" s="1"/>
  <c r="CB55" i="45"/>
  <c r="CC55" i="45" s="1"/>
  <c r="CB58" i="45"/>
  <c r="AL106" i="50"/>
  <c r="AN106" i="50" s="1"/>
  <c r="P5" i="47"/>
  <c r="J8" i="47"/>
  <c r="AB111" i="50"/>
  <c r="AB88" i="50"/>
  <c r="Z65" i="46"/>
  <c r="BQ65" i="46" s="1"/>
  <c r="BQ63" i="46"/>
  <c r="Q47" i="32" a="1"/>
  <c r="U36" i="32"/>
  <c r="L36" i="32" s="1"/>
  <c r="U41" i="32"/>
  <c r="L41" i="32" s="1"/>
  <c r="U33" i="32"/>
  <c r="L33" i="32" s="1"/>
  <c r="U32" i="32"/>
  <c r="L32" i="32" s="1"/>
  <c r="U39" i="32"/>
  <c r="L39" i="32" s="1"/>
  <c r="U42" i="32"/>
  <c r="L42" i="32" s="1"/>
  <c r="U34" i="32"/>
  <c r="L34" i="32" s="1"/>
  <c r="U37" i="32"/>
  <c r="L37" i="32" s="1"/>
  <c r="U40" i="32"/>
  <c r="L40" i="32" s="1"/>
  <c r="U43" i="32"/>
  <c r="L43" i="32" s="1"/>
  <c r="U38" i="32"/>
  <c r="L38" i="32" s="1"/>
  <c r="U35" i="32"/>
  <c r="L35" i="32" s="1"/>
  <c r="BL53" i="46"/>
  <c r="BM53" i="46" s="1"/>
  <c r="BO53" i="46"/>
  <c r="L8" i="47"/>
  <c r="L3" i="47"/>
  <c r="T120" i="50"/>
  <c r="T120" i="32"/>
  <c r="D8" i="32"/>
  <c r="D5" i="32"/>
  <c r="D14" i="32"/>
  <c r="D13" i="32"/>
  <c r="D15" i="32"/>
  <c r="D11" i="32"/>
  <c r="D6" i="32"/>
  <c r="D12" i="32"/>
  <c r="D4" i="32"/>
  <c r="D10" i="32"/>
  <c r="D7" i="32"/>
  <c r="D9" i="32"/>
  <c r="C87" i="50"/>
  <c r="C87" i="32"/>
  <c r="M4" i="50" a="1"/>
  <c r="M4" i="32" a="1"/>
  <c r="AA62" i="45"/>
  <c r="C72" i="50"/>
  <c r="C79" i="50" s="1"/>
  <c r="C80" i="50" s="1"/>
  <c r="D80" i="50" s="1"/>
  <c r="E80" i="50" s="1"/>
  <c r="F80" i="50" s="1"/>
  <c r="G80" i="50" s="1"/>
  <c r="H80" i="50" s="1"/>
  <c r="I80" i="50" s="1"/>
  <c r="J80" i="50" s="1"/>
  <c r="K80" i="50" s="1"/>
  <c r="L80" i="50" s="1"/>
  <c r="M80" i="50" s="1"/>
  <c r="C72" i="32"/>
  <c r="C79" i="32" s="1"/>
  <c r="C80" i="32" s="1"/>
  <c r="D80" i="32" s="1"/>
  <c r="AA63" i="45"/>
  <c r="AA3" i="45"/>
  <c r="Q4" i="32" a="1"/>
  <c r="Q4" i="50" a="1"/>
  <c r="I5" i="47"/>
  <c r="B5" i="43"/>
  <c r="F32" i="32" a="1"/>
  <c r="F32" i="50" a="1"/>
  <c r="C5" i="50"/>
  <c r="C6" i="50" s="1"/>
  <c r="C7" i="50" s="1"/>
  <c r="C8" i="50" s="1"/>
  <c r="C9" i="50" s="1"/>
  <c r="C10" i="50" s="1"/>
  <c r="C11" i="50" s="1"/>
  <c r="C12" i="50" s="1"/>
  <c r="C13" i="50" s="1"/>
  <c r="C14" i="50" s="1"/>
  <c r="C15" i="50" s="1"/>
  <c r="M36" i="50"/>
  <c r="M42" i="50"/>
  <c r="M37" i="50"/>
  <c r="M43" i="50"/>
  <c r="M38" i="50"/>
  <c r="M41" i="50"/>
  <c r="M40" i="50"/>
  <c r="M33" i="50"/>
  <c r="M39" i="50"/>
  <c r="M32" i="50"/>
  <c r="M35" i="50"/>
  <c r="M34" i="50"/>
  <c r="M49" i="32"/>
  <c r="M53" i="32"/>
  <c r="M57" i="32"/>
  <c r="M50" i="32"/>
  <c r="M54" i="32"/>
  <c r="M58" i="32"/>
  <c r="M51" i="32"/>
  <c r="M55" i="32"/>
  <c r="M48" i="32"/>
  <c r="M52" i="32"/>
  <c r="M47" i="32"/>
  <c r="M56" i="32"/>
  <c r="AE88" i="32"/>
  <c r="AE111" i="32"/>
  <c r="V47" i="32" a="1"/>
  <c r="E5" i="43"/>
  <c r="AB65" i="45"/>
  <c r="D119" i="50"/>
  <c r="D119" i="32"/>
  <c r="M3" i="43"/>
  <c r="M8" i="43" s="1"/>
  <c r="F9" i="47"/>
  <c r="A15" i="47"/>
  <c r="A21" i="47" s="1"/>
  <c r="B3" i="43"/>
  <c r="B9" i="43" s="1"/>
  <c r="BQ62" i="46"/>
  <c r="BR63" i="46" s="1"/>
  <c r="R121" i="25"/>
  <c r="R129" i="25"/>
  <c r="AC128" i="25" s="1"/>
  <c r="AD128" i="25" s="1"/>
  <c r="H112" i="32"/>
  <c r="H112" i="50"/>
  <c r="H89" i="32"/>
  <c r="H89" i="50"/>
  <c r="R87" i="32"/>
  <c r="R87" i="50"/>
  <c r="E3" i="43"/>
  <c r="Y87" i="50"/>
  <c r="Y87" i="32"/>
  <c r="CB62" i="45"/>
  <c r="N120" i="50"/>
  <c r="AC95" i="25"/>
  <c r="X106" i="25"/>
  <c r="X104" i="25"/>
  <c r="Q43" i="32"/>
  <c r="H43" i="32" s="1"/>
  <c r="Q37" i="32"/>
  <c r="H37" i="32" s="1"/>
  <c r="Q34" i="32"/>
  <c r="H34" i="32" s="1"/>
  <c r="Q41" i="32"/>
  <c r="H41" i="32" s="1"/>
  <c r="Q36" i="32"/>
  <c r="H36" i="32" s="1"/>
  <c r="Q38" i="32"/>
  <c r="H38" i="32" s="1"/>
  <c r="Q40" i="32"/>
  <c r="H40" i="32" s="1"/>
  <c r="Q42" i="32"/>
  <c r="H42" i="32" s="1"/>
  <c r="Q35" i="32"/>
  <c r="H35" i="32" s="1"/>
  <c r="Q32" i="32"/>
  <c r="H32" i="32" s="1"/>
  <c r="Q39" i="32"/>
  <c r="H39" i="32" s="1"/>
  <c r="Q33" i="32"/>
  <c r="H33" i="32" s="1"/>
  <c r="BQ3" i="46"/>
  <c r="M3" i="47"/>
  <c r="M8" i="47"/>
  <c r="F5" i="47"/>
  <c r="Q38" i="50"/>
  <c r="H38" i="50" s="1"/>
  <c r="Q36" i="50"/>
  <c r="H36" i="50" s="1"/>
  <c r="Q42" i="50"/>
  <c r="H42" i="50" s="1"/>
  <c r="Q40" i="50"/>
  <c r="H40" i="50" s="1"/>
  <c r="Q32" i="50"/>
  <c r="H32" i="50" s="1"/>
  <c r="Q35" i="50"/>
  <c r="H35" i="50" s="1"/>
  <c r="Q33" i="50"/>
  <c r="H33" i="50" s="1"/>
  <c r="Q39" i="50"/>
  <c r="H39" i="50" s="1"/>
  <c r="Q37" i="50"/>
  <c r="H37" i="50" s="1"/>
  <c r="Q43" i="50"/>
  <c r="H43" i="50" s="1"/>
  <c r="Q34" i="50"/>
  <c r="H34" i="50" s="1"/>
  <c r="Q41" i="50"/>
  <c r="H41" i="50" s="1"/>
  <c r="AA89" i="50"/>
  <c r="AG111" i="32"/>
  <c r="AG88" i="32"/>
  <c r="S5" i="43"/>
  <c r="BQ4" i="46"/>
  <c r="B56" i="17"/>
  <c r="M56" i="17"/>
  <c r="E57" i="17"/>
  <c r="F57" i="17"/>
  <c r="G57" i="17"/>
  <c r="H57" i="17"/>
  <c r="I57" i="17"/>
  <c r="J57" i="17"/>
  <c r="K57" i="17"/>
  <c r="L57" i="17"/>
  <c r="B57" i="17"/>
  <c r="M57" i="17"/>
  <c r="C57" i="17"/>
  <c r="D57" i="17"/>
  <c r="G55" i="17"/>
  <c r="H55" i="17"/>
  <c r="I55" i="17"/>
  <c r="J55" i="17"/>
  <c r="K55" i="17"/>
  <c r="L55" i="17"/>
  <c r="B55" i="17"/>
  <c r="M55" i="17"/>
  <c r="D55" i="17"/>
  <c r="C55" i="17"/>
  <c r="E55" i="17"/>
  <c r="F55" i="17"/>
  <c r="C59" i="17"/>
  <c r="D59" i="17"/>
  <c r="E59" i="17"/>
  <c r="F59" i="17"/>
  <c r="G59" i="17"/>
  <c r="H59" i="17"/>
  <c r="I59" i="17"/>
  <c r="J59" i="17"/>
  <c r="K59" i="17"/>
  <c r="L59" i="17"/>
  <c r="B59" i="17"/>
  <c r="M59" i="17"/>
  <c r="I119" i="32" l="1"/>
  <c r="N89" i="50"/>
  <c r="E80" i="32"/>
  <c r="F80" i="32" s="1"/>
  <c r="G80" i="32" s="1"/>
  <c r="H80" i="32" s="1"/>
  <c r="I80" i="32" s="1"/>
  <c r="J80" i="32" s="1"/>
  <c r="K80" i="32" s="1"/>
  <c r="L80" i="32" s="1"/>
  <c r="M80" i="32" s="1"/>
  <c r="N112" i="32"/>
  <c r="F119" i="32"/>
  <c r="AD65" i="45"/>
  <c r="N112" i="50"/>
  <c r="N89" i="32"/>
  <c r="AJ65" i="45"/>
  <c r="L119" i="32"/>
  <c r="L119" i="50"/>
  <c r="AC65" i="45"/>
  <c r="E119" i="50"/>
  <c r="E119" i="32"/>
  <c r="M119" i="50"/>
  <c r="M119" i="32"/>
  <c r="AK65" i="45"/>
  <c r="AE65" i="45"/>
  <c r="G119" i="32"/>
  <c r="G119" i="50"/>
  <c r="AK36" i="10"/>
  <c r="AL40" i="10" s="1"/>
  <c r="AJ43" i="10"/>
  <c r="AK43" i="10" s="1"/>
  <c r="AL44" i="10" s="1"/>
  <c r="AA51" i="25"/>
  <c r="AA38" i="25" s="1"/>
  <c r="AB52" i="25"/>
  <c r="AB51" i="25" s="1"/>
  <c r="AB38" i="25" s="1"/>
  <c r="Z99" i="25"/>
  <c r="Z104" i="25" s="1"/>
  <c r="Z103" i="25" s="1"/>
  <c r="AC38" i="25"/>
  <c r="Z55" i="25"/>
  <c r="Z37" i="25"/>
  <c r="B92" i="50" a="1"/>
  <c r="H92" i="50" s="1"/>
  <c r="D4" i="48"/>
  <c r="O86" i="50" a="1"/>
  <c r="D56" i="17"/>
  <c r="BL65" i="46"/>
  <c r="BL63" i="46"/>
  <c r="F42" i="50"/>
  <c r="F35" i="50"/>
  <c r="F39" i="50"/>
  <c r="F38" i="50"/>
  <c r="F43" i="50"/>
  <c r="F36" i="50"/>
  <c r="F37" i="50"/>
  <c r="F41" i="50"/>
  <c r="F34" i="50"/>
  <c r="F40" i="50"/>
  <c r="F33" i="50"/>
  <c r="F32" i="50"/>
  <c r="Q13" i="32"/>
  <c r="H13" i="32" s="1"/>
  <c r="Q10" i="32"/>
  <c r="H10" i="32" s="1"/>
  <c r="Q5" i="32"/>
  <c r="H5" i="32" s="1"/>
  <c r="Q7" i="32"/>
  <c r="H7" i="32" s="1"/>
  <c r="Q14" i="32"/>
  <c r="H14" i="32" s="1"/>
  <c r="Q11" i="32"/>
  <c r="H11" i="32" s="1"/>
  <c r="Q4" i="32"/>
  <c r="H4" i="32" s="1"/>
  <c r="Q15" i="32"/>
  <c r="H15" i="32" s="1"/>
  <c r="Q6" i="32"/>
  <c r="H6" i="32" s="1"/>
  <c r="Q8" i="32"/>
  <c r="H8" i="32" s="1"/>
  <c r="Q12" i="32"/>
  <c r="H12" i="32" s="1"/>
  <c r="Q9" i="32"/>
  <c r="H9" i="32" s="1"/>
  <c r="P3" i="47"/>
  <c r="BO21" i="46"/>
  <c r="BL21" i="46"/>
  <c r="BM21" i="46" s="1"/>
  <c r="L56" i="17"/>
  <c r="X122" i="32"/>
  <c r="K7" i="47"/>
  <c r="K18" i="47" s="1"/>
  <c r="K7" i="43"/>
  <c r="K18" i="43" s="1"/>
  <c r="X122" i="50"/>
  <c r="O120" i="50"/>
  <c r="O120" i="32"/>
  <c r="BO4" i="46"/>
  <c r="BL4" i="46"/>
  <c r="BM4" i="46" s="1"/>
  <c r="BO23" i="46"/>
  <c r="BL23" i="46"/>
  <c r="BM23" i="46" s="1"/>
  <c r="H47" i="50"/>
  <c r="H49" i="50"/>
  <c r="H48" i="50"/>
  <c r="H54" i="50"/>
  <c r="H53" i="50"/>
  <c r="H52" i="50"/>
  <c r="H58" i="50"/>
  <c r="H57" i="50"/>
  <c r="H50" i="50"/>
  <c r="H51" i="50"/>
  <c r="H55" i="50"/>
  <c r="H56" i="50"/>
  <c r="L5" i="47"/>
  <c r="K56" i="17"/>
  <c r="V47" i="32"/>
  <c r="N47" i="32" s="1"/>
  <c r="V48" i="32"/>
  <c r="N48" i="32" s="1"/>
  <c r="V50" i="32"/>
  <c r="N50" i="32" s="1"/>
  <c r="V52" i="32"/>
  <c r="N52" i="32" s="1"/>
  <c r="V54" i="32"/>
  <c r="N54" i="32" s="1"/>
  <c r="V56" i="32"/>
  <c r="N56" i="32" s="1"/>
  <c r="V58" i="32"/>
  <c r="N58" i="32" s="1"/>
  <c r="V49" i="32"/>
  <c r="N49" i="32" s="1"/>
  <c r="V51" i="32"/>
  <c r="N51" i="32" s="1"/>
  <c r="V53" i="32"/>
  <c r="N53" i="32" s="1"/>
  <c r="V55" i="32"/>
  <c r="N55" i="32" s="1"/>
  <c r="V57" i="32"/>
  <c r="N57" i="32" s="1"/>
  <c r="L3" i="43"/>
  <c r="L8" i="43" s="1"/>
  <c r="J56" i="17"/>
  <c r="CB63" i="45"/>
  <c r="E18" i="32" a="1"/>
  <c r="E18" i="50" a="1"/>
  <c r="BO52" i="46"/>
  <c r="BL52" i="46"/>
  <c r="BM52" i="46" s="1"/>
  <c r="BO69" i="46"/>
  <c r="L50" i="50"/>
  <c r="L51" i="50"/>
  <c r="L55" i="50"/>
  <c r="L56" i="50"/>
  <c r="L48" i="50"/>
  <c r="L49" i="50"/>
  <c r="L53" i="50"/>
  <c r="L54" i="50"/>
  <c r="L52" i="50"/>
  <c r="L47" i="50"/>
  <c r="L57" i="50"/>
  <c r="L58" i="50"/>
  <c r="M35" i="32"/>
  <c r="M37" i="32"/>
  <c r="M43" i="32"/>
  <c r="M38" i="32"/>
  <c r="M41" i="32"/>
  <c r="M33" i="32"/>
  <c r="M39" i="32"/>
  <c r="M40" i="32"/>
  <c r="M34" i="32"/>
  <c r="M32" i="32"/>
  <c r="M36" i="32"/>
  <c r="M42" i="32"/>
  <c r="C5" i="32"/>
  <c r="C6" i="32" s="1"/>
  <c r="C7" i="32" s="1"/>
  <c r="C8" i="32" s="1"/>
  <c r="C9" i="32" s="1"/>
  <c r="C10" i="32" s="1"/>
  <c r="C11" i="32" s="1"/>
  <c r="C12" i="32" s="1"/>
  <c r="C13" i="32" s="1"/>
  <c r="C14" i="32" s="1"/>
  <c r="C15" i="32" s="1"/>
  <c r="I56" i="17"/>
  <c r="AN111" i="32"/>
  <c r="N87" i="50"/>
  <c r="N87" i="32"/>
  <c r="BO32" i="46"/>
  <c r="BL32" i="46"/>
  <c r="BM32" i="46" s="1"/>
  <c r="F34" i="32"/>
  <c r="F37" i="32"/>
  <c r="F42" i="32"/>
  <c r="F32" i="32"/>
  <c r="F39" i="32"/>
  <c r="F41" i="32"/>
  <c r="F40" i="32"/>
  <c r="F38" i="32"/>
  <c r="F33" i="32"/>
  <c r="F35" i="32"/>
  <c r="F36" i="32"/>
  <c r="F43" i="32"/>
  <c r="H56" i="17"/>
  <c r="E9" i="43"/>
  <c r="A15" i="43"/>
  <c r="A21" i="43" s="1"/>
  <c r="AN88" i="32"/>
  <c r="M12" i="32"/>
  <c r="M5" i="32"/>
  <c r="M14" i="32"/>
  <c r="M15" i="32"/>
  <c r="M8" i="32"/>
  <c r="M11" i="32"/>
  <c r="M6" i="32"/>
  <c r="M7" i="32"/>
  <c r="M10" i="32"/>
  <c r="M13" i="32"/>
  <c r="M4" i="32"/>
  <c r="M9" i="32"/>
  <c r="AL112" i="50"/>
  <c r="AN112" i="50" s="1"/>
  <c r="AL89" i="50"/>
  <c r="AN89" i="50" s="1"/>
  <c r="G56" i="17"/>
  <c r="M13" i="50"/>
  <c r="M5" i="50"/>
  <c r="M8" i="50"/>
  <c r="M11" i="50"/>
  <c r="M14" i="50"/>
  <c r="M4" i="50"/>
  <c r="M6" i="50"/>
  <c r="M9" i="50"/>
  <c r="M12" i="50"/>
  <c r="M15" i="50"/>
  <c r="M7" i="50"/>
  <c r="M10" i="50"/>
  <c r="Q55" i="32"/>
  <c r="H55" i="32" s="1"/>
  <c r="Q53" i="32"/>
  <c r="H53" i="32" s="1"/>
  <c r="Q48" i="32"/>
  <c r="H48" i="32" s="1"/>
  <c r="Q57" i="32"/>
  <c r="H57" i="32" s="1"/>
  <c r="Q52" i="32"/>
  <c r="H52" i="32" s="1"/>
  <c r="Q50" i="32"/>
  <c r="H50" i="32" s="1"/>
  <c r="Q56" i="32"/>
  <c r="H56" i="32" s="1"/>
  <c r="Q54" i="32"/>
  <c r="H54" i="32" s="1"/>
  <c r="Q47" i="32"/>
  <c r="H47" i="32" s="1"/>
  <c r="Q58" i="32"/>
  <c r="H58" i="32" s="1"/>
  <c r="Q51" i="32"/>
  <c r="H51" i="32" s="1"/>
  <c r="Q49" i="32"/>
  <c r="H49" i="32" s="1"/>
  <c r="R120" i="50"/>
  <c r="R120" i="32"/>
  <c r="AA65" i="45"/>
  <c r="C119" i="50"/>
  <c r="C119" i="32"/>
  <c r="C92" i="50"/>
  <c r="E92" i="50"/>
  <c r="F56" i="17"/>
  <c r="X103" i="25"/>
  <c r="AC103" i="25"/>
  <c r="C5" i="47"/>
  <c r="Q3" i="43"/>
  <c r="Q8" i="43" s="1"/>
  <c r="C56" i="17"/>
  <c r="Y106" i="25"/>
  <c r="Z106" i="25" s="1"/>
  <c r="AC105" i="25"/>
  <c r="C3" i="47"/>
  <c r="C9" i="47" s="1"/>
  <c r="Q15" i="50"/>
  <c r="H15" i="50" s="1"/>
  <c r="Q11" i="50"/>
  <c r="H11" i="50" s="1"/>
  <c r="Q7" i="50"/>
  <c r="H7" i="50" s="1"/>
  <c r="Q14" i="50"/>
  <c r="H14" i="50" s="1"/>
  <c r="Q4" i="50"/>
  <c r="H4" i="50" s="1"/>
  <c r="Q10" i="50"/>
  <c r="H10" i="50" s="1"/>
  <c r="Q6" i="50"/>
  <c r="H6" i="50" s="1"/>
  <c r="Q13" i="50"/>
  <c r="H13" i="50" s="1"/>
  <c r="Q9" i="50"/>
  <c r="H9" i="50" s="1"/>
  <c r="Q5" i="50"/>
  <c r="H5" i="50" s="1"/>
  <c r="Q12" i="50"/>
  <c r="H12" i="50" s="1"/>
  <c r="Q8" i="50"/>
  <c r="H8" i="50" s="1"/>
  <c r="W3" i="43"/>
  <c r="W8" i="43" s="1"/>
  <c r="W8" i="47"/>
  <c r="W3" i="47"/>
  <c r="O86" i="32" a="1"/>
  <c r="D92" i="50" l="1"/>
  <c r="B92" i="50"/>
  <c r="M92" i="50"/>
  <c r="I92" i="50"/>
  <c r="N119" i="32"/>
  <c r="G92" i="50"/>
  <c r="F92" i="50"/>
  <c r="N119" i="50"/>
  <c r="AB99" i="25"/>
  <c r="AB104" i="25" s="1"/>
  <c r="AB103" i="25" s="1"/>
  <c r="AB55" i="25"/>
  <c r="AB37" i="25"/>
  <c r="AA99" i="25"/>
  <c r="AA104" i="25" s="1"/>
  <c r="AA103" i="25" s="1"/>
  <c r="AA37" i="25"/>
  <c r="AA55" i="25"/>
  <c r="K92" i="50"/>
  <c r="L92" i="50"/>
  <c r="J92" i="50"/>
  <c r="B86" i="50" a="1"/>
  <c r="F86" i="50" s="1"/>
  <c r="B86" i="32" a="1"/>
  <c r="B92" i="32" a="1"/>
  <c r="BL3" i="46"/>
  <c r="BM3" i="46" s="1"/>
  <c r="BO3" i="46"/>
  <c r="Q5" i="43"/>
  <c r="F47" i="32" a="1"/>
  <c r="AL111" i="50"/>
  <c r="AN111" i="50" s="1"/>
  <c r="AL88" i="50"/>
  <c r="AN88" i="50" s="1"/>
  <c r="O121" i="32"/>
  <c r="P121" i="32" s="1"/>
  <c r="Q121" i="32" s="1"/>
  <c r="R121" i="32" s="1"/>
  <c r="S121" i="32" s="1"/>
  <c r="T121" i="32" s="1"/>
  <c r="U121" i="32" s="1"/>
  <c r="V121" i="32" s="1"/>
  <c r="W121" i="32" s="1"/>
  <c r="X121" i="32" s="1"/>
  <c r="Y121" i="32" s="1"/>
  <c r="Z121" i="32" s="1"/>
  <c r="AA120" i="32"/>
  <c r="R86" i="32"/>
  <c r="S86" i="32"/>
  <c r="T86" i="32"/>
  <c r="U86" i="32"/>
  <c r="V86" i="32"/>
  <c r="X86" i="32"/>
  <c r="Y86" i="32"/>
  <c r="O86" i="32"/>
  <c r="Z86" i="32"/>
  <c r="W86" i="32"/>
  <c r="P86" i="32"/>
  <c r="Q86" i="32"/>
  <c r="AA106" i="25"/>
  <c r="AB106" i="25" s="1"/>
  <c r="AB117" i="25" s="1"/>
  <c r="Z117" i="25"/>
  <c r="Z120" i="25" s="1"/>
  <c r="O121" i="50"/>
  <c r="P121" i="50" s="1"/>
  <c r="Q121" i="50" s="1"/>
  <c r="R121" i="50" s="1"/>
  <c r="S121" i="50" s="1"/>
  <c r="T121" i="50" s="1"/>
  <c r="U121" i="50" s="1"/>
  <c r="V121" i="50" s="1"/>
  <c r="W121" i="50" s="1"/>
  <c r="X121" i="50" s="1"/>
  <c r="Y121" i="50" s="1"/>
  <c r="Z121" i="50" s="1"/>
  <c r="AA120" i="50"/>
  <c r="AB86" i="32" a="1"/>
  <c r="N5" i="47"/>
  <c r="P8" i="47"/>
  <c r="E19" i="50"/>
  <c r="D19" i="50" s="1"/>
  <c r="F5" i="50" s="1"/>
  <c r="E21" i="50"/>
  <c r="D21" i="50" s="1"/>
  <c r="F7" i="50" s="1"/>
  <c r="E23" i="50"/>
  <c r="D23" i="50" s="1"/>
  <c r="F9" i="50" s="1"/>
  <c r="E20" i="50"/>
  <c r="D20" i="50" s="1"/>
  <c r="F6" i="50" s="1"/>
  <c r="E22" i="50"/>
  <c r="D22" i="50" s="1"/>
  <c r="F8" i="50" s="1"/>
  <c r="E18" i="50"/>
  <c r="D18" i="50" s="1"/>
  <c r="F4" i="50" s="1"/>
  <c r="E25" i="50"/>
  <c r="D25" i="50" s="1"/>
  <c r="F11" i="50" s="1"/>
  <c r="E26" i="50"/>
  <c r="D26" i="50" s="1"/>
  <c r="F12" i="50" s="1"/>
  <c r="E27" i="50"/>
  <c r="D27" i="50" s="1"/>
  <c r="F13" i="50" s="1"/>
  <c r="E29" i="50"/>
  <c r="D29" i="50" s="1"/>
  <c r="F15" i="50" s="1"/>
  <c r="E24" i="50"/>
  <c r="D24" i="50" s="1"/>
  <c r="F10" i="50" s="1"/>
  <c r="E28" i="50"/>
  <c r="D28" i="50" s="1"/>
  <c r="F14" i="50" s="1"/>
  <c r="E28" i="32"/>
  <c r="D28" i="32" s="1"/>
  <c r="F14" i="32" s="1"/>
  <c r="E24" i="32"/>
  <c r="D24" i="32" s="1"/>
  <c r="F10" i="32" s="1"/>
  <c r="E26" i="32"/>
  <c r="D26" i="32" s="1"/>
  <c r="F12" i="32" s="1"/>
  <c r="E29" i="32"/>
  <c r="D29" i="32" s="1"/>
  <c r="F15" i="32" s="1"/>
  <c r="E25" i="32"/>
  <c r="D25" i="32" s="1"/>
  <c r="F11" i="32" s="1"/>
  <c r="E27" i="32"/>
  <c r="D27" i="32" s="1"/>
  <c r="F13" i="32" s="1"/>
  <c r="E22" i="32"/>
  <c r="D22" i="32" s="1"/>
  <c r="F8" i="32" s="1"/>
  <c r="E23" i="32"/>
  <c r="D23" i="32" s="1"/>
  <c r="F9" i="32" s="1"/>
  <c r="E19" i="32"/>
  <c r="D19" i="32" s="1"/>
  <c r="F5" i="32" s="1"/>
  <c r="E20" i="32"/>
  <c r="D20" i="32" s="1"/>
  <c r="F6" i="32" s="1"/>
  <c r="E21" i="32"/>
  <c r="D21" i="32" s="1"/>
  <c r="F7" i="32" s="1"/>
  <c r="E18" i="32"/>
  <c r="D18" i="32" s="1"/>
  <c r="F4" i="32" s="1"/>
  <c r="Y122" i="32"/>
  <c r="L7" i="43"/>
  <c r="L18" i="43" s="1"/>
  <c r="Y122" i="50"/>
  <c r="L7" i="47"/>
  <c r="L18" i="47" s="1"/>
  <c r="AB86" i="50" a="1"/>
  <c r="E32" i="50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O90" i="50" a="1"/>
  <c r="E32" i="32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O90" i="32" a="1"/>
  <c r="BT58" i="46"/>
  <c r="BL60" i="46"/>
  <c r="BM60" i="46" s="1"/>
  <c r="X91" i="32"/>
  <c r="X91" i="50"/>
  <c r="BL57" i="46"/>
  <c r="BM57" i="46" s="1"/>
  <c r="BO57" i="46"/>
  <c r="U86" i="50"/>
  <c r="V86" i="50"/>
  <c r="W86" i="50"/>
  <c r="X86" i="50"/>
  <c r="Y86" i="50"/>
  <c r="Z86" i="50"/>
  <c r="P86" i="50"/>
  <c r="Q86" i="50"/>
  <c r="R86" i="50"/>
  <c r="S86" i="50"/>
  <c r="T86" i="50"/>
  <c r="O86" i="50"/>
  <c r="H86" i="50" l="1"/>
  <c r="G86" i="50"/>
  <c r="E86" i="50"/>
  <c r="L86" i="50"/>
  <c r="C86" i="50"/>
  <c r="M86" i="50"/>
  <c r="D86" i="50"/>
  <c r="B86" i="50"/>
  <c r="K86" i="50"/>
  <c r="J86" i="50"/>
  <c r="I86" i="50"/>
  <c r="F4" i="48"/>
  <c r="W90" i="50"/>
  <c r="Y90" i="50"/>
  <c r="S90" i="50"/>
  <c r="Z90" i="50"/>
  <c r="X90" i="50"/>
  <c r="V90" i="50"/>
  <c r="Q90" i="50"/>
  <c r="T90" i="50"/>
  <c r="R90" i="50"/>
  <c r="O90" i="50"/>
  <c r="P90" i="50"/>
  <c r="U90" i="50"/>
  <c r="AM86" i="50"/>
  <c r="AC86" i="50"/>
  <c r="AD86" i="50"/>
  <c r="AE86" i="50"/>
  <c r="AF86" i="50"/>
  <c r="AH86" i="50"/>
  <c r="AI86" i="50"/>
  <c r="AJ86" i="50"/>
  <c r="AK86" i="50"/>
  <c r="AG86" i="50"/>
  <c r="AL86" i="50"/>
  <c r="AB86" i="50"/>
  <c r="E4" i="50"/>
  <c r="E5" i="50" s="1"/>
  <c r="E6" i="50" s="1"/>
  <c r="E7" i="50" s="1"/>
  <c r="E8" i="50" s="1"/>
  <c r="E9" i="50" s="1"/>
  <c r="E10" i="50" s="1"/>
  <c r="E11" i="50" s="1"/>
  <c r="E12" i="50" s="1"/>
  <c r="E13" i="50" s="1"/>
  <c r="E14" i="50" s="1"/>
  <c r="E15" i="50" s="1"/>
  <c r="B90" i="50" a="1"/>
  <c r="F50" i="32"/>
  <c r="F54" i="32"/>
  <c r="F58" i="32"/>
  <c r="F51" i="32"/>
  <c r="F55" i="32"/>
  <c r="F48" i="32"/>
  <c r="F52" i="32"/>
  <c r="F56" i="32"/>
  <c r="F49" i="32"/>
  <c r="F57" i="32"/>
  <c r="F53" i="32"/>
  <c r="F47" i="32"/>
  <c r="E9" i="48"/>
  <c r="AE86" i="32"/>
  <c r="AH86" i="32"/>
  <c r="AI86" i="32"/>
  <c r="AJ86" i="32"/>
  <c r="AK86" i="32"/>
  <c r="AL86" i="32"/>
  <c r="AM86" i="32"/>
  <c r="AC86" i="32"/>
  <c r="AD86" i="32"/>
  <c r="AB86" i="32"/>
  <c r="AF86" i="32"/>
  <c r="AG86" i="32"/>
  <c r="M92" i="32"/>
  <c r="C92" i="32"/>
  <c r="D92" i="32"/>
  <c r="E92" i="32"/>
  <c r="F92" i="32"/>
  <c r="G92" i="32"/>
  <c r="H92" i="32"/>
  <c r="I92" i="32"/>
  <c r="J92" i="32"/>
  <c r="K92" i="32"/>
  <c r="L92" i="32"/>
  <c r="B92" i="32"/>
  <c r="M7" i="43"/>
  <c r="M18" i="43" s="1"/>
  <c r="Z122" i="50"/>
  <c r="M7" i="47"/>
  <c r="M18" i="47" s="1"/>
  <c r="Z122" i="32"/>
  <c r="AA86" i="32"/>
  <c r="N57" i="50"/>
  <c r="N47" i="50"/>
  <c r="N50" i="50"/>
  <c r="N51" i="50"/>
  <c r="N55" i="50"/>
  <c r="N56" i="50"/>
  <c r="N48" i="50"/>
  <c r="N49" i="50"/>
  <c r="N53" i="50"/>
  <c r="N54" i="50"/>
  <c r="N52" i="50"/>
  <c r="N58" i="50"/>
  <c r="D9" i="48"/>
  <c r="C60" i="50"/>
  <c r="AA86" i="50"/>
  <c r="R90" i="32"/>
  <c r="Q90" i="32"/>
  <c r="S90" i="32"/>
  <c r="O90" i="32"/>
  <c r="P90" i="32"/>
  <c r="X90" i="32"/>
  <c r="V90" i="32"/>
  <c r="T90" i="32"/>
  <c r="U90" i="32"/>
  <c r="Z90" i="32"/>
  <c r="Y90" i="32"/>
  <c r="W90" i="32"/>
  <c r="Y91" i="50"/>
  <c r="Y91" i="32"/>
  <c r="BL58" i="46"/>
  <c r="BM58" i="46" s="1"/>
  <c r="BO58" i="46"/>
  <c r="L86" i="32"/>
  <c r="B86" i="32"/>
  <c r="M86" i="32"/>
  <c r="C86" i="32"/>
  <c r="D86" i="32"/>
  <c r="G86" i="32"/>
  <c r="H86" i="32"/>
  <c r="I86" i="32"/>
  <c r="J86" i="32"/>
  <c r="E86" i="32"/>
  <c r="F86" i="32"/>
  <c r="K86" i="32"/>
  <c r="E4" i="32"/>
  <c r="E5" i="32" s="1"/>
  <c r="E6" i="32" s="1"/>
  <c r="E7" i="32" s="1"/>
  <c r="E8" i="32" s="1"/>
  <c r="E9" i="32" s="1"/>
  <c r="E10" i="32" s="1"/>
  <c r="E11" i="32" s="1"/>
  <c r="E12" i="32" s="1"/>
  <c r="E13" i="32" s="1"/>
  <c r="E14" i="32" s="1"/>
  <c r="E15" i="32" s="1"/>
  <c r="B90" i="32" a="1"/>
  <c r="BO64" i="46"/>
  <c r="BL64" i="46"/>
  <c r="BM64" i="46" s="1"/>
  <c r="Z121" i="25"/>
  <c r="AB120" i="25"/>
  <c r="E4" i="48"/>
  <c r="N86" i="50" l="1"/>
  <c r="G4" i="48"/>
  <c r="AB121" i="25"/>
  <c r="F9" i="48"/>
  <c r="H90" i="32"/>
  <c r="I90" i="32"/>
  <c r="J90" i="32"/>
  <c r="K90" i="32"/>
  <c r="L90" i="32"/>
  <c r="M90" i="32"/>
  <c r="C90" i="32"/>
  <c r="D90" i="32"/>
  <c r="E90" i="32"/>
  <c r="F90" i="32"/>
  <c r="G90" i="32"/>
  <c r="B90" i="32"/>
  <c r="N86" i="32"/>
  <c r="AN86" i="32"/>
  <c r="AA90" i="50"/>
  <c r="AA90" i="32"/>
  <c r="N7" i="47"/>
  <c r="N18" i="47" s="1"/>
  <c r="N7" i="43"/>
  <c r="N18" i="43" s="1"/>
  <c r="AB122" i="32"/>
  <c r="Z91" i="32"/>
  <c r="AA91" i="32" s="1"/>
  <c r="Z91" i="50"/>
  <c r="AA91" i="50" s="1"/>
  <c r="D32" i="50" a="1"/>
  <c r="D32" i="32" a="1"/>
  <c r="E47" i="32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AB90" i="32" a="1"/>
  <c r="G90" i="50"/>
  <c r="H90" i="50"/>
  <c r="I90" i="50"/>
  <c r="J90" i="50"/>
  <c r="K90" i="50"/>
  <c r="B90" i="50"/>
  <c r="M90" i="50"/>
  <c r="C90" i="50"/>
  <c r="D90" i="50"/>
  <c r="E90" i="50"/>
  <c r="F90" i="50"/>
  <c r="L90" i="50"/>
  <c r="BL22" i="46"/>
  <c r="BM22" i="46" s="1"/>
  <c r="BO22" i="46"/>
  <c r="X5" i="47"/>
  <c r="Z128" i="25"/>
  <c r="Z122" i="25"/>
  <c r="AC121" i="25" s="1"/>
  <c r="AD121" i="25" s="1"/>
  <c r="Z125" i="25"/>
  <c r="AC120" i="25"/>
  <c r="AD120" i="25" s="1"/>
  <c r="AN86" i="50"/>
  <c r="BO62" i="46" l="1"/>
  <c r="BL62" i="46"/>
  <c r="BM62" i="46" s="1"/>
  <c r="O7" i="47"/>
  <c r="O18" i="47" s="1"/>
  <c r="O7" i="43"/>
  <c r="O18" i="43" s="1"/>
  <c r="AC91" i="32"/>
  <c r="AC122" i="32"/>
  <c r="AK90" i="32"/>
  <c r="AL90" i="32"/>
  <c r="AB90" i="32"/>
  <c r="AM90" i="32"/>
  <c r="AC90" i="32"/>
  <c r="AE90" i="32"/>
  <c r="AF90" i="32"/>
  <c r="AG90" i="32"/>
  <c r="AH90" i="32"/>
  <c r="AI90" i="32"/>
  <c r="AJ90" i="32"/>
  <c r="AD90" i="32"/>
  <c r="AB91" i="32"/>
  <c r="H4" i="48"/>
  <c r="D41" i="32"/>
  <c r="D34" i="32"/>
  <c r="D36" i="32"/>
  <c r="D33" i="32"/>
  <c r="D40" i="32"/>
  <c r="D35" i="32"/>
  <c r="D32" i="32"/>
  <c r="C32" i="32" s="1"/>
  <c r="D37" i="32"/>
  <c r="D38" i="32"/>
  <c r="D42" i="32"/>
  <c r="D43" i="32"/>
  <c r="D39" i="32"/>
  <c r="D38" i="50"/>
  <c r="D42" i="50"/>
  <c r="D33" i="50"/>
  <c r="D39" i="50"/>
  <c r="D32" i="50"/>
  <c r="C32" i="50" s="1"/>
  <c r="D40" i="50"/>
  <c r="D37" i="50"/>
  <c r="D35" i="50"/>
  <c r="D41" i="50"/>
  <c r="D34" i="50"/>
  <c r="D36" i="50"/>
  <c r="D43" i="50"/>
  <c r="N90" i="32"/>
  <c r="AB122" i="50"/>
  <c r="AB125" i="25"/>
  <c r="AB122" i="25"/>
  <c r="AB128" i="25"/>
  <c r="N90" i="50"/>
  <c r="I4" i="48" l="1"/>
  <c r="H9" i="48"/>
  <c r="C33" i="32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AC122" i="50"/>
  <c r="AC91" i="50"/>
  <c r="AN90" i="32"/>
  <c r="C33" i="50"/>
  <c r="C34" i="50" s="1"/>
  <c r="C35" i="50" s="1"/>
  <c r="C36" i="50" s="1"/>
  <c r="C37" i="50" s="1"/>
  <c r="C38" i="50" s="1"/>
  <c r="C39" i="50" s="1"/>
  <c r="C40" i="50" s="1"/>
  <c r="C41" i="50" s="1"/>
  <c r="C42" i="50" s="1"/>
  <c r="C43" i="50" s="1"/>
  <c r="AB91" i="50"/>
  <c r="P7" i="47"/>
  <c r="P18" i="47" s="1"/>
  <c r="P7" i="43"/>
  <c r="P18" i="43" s="1"/>
  <c r="AD122" i="32"/>
  <c r="AB90" i="50" a="1"/>
  <c r="E48" i="50"/>
  <c r="E49" i="50" s="1"/>
  <c r="E50" i="50" s="1"/>
  <c r="E51" i="50" s="1"/>
  <c r="E52" i="50" s="1"/>
  <c r="E53" i="50" s="1"/>
  <c r="E54" i="50" s="1"/>
  <c r="E55" i="50" s="1"/>
  <c r="E56" i="50" s="1"/>
  <c r="E57" i="50" s="1"/>
  <c r="E58" i="50" s="1"/>
  <c r="G9" i="48"/>
  <c r="O92" i="50" l="1" a="1"/>
  <c r="V92" i="50" s="1"/>
  <c r="AL90" i="50"/>
  <c r="AB90" i="50"/>
  <c r="AM90" i="50"/>
  <c r="AC90" i="50"/>
  <c r="AD90" i="50"/>
  <c r="AF90" i="50"/>
  <c r="AG90" i="50"/>
  <c r="AH90" i="50"/>
  <c r="AI90" i="50"/>
  <c r="AK90" i="50"/>
  <c r="AE90" i="50"/>
  <c r="AJ90" i="50"/>
  <c r="AD122" i="50"/>
  <c r="Q7" i="47"/>
  <c r="Q18" i="47" s="1"/>
  <c r="AE122" i="32"/>
  <c r="Q7" i="43"/>
  <c r="Q18" i="43" s="1"/>
  <c r="AE91" i="32"/>
  <c r="AD91" i="32"/>
  <c r="O92" i="32" a="1"/>
  <c r="J4" i="48"/>
  <c r="R92" i="50" l="1"/>
  <c r="S92" i="50"/>
  <c r="X92" i="50"/>
  <c r="Z92" i="50"/>
  <c r="U92" i="50"/>
  <c r="T92" i="50"/>
  <c r="Q92" i="50"/>
  <c r="P92" i="50"/>
  <c r="O92" i="50"/>
  <c r="Y92" i="50"/>
  <c r="W92" i="50"/>
  <c r="K4" i="48"/>
  <c r="I9" i="48"/>
  <c r="S92" i="32"/>
  <c r="O92" i="32"/>
  <c r="T92" i="32"/>
  <c r="V92" i="32"/>
  <c r="X92" i="32"/>
  <c r="U92" i="32"/>
  <c r="W92" i="32"/>
  <c r="Z92" i="32"/>
  <c r="P92" i="32"/>
  <c r="R92" i="32"/>
  <c r="Y92" i="32"/>
  <c r="Q92" i="32"/>
  <c r="J9" i="48"/>
  <c r="AF122" i="32"/>
  <c r="R7" i="47"/>
  <c r="R18" i="47" s="1"/>
  <c r="R7" i="43"/>
  <c r="R18" i="43" s="1"/>
  <c r="AD91" i="50"/>
  <c r="AN90" i="50"/>
  <c r="AE122" i="50"/>
  <c r="AE91" i="50"/>
  <c r="M4" i="48" l="1"/>
  <c r="L4" i="48"/>
  <c r="S7" i="43"/>
  <c r="S18" i="43" s="1"/>
  <c r="AG91" i="32"/>
  <c r="S7" i="47"/>
  <c r="S18" i="47" s="1"/>
  <c r="AG122" i="32"/>
  <c r="AF91" i="32"/>
  <c r="AF122" i="50"/>
  <c r="AF91" i="50"/>
  <c r="K9" i="48"/>
  <c r="Z47" i="32" l="1" a="1"/>
  <c r="Z54" i="32" s="1"/>
  <c r="N6" i="61"/>
  <c r="N4" i="48"/>
  <c r="L9" i="48"/>
  <c r="AG91" i="50"/>
  <c r="AG122" i="50"/>
  <c r="T7" i="43"/>
  <c r="T18" i="43" s="1"/>
  <c r="T7" i="47"/>
  <c r="T18" i="47" s="1"/>
  <c r="AH122" i="32"/>
  <c r="Z48" i="32" l="1"/>
  <c r="Z56" i="32"/>
  <c r="Z51" i="32"/>
  <c r="Z50" i="32"/>
  <c r="Z58" i="32"/>
  <c r="Z53" i="32"/>
  <c r="Z49" i="32"/>
  <c r="Z47" i="32"/>
  <c r="Z52" i="32"/>
  <c r="Z57" i="32"/>
  <c r="Z55" i="32"/>
  <c r="AH91" i="50"/>
  <c r="AH122" i="50"/>
  <c r="AH91" i="32"/>
  <c r="M9" i="48"/>
  <c r="N9" i="48" s="1"/>
  <c r="U7" i="43"/>
  <c r="U18" i="43" s="1"/>
  <c r="AI122" i="32"/>
  <c r="AI91" i="32"/>
  <c r="U7" i="47"/>
  <c r="U18" i="47" s="1"/>
  <c r="V7" i="47" l="1"/>
  <c r="V18" i="47" s="1"/>
  <c r="AJ91" i="32"/>
  <c r="V7" i="43"/>
  <c r="V18" i="43" s="1"/>
  <c r="AJ122" i="32"/>
  <c r="AI91" i="50"/>
  <c r="AI122" i="50"/>
  <c r="AJ91" i="50" l="1"/>
  <c r="AJ122" i="50"/>
  <c r="AK122" i="32"/>
  <c r="W7" i="43"/>
  <c r="W18" i="43" s="1"/>
  <c r="AK91" i="32"/>
  <c r="W7" i="47"/>
  <c r="W18" i="47" s="1"/>
  <c r="AK91" i="50" l="1"/>
  <c r="AK122" i="50"/>
  <c r="AL91" i="32"/>
  <c r="AL122" i="32"/>
  <c r="X7" i="43"/>
  <c r="X18" i="43" s="1"/>
  <c r="X7" i="47"/>
  <c r="X18" i="47" s="1"/>
  <c r="AM122" i="32" l="1"/>
  <c r="Y7" i="47"/>
  <c r="Y18" i="47" s="1"/>
  <c r="Y7" i="43"/>
  <c r="Y18" i="43" s="1"/>
  <c r="AL91" i="50"/>
  <c r="AL122" i="50"/>
  <c r="AM122" i="50" l="1"/>
  <c r="AM91" i="32"/>
  <c r="AN91" i="32" s="1"/>
  <c r="AM91" i="50" l="1"/>
  <c r="AN91" i="50" s="1"/>
  <c r="BO71" i="46"/>
  <c r="AB92" i="32" l="1" a="1"/>
  <c r="AB92" i="50" l="1" a="1"/>
  <c r="AH92" i="50" s="1"/>
  <c r="AJ92" i="32"/>
  <c r="AB92" i="32"/>
  <c r="AF92" i="32"/>
  <c r="AG92" i="32"/>
  <c r="AH92" i="32"/>
  <c r="AI92" i="32"/>
  <c r="AD92" i="32"/>
  <c r="AE92" i="32"/>
  <c r="AL92" i="32"/>
  <c r="AC92" i="32"/>
  <c r="AK92" i="32"/>
  <c r="AM92" i="32"/>
  <c r="AF92" i="50" l="1"/>
  <c r="AB92" i="50"/>
  <c r="AG92" i="50"/>
  <c r="AD92" i="50"/>
  <c r="AM92" i="50"/>
  <c r="AL92" i="50"/>
  <c r="AE92" i="50"/>
  <c r="AC92" i="50"/>
  <c r="AK92" i="50"/>
  <c r="AJ92" i="50"/>
  <c r="AI92" i="5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Volodymyr</author>
  </authors>
  <commentList>
    <comment ref="X30" authorId="0" shapeId="0" xr:uid="{00000000-0006-0000-0B00-000001000000}">
      <text>
        <r>
          <rPr>
            <sz val="9"/>
            <color indexed="81"/>
            <rFont val="Tahoma"/>
            <family val="2"/>
            <charset val="204"/>
          </rPr>
          <t>Укрэксим выкупил бонды на $300 млн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Volodymyr</author>
  </authors>
  <commentList>
    <comment ref="X30" authorId="0" shapeId="0" xr:uid="{00000000-0006-0000-0D00-000001000000}">
      <text>
        <r>
          <rPr>
            <sz val="9"/>
            <color indexed="81"/>
            <rFont val="Tahoma"/>
            <family val="2"/>
            <charset val="204"/>
          </rPr>
          <t>Укрэксим выкупил бонды на $300 млн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<sst xmlns="http://schemas.openxmlformats.org/spreadsheetml/2006/main" count="3496" uniqueCount="767">
  <si>
    <t>Січень</t>
  </si>
  <si>
    <t>Лютий</t>
  </si>
  <si>
    <t>Березень</t>
  </si>
  <si>
    <t>Квітень</t>
  </si>
  <si>
    <t>Травень</t>
  </si>
  <si>
    <t>Червень</t>
  </si>
  <si>
    <t>Липень</t>
  </si>
  <si>
    <t>Серпень</t>
  </si>
  <si>
    <t>Вересень</t>
  </si>
  <si>
    <t>Жовтень</t>
  </si>
  <si>
    <t>Листопад</t>
  </si>
  <si>
    <t>Грудень</t>
  </si>
  <si>
    <t>Август</t>
  </si>
  <si>
    <t>Чистое погашение за месяц</t>
  </si>
  <si>
    <t>Погашение</t>
  </si>
  <si>
    <t>По внешнему государственному долгу</t>
  </si>
  <si>
    <t>По валютным ОВГЗ</t>
  </si>
  <si>
    <t>Заимствования</t>
  </si>
  <si>
    <t>Через валютные ОВГЗ, млн долл. США</t>
  </si>
  <si>
    <t>Макрофинансовая помощь ЕС</t>
  </si>
  <si>
    <t>Еврооблигации</t>
  </si>
  <si>
    <t>Валютный эквивалент погашений нерезедентам по ОВДП (грн)</t>
  </si>
  <si>
    <t>k</t>
  </si>
  <si>
    <t>Баланс товарів</t>
  </si>
  <si>
    <t>Баланс послуг</t>
  </si>
  <si>
    <t>Баланс товарів та послуг</t>
  </si>
  <si>
    <t>Експорт товарів</t>
  </si>
  <si>
    <t>Імпорт товарів</t>
  </si>
  <si>
    <t>Експорт послуг</t>
  </si>
  <si>
    <t>Імпорт послуг</t>
  </si>
  <si>
    <t>Баланс первинних доходів</t>
  </si>
  <si>
    <t>Надходження</t>
  </si>
  <si>
    <t>Виплати</t>
  </si>
  <si>
    <t>Доходи від інвестицій (баланс)</t>
  </si>
  <si>
    <t>Баланс вторинних доходів</t>
  </si>
  <si>
    <t>Входящие / исходящие потоки валюты, $ млрд</t>
  </si>
  <si>
    <t>Баланс текущего счета, $ млрд</t>
  </si>
  <si>
    <t>Чистые ежемесячные платежи по долгам в иностранной валюте,  $ млрд</t>
  </si>
  <si>
    <t>Приток валюты нерезидентов в портфель ОВГЗ, $ млрд</t>
  </si>
  <si>
    <t>ПИИ, $ млрд</t>
  </si>
  <si>
    <t>Корпоративные кредиты, $ млрд</t>
  </si>
  <si>
    <t>Транш МВФ и другие государственные привлечения, $ млрд</t>
  </si>
  <si>
    <t>Увеличение денежных средств населения в иностранной валюте, $ млрд</t>
  </si>
  <si>
    <t>1Q</t>
  </si>
  <si>
    <t>2Q</t>
  </si>
  <si>
    <t>3Q</t>
  </si>
  <si>
    <t>4Q</t>
  </si>
  <si>
    <t>Польща</t>
  </si>
  <si>
    <t>Росія</t>
  </si>
  <si>
    <t>Чеська Республіка</t>
  </si>
  <si>
    <t>США</t>
  </si>
  <si>
    <t>Сполучене Королівство</t>
  </si>
  <si>
    <t>Iталія</t>
  </si>
  <si>
    <t>Німеччіна</t>
  </si>
  <si>
    <t>Кіпр</t>
  </si>
  <si>
    <t>Iзраїль</t>
  </si>
  <si>
    <t>Греція</t>
  </si>
  <si>
    <t>Віргінські острови (Брит.)</t>
  </si>
  <si>
    <t>Об'єднані Арабські Емірати</t>
  </si>
  <si>
    <t>Нідерланди</t>
  </si>
  <si>
    <t>Сінгапур</t>
  </si>
  <si>
    <t>Канада</t>
  </si>
  <si>
    <t>Туреччина</t>
  </si>
  <si>
    <t>Швейцарія</t>
  </si>
  <si>
    <t>Iспанія</t>
  </si>
  <si>
    <t>Португалія</t>
  </si>
  <si>
    <t>Норвегія</t>
  </si>
  <si>
    <t>Інші країни</t>
  </si>
  <si>
    <t>січ</t>
  </si>
  <si>
    <t>лют</t>
  </si>
  <si>
    <t>берез</t>
  </si>
  <si>
    <t>квіт</t>
  </si>
  <si>
    <t>трав</t>
  </si>
  <si>
    <t>черв</t>
  </si>
  <si>
    <t>лип</t>
  </si>
  <si>
    <t>серп</t>
  </si>
  <si>
    <t>вер</t>
  </si>
  <si>
    <t>жовт</t>
  </si>
  <si>
    <t>лист</t>
  </si>
  <si>
    <t>груд</t>
  </si>
  <si>
    <t>A. Рахунок поточних операцій</t>
  </si>
  <si>
    <t>Оплата праці (баланс)</t>
  </si>
  <si>
    <t>Сумарные иностранные инвестиции, $ млрд</t>
  </si>
  <si>
    <t xml:space="preserve"> Кумулятивно чистый поток, $ млрд</t>
  </si>
  <si>
    <t>B. Рахунок операцій з капіталом</t>
  </si>
  <si>
    <t>Чисте кредитування (+)/ чисте запозичення (-) (=A+B)</t>
  </si>
  <si>
    <t>Прямі інвестиції (сальдо)</t>
  </si>
  <si>
    <t>у т. ч.</t>
  </si>
  <si>
    <t>Портфельні інвестиції: активи</t>
  </si>
  <si>
    <t>Портфельні інвестиції: пасиви</t>
  </si>
  <si>
    <t xml:space="preserve">  Акціонерний капітал</t>
  </si>
  <si>
    <t xml:space="preserve">  Боргові цінні папери</t>
  </si>
  <si>
    <t>Банки</t>
  </si>
  <si>
    <t>Інші сектори</t>
  </si>
  <si>
    <t>Інші інвестиції: активи</t>
  </si>
  <si>
    <t>готівкова валюта поза банками</t>
  </si>
  <si>
    <t>Інші інвестиції: пасиви</t>
  </si>
  <si>
    <t>Торгові кредити</t>
  </si>
  <si>
    <t>Помилки та упущення</t>
  </si>
  <si>
    <t xml:space="preserve">D. Зведений баланс (= A + B - C) </t>
  </si>
  <si>
    <t>E. Резерви та пов'язані статті</t>
  </si>
  <si>
    <t>Резервні активи</t>
  </si>
  <si>
    <t>Кредити МВФ</t>
  </si>
  <si>
    <t>Курс доллара</t>
  </si>
  <si>
    <t>Средний "нормальный" объем межбанка (млн $)</t>
  </si>
  <si>
    <t xml:space="preserve">Сальдо давления на рынок </t>
  </si>
  <si>
    <t xml:space="preserve">Из них давит на валютный рынок </t>
  </si>
  <si>
    <t>ЗАРИСОВКА</t>
  </si>
  <si>
    <t>ПРОЗРАЧНАЯ</t>
  </si>
  <si>
    <t>Факт</t>
  </si>
  <si>
    <t>Итоговая курсовая таблица до 31.12.2021</t>
  </si>
  <si>
    <t>Курс доллара (основной сценарий)</t>
  </si>
  <si>
    <t xml:space="preserve">Период </t>
  </si>
  <si>
    <t>Факт, линейный прогноз</t>
  </si>
  <si>
    <t>млрд грн. (всего)</t>
  </si>
  <si>
    <t>Из них нерезидентам (по удельному весу)</t>
  </si>
  <si>
    <t xml:space="preserve">Факторная модель </t>
  </si>
  <si>
    <t>Курс</t>
  </si>
  <si>
    <t xml:space="preserve">Возможный отток в валюту из погашений "длинных 7-ми дневных" ДС (млн долл), </t>
  </si>
  <si>
    <t xml:space="preserve">Сценарий сдерживания инфляции в пределах 6% </t>
  </si>
  <si>
    <t xml:space="preserve">Нормальные объемы межбанка </t>
  </si>
  <si>
    <t xml:space="preserve">Среднее соотношение межбанка к торговому обороту </t>
  </si>
  <si>
    <t xml:space="preserve">Объемы давления на рынок: сводное сальдо + интервенции </t>
  </si>
  <si>
    <t xml:space="preserve">Девальвация год к году </t>
  </si>
  <si>
    <t>Среднегодовой курс (2019 - 25,85)</t>
  </si>
  <si>
    <t>Курсовая линейка</t>
  </si>
  <si>
    <t xml:space="preserve">Параллельный прирост денежной базы на 15% </t>
  </si>
  <si>
    <t xml:space="preserve">C. Фінансовий рахунок </t>
  </si>
  <si>
    <t>Інші інвестиції Приватний сектор (сальдо)</t>
  </si>
  <si>
    <t>Державний сектор (Уряд та Центральний банк)</t>
  </si>
  <si>
    <t xml:space="preserve">Платіжний баланс </t>
  </si>
  <si>
    <t>Портфельні інвестиції:</t>
  </si>
  <si>
    <t xml:space="preserve">Виключно приватний сектор </t>
  </si>
  <si>
    <t>Total (2020)</t>
  </si>
  <si>
    <t>Total (2019)</t>
  </si>
  <si>
    <t>Финансовый счет (- это приток, + отток)</t>
  </si>
  <si>
    <t xml:space="preserve">Сальдо операцій приватного сектору </t>
  </si>
  <si>
    <t>-</t>
  </si>
  <si>
    <t>Сальдо операций частного сектора (базовый вариант)</t>
  </si>
  <si>
    <t xml:space="preserve">Сезонно скорректированные на фактор финансирования дефицита бюджета и аборбции денежной базы в периоды "перегрева" эмиссии (выше 10% прироста денежной базы к началу года) </t>
  </si>
  <si>
    <t>Сальдо валютных операций Правительства (const, балансируется за счет изменения резервов)</t>
  </si>
  <si>
    <t>Отклонения связаны с изменением расчетного курса в течении года и соответсвенного влияния на гривневый эквивалент интервенций</t>
  </si>
  <si>
    <t xml:space="preserve">Сводное сальдо платежного баланса, скорректированное на фактор финансирования дефицита бюджета и аборбции денежной базы в периоды "перегрева" эмиссии (выше 10% прироста денежной базы к началу года) </t>
  </si>
  <si>
    <t>Потенциальное отклонение за счет курсовой политики НБУ от прогнозного сводного сальдо платежного баланса</t>
  </si>
  <si>
    <t xml:space="preserve">Новые резервы, скорректированные на сальдо валютных интервенций НБУ - при реализации валюты Минфином </t>
  </si>
  <si>
    <t xml:space="preserve">Параллельный прирост денежной базы на 12% </t>
  </si>
  <si>
    <t>Average (средневзвешенный) А и Б сценарии</t>
  </si>
  <si>
    <t>Чистые государственные привлечения, $ млрд</t>
  </si>
  <si>
    <t>Сводное сальдо платежного баланса, $ млрд</t>
  </si>
  <si>
    <t>Динамика резервов кумулятивно, $ млрд</t>
  </si>
  <si>
    <t>Сальдо инвестиций частного сектора, $ млрд</t>
  </si>
  <si>
    <t>Баланс валюты, $ млрд</t>
  </si>
  <si>
    <t>Счет текущих операций ($ млрд)</t>
  </si>
  <si>
    <t>Cценарий А</t>
  </si>
  <si>
    <t>Сценарий Б</t>
  </si>
  <si>
    <t>ОВГЗ нерезидентов (вторичный)</t>
  </si>
  <si>
    <t>Период</t>
  </si>
  <si>
    <t>Баланс товаров</t>
  </si>
  <si>
    <t>Баланс услуг</t>
  </si>
  <si>
    <t>Баланс первичных доходов</t>
  </si>
  <si>
    <t>Баланс вторичных доходов</t>
  </si>
  <si>
    <t>Счет текущих операций</t>
  </si>
  <si>
    <t>Финансовый счет</t>
  </si>
  <si>
    <t>Сальдо</t>
  </si>
  <si>
    <t>Базовый сценарий</t>
  </si>
  <si>
    <t xml:space="preserve">Курс доллара (консерватинвый) </t>
  </si>
  <si>
    <t xml:space="preserve">Объем выплат по еврооблигациям и МВФ </t>
  </si>
  <si>
    <t>Прогноз курса, UAH/USD</t>
  </si>
  <si>
    <t xml:space="preserve">Кредити </t>
  </si>
  <si>
    <t>Привлечения</t>
  </si>
  <si>
    <t>Чистий викуп валюти НБУ</t>
  </si>
  <si>
    <t xml:space="preserve">Операции закрытой валютной линии Минфин-НБУ, расчеты с МВФ, курсовая переоценка бумаг </t>
  </si>
  <si>
    <t xml:space="preserve">Итого резервы </t>
  </si>
  <si>
    <t xml:space="preserve">Сальдо давления на рынок  + интервенции </t>
  </si>
  <si>
    <t>Параллельный прирост денежной базы на xx</t>
  </si>
  <si>
    <t>Курсообразующие интервеции (поверх плана) для сглаживания курсовых колебаний</t>
  </si>
  <si>
    <t>При активной политики Национального банка по сглаживанию курсовых колебаний</t>
  </si>
  <si>
    <t>Линейный</t>
  </si>
  <si>
    <t>1М</t>
  </si>
  <si>
    <t>2М</t>
  </si>
  <si>
    <t>3М</t>
  </si>
  <si>
    <t>4М</t>
  </si>
  <si>
    <t>5М</t>
  </si>
  <si>
    <t>6М</t>
  </si>
  <si>
    <t>7М</t>
  </si>
  <si>
    <t>8М</t>
  </si>
  <si>
    <t>9М</t>
  </si>
  <si>
    <t>10М</t>
  </si>
  <si>
    <t>11М</t>
  </si>
  <si>
    <t>12М</t>
  </si>
  <si>
    <t>Банки (у прогнозі - включені в інші сектори)</t>
  </si>
  <si>
    <t xml:space="preserve">черв </t>
  </si>
  <si>
    <t xml:space="preserve">Чистые привлечения государтсвенного сектора </t>
  </si>
  <si>
    <t>Сальдо валютных остатков на счетах правительства</t>
  </si>
  <si>
    <t xml:space="preserve">Без учета процентных выплат по долгу </t>
  </si>
  <si>
    <t>Обслуживание</t>
  </si>
  <si>
    <t>Коф. для нерезів по кв. -</t>
  </si>
  <si>
    <t>2020Q1</t>
  </si>
  <si>
    <t>2020Q2</t>
  </si>
  <si>
    <t>2020Q3</t>
  </si>
  <si>
    <t>2020Q4</t>
  </si>
  <si>
    <t>МВФ (и Всемирный банк по 350)</t>
  </si>
  <si>
    <t>Объем погашений валютных ОВГЗ (+), привлечений (-)</t>
  </si>
  <si>
    <t>Объем погашений гривневых ОВГЗ, в млн дол (из которых в среднем 15,1% - нерезиденты)</t>
  </si>
  <si>
    <t>Валютный счет</t>
  </si>
  <si>
    <t>Баланс</t>
  </si>
  <si>
    <t>Операции пополнения</t>
  </si>
  <si>
    <t>Операции выплат</t>
  </si>
  <si>
    <t>Валютный эквивалент купонов нерезидентам по ОВДП (грн)</t>
  </si>
  <si>
    <t>Операции нерезидентов на рынке ОВГЗ</t>
  </si>
  <si>
    <t>Курсообразующие интервеции для сглаживания курсовых колебаний</t>
  </si>
  <si>
    <t>Попадание в факт (%)</t>
  </si>
  <si>
    <t>Попадание в факт, денег</t>
  </si>
  <si>
    <t>МВФ и Всемирный Банк</t>
  </si>
  <si>
    <t>Total (2021)</t>
  </si>
  <si>
    <t xml:space="preserve">Банки </t>
  </si>
  <si>
    <t>Сальдо резервов</t>
  </si>
  <si>
    <t>Сводное сальдо платежного баланса кумулятивно, $ млрд</t>
  </si>
  <si>
    <t>Динамка резервов, $ млрд</t>
  </si>
  <si>
    <t>Консервативный</t>
  </si>
  <si>
    <t>Сальдо давления на рынок - интервенции</t>
  </si>
  <si>
    <t>Предполагаемый курс EUR/USD</t>
  </si>
  <si>
    <t>Техстрока</t>
  </si>
  <si>
    <t>Погашения</t>
  </si>
  <si>
    <t>2021Q1</t>
  </si>
  <si>
    <t>2021Q2</t>
  </si>
  <si>
    <t>2021Q3</t>
  </si>
  <si>
    <t>2021Q4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</si>
  <si>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</si>
  <si>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</si>
  <si>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</si>
  <si>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</si>
  <si>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</si>
  <si>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</si>
  <si>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</si>
  <si>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</si>
  <si>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</si>
  <si>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</si>
  <si>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11M</t>
  </si>
  <si>
    <t>12M</t>
  </si>
  <si>
    <t>$ млрд</t>
  </si>
  <si>
    <t xml:space="preserve">Счет текущих операций </t>
  </si>
  <si>
    <t>Сальдо инвестиций частного сектора</t>
  </si>
  <si>
    <t>Чистые государственные привлечения</t>
  </si>
  <si>
    <t>Сводное сальдо платежного баланса</t>
  </si>
  <si>
    <t>Динамика резервов кумулятивно</t>
  </si>
  <si>
    <t>D. Суммарный приток валюты (= A+B-C)</t>
  </si>
  <si>
    <t>Общее сальдо операций госсектора (погашения/привлечения)</t>
  </si>
  <si>
    <t>Остаток с учетом внутренней покупки валюты у НБУ и других факторов</t>
  </si>
  <si>
    <t>Другие коммерческие займы и погрешности (в том числе расхождения между данными НБУ и Министерства финансов)</t>
  </si>
  <si>
    <t>Чистая покупка валюты Минфином у НБУ (-продажа)</t>
  </si>
  <si>
    <t>Разница (факт - прогноз), млн долл</t>
  </si>
  <si>
    <t>Оптимистичный</t>
  </si>
  <si>
    <t>EUR/USD (кросс-курс НБУ)</t>
  </si>
  <si>
    <t>млн</t>
  </si>
  <si>
    <t>Всего</t>
  </si>
  <si>
    <t>Государственные привлечения (без учета обслуживания)</t>
  </si>
  <si>
    <t>Общее сальдо госвыплат (с учетом обслуживания)</t>
  </si>
  <si>
    <t>EUR/USD</t>
  </si>
  <si>
    <t>Прирост резервов</t>
  </si>
  <si>
    <t xml:space="preserve">Сальдо давления на открытый рынок </t>
  </si>
  <si>
    <t>07.06.2021</t>
  </si>
  <si>
    <t>08.06.2021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</si>
  <si>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</si>
  <si>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</si>
  <si>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</si>
  <si>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</si>
  <si>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</si>
  <si>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</si>
  <si>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</si>
  <si>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</si>
  <si>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20.06.2021</t>
  </si>
  <si>
    <t>21.06.2021</t>
  </si>
  <si>
    <t>22.06.2021</t>
  </si>
  <si>
    <t>23.06.2021</t>
  </si>
  <si>
    <t>24.06.2021</t>
  </si>
  <si>
    <t>25.06.2021</t>
  </si>
  <si>
    <t>28.06.2021</t>
  </si>
  <si>
    <t>29.06.2021</t>
  </si>
  <si>
    <t>30.06.2021</t>
  </si>
  <si>
    <t>01.07.2021</t>
  </si>
  <si>
    <t>02.07.2021</t>
  </si>
  <si>
    <t>05.07.2021</t>
  </si>
  <si>
    <t>06.07.2021</t>
  </si>
  <si>
    <t>Прирост наличной валюты вне банков, $ млрд</t>
  </si>
  <si>
    <t>Общий приток валюты, $ млрд</t>
  </si>
  <si>
    <t>Чистые государственные привлечения (за вычетом расходов на обслуживание госдолга)</t>
  </si>
  <si>
    <t xml:space="preserve"> Всего </t>
  </si>
  <si>
    <t>Суммарный приток валюты формирующий ревальвационное давление</t>
  </si>
  <si>
    <t>Изменение резервов по месяцам</t>
  </si>
  <si>
    <t>$ млн</t>
  </si>
  <si>
    <t>Сальдо давления на валютный рынок</t>
  </si>
  <si>
    <t>Сальдо ЗВР</t>
  </si>
  <si>
    <t>Сальдо ЗВР, кумулятивно с начала года</t>
  </si>
  <si>
    <t>ЗВР</t>
  </si>
  <si>
    <t>07.07.2021</t>
  </si>
  <si>
    <t>08.07.2021</t>
  </si>
  <si>
    <t>09.07.2021</t>
  </si>
  <si>
    <t>12.07.2021</t>
  </si>
  <si>
    <t>01.06.2021</t>
  </si>
  <si>
    <t>02.06.2021</t>
  </si>
  <si>
    <t>03.06.2021</t>
  </si>
  <si>
    <t>04.06.2021</t>
  </si>
  <si>
    <t>Предыдущий период</t>
  </si>
  <si>
    <t/>
  </si>
  <si>
    <t>Total (2022)</t>
  </si>
  <si>
    <t>2022Q1</t>
  </si>
  <si>
    <t>грудень (прогноз)</t>
  </si>
  <si>
    <t>грудень (скориговано на митницю)</t>
  </si>
  <si>
    <t>Изменение расчетного остатка на валютных счетах правительства (на конец периода)</t>
  </si>
  <si>
    <t>Резервы</t>
  </si>
  <si>
    <t>Курсообразующие интервеции для сглаживания курсовых колебаний (в том числе, военный импорт)</t>
  </si>
  <si>
    <t>Гранты (из вторичных доходов CAB)</t>
  </si>
  <si>
    <t>Внешнее финансирование (МВФ, Еврокомиссия и другие)</t>
  </si>
  <si>
    <t>липень (прогноз)</t>
  </si>
  <si>
    <t>липень факт</t>
  </si>
  <si>
    <t>Total (2023)</t>
  </si>
  <si>
    <t xml:space="preserve">Другие операции, в том числе: выход нерезидентов из ОВГЗ (грн), закрытые операции, погрешности в учете </t>
  </si>
  <si>
    <t>Общее сальдо операций госсектора (погашения/привлечения) с учетом МВФ</t>
  </si>
  <si>
    <t xml:space="preserve">           Сальдо операций на открытом рынке (за вычетом грантов)</t>
  </si>
  <si>
    <t>Резерви</t>
  </si>
  <si>
    <t xml:space="preserve">Інтервенції </t>
  </si>
  <si>
    <t xml:space="preserve">Всього витрачено інтервенцій </t>
  </si>
  <si>
    <t xml:space="preserve">Імпорт </t>
  </si>
  <si>
    <t>Всього сальдо операцій приватного сектору</t>
  </si>
  <si>
    <t>Співвідношення інтервенцій до сальдо операцій приватного сектору</t>
  </si>
  <si>
    <t>Курс на готівковому сегменті</t>
  </si>
  <si>
    <t xml:space="preserve">За збереження фіксованого валютного курсу </t>
  </si>
  <si>
    <t xml:space="preserve">При поверненні до плаваючого обмінного курсу </t>
  </si>
  <si>
    <t>Торговый оборот</t>
  </si>
  <si>
    <t>weighted average</t>
  </si>
  <si>
    <t>Динамика резервов</t>
  </si>
  <si>
    <t>Валютный эквивалент купонов нерезидентам по ОВГЗ (грн)</t>
  </si>
  <si>
    <t>Language</t>
  </si>
  <si>
    <t>UKR</t>
  </si>
  <si>
    <t>Заголовки</t>
  </si>
  <si>
    <t>RU</t>
  </si>
  <si>
    <t>ENG</t>
  </si>
  <si>
    <t>Источники</t>
  </si>
  <si>
    <t>Экспорт товаров</t>
  </si>
  <si>
    <t>Импорт товаров</t>
  </si>
  <si>
    <t>Экспорт услуг</t>
  </si>
  <si>
    <t>Импорт услуг</t>
  </si>
  <si>
    <t>Сальдо торгового баланса</t>
  </si>
  <si>
    <t>Суммарный приток валюты, формирующий ревальвационное давление</t>
  </si>
  <si>
    <t>Объемы интервенций по месяцам</t>
  </si>
  <si>
    <t>Сальдо платежного баланса</t>
  </si>
  <si>
    <t>Интервенции</t>
  </si>
  <si>
    <t>заливка</t>
  </si>
  <si>
    <t>Заливка верхний предел уверенности</t>
  </si>
  <si>
    <t>Разбивка</t>
  </si>
  <si>
    <t>Заливка нижний предел уверенности</t>
  </si>
  <si>
    <t>январь</t>
  </si>
  <si>
    <t>февраль</t>
  </si>
  <si>
    <t>март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</si>
  <si>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</si>
  <si>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</si>
  <si>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</si>
  <si>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</si>
  <si>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</si>
  <si>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</si>
  <si>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</si>
  <si>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</si>
  <si>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</si>
  <si>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Сальдо давления на рынок (без интервенций)</t>
  </si>
  <si>
    <t>Сценарий А</t>
  </si>
  <si>
    <t>Курсовой прогноз</t>
  </si>
  <si>
    <t>Крос курс</t>
  </si>
  <si>
    <t>Источник: НБУ, Государственная таможенная служба, расчеты Ukraine Economic Outlook</t>
  </si>
  <si>
    <t>Чарт зроблений х2, бо неможливо інакше</t>
  </si>
  <si>
    <t>Источник: НБУ, расчеты Ukraine Economic Outlook</t>
  </si>
  <si>
    <t>Джерело: НБУ, розрахунки Ukraine Economic Outlook</t>
  </si>
  <si>
    <t>Джерело: НБУ, Державна митна служба, розрахунки Ukraine Economic Outlook</t>
  </si>
  <si>
    <t>Source: NBU, State Customs Service, Ukraine Economic Outlook calculations</t>
  </si>
  <si>
    <t>Source: NBU, Ukraine Economic Outlook calculations</t>
  </si>
  <si>
    <t>Interventions by month</t>
  </si>
  <si>
    <t>Обсяги інтервенцій за місяцями</t>
  </si>
  <si>
    <t>Balance of payments</t>
  </si>
  <si>
    <t>Сальдо платіжного балансу</t>
  </si>
  <si>
    <t>Сальдо операций частного сект.</t>
  </si>
  <si>
    <t>Balance of private sector ops.</t>
  </si>
  <si>
    <t>Сальдо операцій приватного сект.</t>
  </si>
  <si>
    <t>Export of goods</t>
  </si>
  <si>
    <t>Import of goods</t>
  </si>
  <si>
    <t>Export of services</t>
  </si>
  <si>
    <t xml:space="preserve">Import of services </t>
  </si>
  <si>
    <t>Trade balance (goods, services)</t>
  </si>
  <si>
    <t>Сальдо торг. балансу</t>
  </si>
  <si>
    <t>Зведене сальдо платіжного балансу</t>
  </si>
  <si>
    <t>Інтервенції</t>
  </si>
  <si>
    <t>Consolidated balance of payments</t>
  </si>
  <si>
    <t>Interventions</t>
  </si>
  <si>
    <t>Чисті державні залучення, $ млрд</t>
  </si>
  <si>
    <t>Загальний приток валюти, $ млрд</t>
  </si>
  <si>
    <t>Счет текущих операций, $ млрд</t>
  </si>
  <si>
    <t>Рахунок поточних операцій, $ млрд</t>
  </si>
  <si>
    <t>Current operations account, $Bln</t>
  </si>
  <si>
    <t>Balance of private sector investments, $Bln</t>
  </si>
  <si>
    <t>Purely state attracted funds, $Bln</t>
  </si>
  <si>
    <t>Exchange rate</t>
  </si>
  <si>
    <t>Група товарів</t>
  </si>
  <si>
    <t>млрд $</t>
  </si>
  <si>
    <t>% р-р</t>
  </si>
  <si>
    <t>АПК</t>
  </si>
  <si>
    <t>зернові</t>
  </si>
  <si>
    <t>олія</t>
  </si>
  <si>
    <t>олійні</t>
  </si>
  <si>
    <t>Металургія</t>
  </si>
  <si>
    <t>руди</t>
  </si>
  <si>
    <t>чорні метали</t>
  </si>
  <si>
    <t>Харчова промисловість</t>
  </si>
  <si>
    <t>Важка промисловість</t>
  </si>
  <si>
    <t>Інше</t>
  </si>
  <si>
    <t>Всього, млрд $</t>
  </si>
  <si>
    <t>Споживчі товари</t>
  </si>
  <si>
    <t>Сировина</t>
  </si>
  <si>
    <t>Основні засоби</t>
  </si>
  <si>
    <t>Енергетичні товари</t>
  </si>
  <si>
    <t>Group of goods</t>
  </si>
  <si>
    <t>Agriculture</t>
  </si>
  <si>
    <t>crops</t>
  </si>
  <si>
    <t>oil</t>
  </si>
  <si>
    <t>Metallurgy</t>
  </si>
  <si>
    <t>ores</t>
  </si>
  <si>
    <t>ferrous metals</t>
  </si>
  <si>
    <t>Food Industry</t>
  </si>
  <si>
    <t>Heavy industry</t>
  </si>
  <si>
    <t>Other</t>
  </si>
  <si>
    <t>Total, billion $</t>
  </si>
  <si>
    <t>Consumer goods</t>
  </si>
  <si>
    <t>Fixed assets</t>
  </si>
  <si>
    <t>Energy products</t>
  </si>
  <si>
    <t>Balance of goods</t>
  </si>
  <si>
    <t>Raw materials</t>
  </si>
  <si>
    <t>oilseeds</t>
  </si>
  <si>
    <t>$Bln</t>
  </si>
  <si>
    <t>YoY</t>
  </si>
  <si>
    <t>% г-г</t>
  </si>
  <si>
    <t>Группа товаров</t>
  </si>
  <si>
    <t>зерновые</t>
  </si>
  <si>
    <t>масло</t>
  </si>
  <si>
    <t>масличные</t>
  </si>
  <si>
    <t>Металлургия</t>
  </si>
  <si>
    <t>руды</t>
  </si>
  <si>
    <t>черные металлы</t>
  </si>
  <si>
    <t>Пищевая промышленность</t>
  </si>
  <si>
    <t>Тяжелая промышленность</t>
  </si>
  <si>
    <t>Другое</t>
  </si>
  <si>
    <t>Всего, млрд $</t>
  </si>
  <si>
    <t>Потребительские товары</t>
  </si>
  <si>
    <t>Сырье</t>
  </si>
  <si>
    <t>Основные средства</t>
  </si>
  <si>
    <t>Энергетические товары</t>
  </si>
  <si>
    <t>Источник: Государственная таможенная служба, расчеты Ukraine Economic Outlook</t>
  </si>
  <si>
    <t>Source: State Customs Service, Ukraine Economic Outlook calculations</t>
  </si>
  <si>
    <t>Джерело: Державна митна служба, розрахунки Ukraine Economic Outlook</t>
  </si>
  <si>
    <t>Прогноз экспорта и импорта товаров в 2023 году, $ млрд</t>
  </si>
  <si>
    <t>Прогноз експорту та імпорту товарів в 2023 році, $ млрд</t>
  </si>
  <si>
    <t>Export and import of goods forecast in 2023, $Bln</t>
  </si>
  <si>
    <t>year avg</t>
  </si>
  <si>
    <t>Сценарій 2 ($4 млрд зовнішньої підтримки / місяць)</t>
  </si>
  <si>
    <t>Сценарій 1 ($2,5 млрд зовнішньої підтримки / місяць)</t>
  </si>
  <si>
    <t>При сохранении фиксированного курса</t>
  </si>
  <si>
    <t>При возвращении к плавающему обменному курсу</t>
  </si>
  <si>
    <t>Источник: расчеты Ukraine Economic Outlook</t>
  </si>
  <si>
    <t>Source: Ukraine Economic Outlook calculations</t>
  </si>
  <si>
    <t>Джерело: розрахунки Ukraine Economic Outlook</t>
  </si>
  <si>
    <t>При збереженні фіксованого курсу</t>
  </si>
  <si>
    <t>Returning to a floating exchange rate</t>
  </si>
  <si>
    <t>Maintaining a fixed exchange rate</t>
  </si>
  <si>
    <t>Exchange rate forecast scenarios in 2023</t>
  </si>
  <si>
    <t>Сценарии прогноза обменного курса в 2023 году</t>
  </si>
  <si>
    <t>Сценарії прогнозу обмінного курсу в 2023 році</t>
  </si>
  <si>
    <t>Сценарий 1</t>
  </si>
  <si>
    <t>Сценарий 2</t>
  </si>
  <si>
    <t>експ</t>
  </si>
  <si>
    <t>імп</t>
  </si>
  <si>
    <t>експ п</t>
  </si>
  <si>
    <t>імп п</t>
  </si>
  <si>
    <t>2. Прогноз импорта и экспорта в 2023 году</t>
  </si>
  <si>
    <t>Платежный баланс Украины на 2023 год, $ млрд</t>
  </si>
  <si>
    <t>Ukraine’s balance of payments for 2023, $Bln</t>
  </si>
  <si>
    <t>Платіжний баланс України на 2023 рік, $ млрд</t>
  </si>
  <si>
    <t>Сальдо торгового баланса в 2023:</t>
  </si>
  <si>
    <t>Trade balance in 2023:</t>
  </si>
  <si>
    <t>Сальдо торгового балансу в 2023:</t>
  </si>
  <si>
    <t>млрд</t>
  </si>
  <si>
    <t xml:space="preserve"> млрд, из них за счет государственных привлечений </t>
  </si>
  <si>
    <t xml:space="preserve">Итого: </t>
  </si>
  <si>
    <t xml:space="preserve"> млрд</t>
  </si>
  <si>
    <t xml:space="preserve">Inflow: </t>
  </si>
  <si>
    <t xml:space="preserve"> Bln, Government attractions </t>
  </si>
  <si>
    <t xml:space="preserve"> Bln</t>
  </si>
  <si>
    <t xml:space="preserve">Разом: </t>
  </si>
  <si>
    <t xml:space="preserve"> млрд, з них за рахунок державних залучень </t>
  </si>
  <si>
    <t>Bln</t>
  </si>
  <si>
    <t>Сальдо резервів</t>
  </si>
  <si>
    <t>3. Допуски прогноза</t>
  </si>
  <si>
    <t>Допуски прогноза:</t>
  </si>
  <si>
    <t>Forecast assumptions:</t>
  </si>
  <si>
    <t>Допуски прогнозу:</t>
  </si>
  <si>
    <t>Показатель</t>
  </si>
  <si>
    <t>Indicator</t>
  </si>
  <si>
    <t>Показник</t>
  </si>
  <si>
    <t>Мировые цены:</t>
  </si>
  <si>
    <t>World commodity prices:</t>
  </si>
  <si>
    <t>Світові ціни:</t>
  </si>
  <si>
    <t>Железная руда, 62% Fe, CFR China (TSI)</t>
  </si>
  <si>
    <t>Iron Ore, 62% Fe, CFR China (TSI)</t>
  </si>
  <si>
    <t>Залізна руда, 62% Fe, CFR China (TSI)</t>
  </si>
  <si>
    <t>$/тонну</t>
  </si>
  <si>
    <t>$/t</t>
  </si>
  <si>
    <t>% г-г.</t>
  </si>
  <si>
    <t>% YoY</t>
  </si>
  <si>
    <t>% р-р.</t>
  </si>
  <si>
    <t>Прокат Китай</t>
  </si>
  <si>
    <t>Hot Rolled Coil, China</t>
  </si>
  <si>
    <t>Арматура Турция</t>
  </si>
  <si>
    <t>Steel Rebar, FOB Turkey</t>
  </si>
  <si>
    <t>Арматура Туреччина</t>
  </si>
  <si>
    <t>Пшеница США (мягкая), CME Globex</t>
  </si>
  <si>
    <t>Chicago SRW Wheat, CME Globex</t>
  </si>
  <si>
    <t>Пшениця США (м'яка), CME Globex</t>
  </si>
  <si>
    <t>Черноморская пшеница, CME Globex</t>
  </si>
  <si>
    <t>Black Sea Wheat, CME Globex</t>
  </si>
  <si>
    <t>Чорноморська пшениця, CME Globex</t>
  </si>
  <si>
    <t>Кукуруза США, CME Globex</t>
  </si>
  <si>
    <t>Corn (US), CME Globex</t>
  </si>
  <si>
    <t>Кукурудза США, CME Globex</t>
  </si>
  <si>
    <t>Черноморская кукуруза, CME Globex</t>
  </si>
  <si>
    <t>Black Sea Corn, CME Globex</t>
  </si>
  <si>
    <t>Чорноморська кукурудза, CME Globex</t>
  </si>
  <si>
    <t>Подсолнечное масло, CME Globex</t>
  </si>
  <si>
    <t>Sunflower Oil, CME Globex</t>
  </si>
  <si>
    <t>Соняшникова олія, CME Globex</t>
  </si>
  <si>
    <t>Аммиак (гранулированный) FOB Middle East, CME Globex</t>
  </si>
  <si>
    <t>Urea (Granular), FOB Middle East, CME Globex</t>
  </si>
  <si>
    <t>Аміак (гранульований) FOB Middle East, CME Globex</t>
  </si>
  <si>
    <t>Нефть марки Brent, NYMEX - CME Group</t>
  </si>
  <si>
    <t>Crude Oil Brent, NYMEX - CME Group</t>
  </si>
  <si>
    <t>Нафта марки Brent, NYMEX - CME Group</t>
  </si>
  <si>
    <t>$/бар.</t>
  </si>
  <si>
    <t>$/bbl</t>
  </si>
  <si>
    <t>Газ, Netherlands TTF</t>
  </si>
  <si>
    <t>Natural gas, Netherlands TTF</t>
  </si>
  <si>
    <t>$/1000 м3</t>
  </si>
  <si>
    <t>$/bcm</t>
  </si>
  <si>
    <t>Урожай зерновых, зернобобовых и масличных</t>
  </si>
  <si>
    <t>Harvest of cereals, legumes and oilseeds</t>
  </si>
  <si>
    <t>Урожай зернових, зернобобових та олійних</t>
  </si>
  <si>
    <t>млн т</t>
  </si>
  <si>
    <t>Mln t</t>
  </si>
  <si>
    <t>Средняя зарплата в стране</t>
  </si>
  <si>
    <t>Average wage in Ukraine</t>
  </si>
  <si>
    <t>Середня зарплата в країні</t>
  </si>
  <si>
    <t>грн</t>
  </si>
  <si>
    <t>UAH</t>
  </si>
  <si>
    <t>Сальдо інвестицій приватного сектору, $ млрд</t>
  </si>
  <si>
    <t>Total payment account balance, $Bln</t>
  </si>
  <si>
    <t>Зміна резервів</t>
  </si>
  <si>
    <t>При поверненні до плаваючого обмінного курсу (базовий)</t>
  </si>
  <si>
    <t>При поверненні до плаваючого обмінного курсу (лібералізація)</t>
  </si>
  <si>
    <t xml:space="preserve"> с учетом грантов)</t>
  </si>
  <si>
    <t xml:space="preserve"> including grants)</t>
  </si>
  <si>
    <t xml:space="preserve"> з урахуванням грантів)</t>
  </si>
  <si>
    <t>Таблиця 1. Сценарии прогноза обменного курса</t>
  </si>
  <si>
    <t>Динаміка резервів, $ млрд</t>
  </si>
  <si>
    <t>Total (2024)</t>
  </si>
  <si>
    <t>Сальдо торгового баланса в 2024:</t>
  </si>
  <si>
    <t>Trade balance in 2024:</t>
  </si>
  <si>
    <t>Сальдо торгового балансу в 2024:</t>
  </si>
  <si>
    <t>Платежный баланс Украины на 2024 год, $ млрд</t>
  </si>
  <si>
    <t>Ukraine’s balance of payments for 2024, $Bln</t>
  </si>
  <si>
    <t>Платіжний баланс України на 2024 рік, $ млрд</t>
  </si>
  <si>
    <t>Reserves trend, $Bln</t>
  </si>
  <si>
    <t>Динамика резервов, $ млрд</t>
  </si>
  <si>
    <t>Внешнее финансирование</t>
  </si>
  <si>
    <t>External financing</t>
  </si>
  <si>
    <t>Зовнішнє фінансування</t>
  </si>
  <si>
    <t>Гранты</t>
  </si>
  <si>
    <t>Grants</t>
  </si>
  <si>
    <t>Гранти</t>
  </si>
  <si>
    <t>Валютные ОВГЗ</t>
  </si>
  <si>
    <t>FC OVDP</t>
  </si>
  <si>
    <t>Валютні ОВДП</t>
  </si>
  <si>
    <t>2023F</t>
  </si>
  <si>
    <t>2024F</t>
  </si>
  <si>
    <t>Кредити</t>
  </si>
  <si>
    <t>Курсовой прогноз до конца 2024 года, UAH/USD, $млн</t>
  </si>
  <si>
    <t>Exchange rate forecast through 2024, UAH/USD $Mln</t>
  </si>
  <si>
    <t>Курсовий прогноз до кінця 2024 року, UAH/USD, $млн</t>
  </si>
  <si>
    <t>Источник: Национальный банк Украины, расчеты Ukraine Economic Outlook</t>
  </si>
  <si>
    <t>Source: National Bank of Ukraine, Ukraine Economic Outlook</t>
  </si>
  <si>
    <t>Джерело: Національний банк України, розрахунки Ukraine Economic Outlook</t>
  </si>
  <si>
    <t>Прямые иностранные инвестиции (сальдо), $ млрд</t>
  </si>
  <si>
    <t>Foreign direct investments (balance) $Bln</t>
  </si>
  <si>
    <t>Прямі іноземні інвестиції (сальдо), $ млрд</t>
  </si>
  <si>
    <t>Торговые кредиты пассивы, $ млрд</t>
  </si>
  <si>
    <t>Trade credits received, $Bln</t>
  </si>
  <si>
    <t>Торгові кредити пасиви, $ млрд</t>
  </si>
  <si>
    <t>Полученные кредиты, $ млрд</t>
  </si>
  <si>
    <t>Foreign financial credits, $Bln</t>
  </si>
  <si>
    <t>Отримані кредити, $ млрд</t>
  </si>
  <si>
    <t>Імпорт послуг, подорожі</t>
  </si>
  <si>
    <t>рік, місяць, млрд долл</t>
  </si>
  <si>
    <t>Всього за рік</t>
  </si>
  <si>
    <t>Плашки на чарті</t>
  </si>
  <si>
    <t>Готівкова валюта поза банками, 2021-2023, млрд долл.</t>
  </si>
  <si>
    <t>Наличная валюта вне банков, 2021-2023, млрд дол.</t>
  </si>
  <si>
    <t>Cash currency outside banks, 2021-2023, Bln USD</t>
  </si>
  <si>
    <t>$5.1 Bln</t>
  </si>
  <si>
    <t>$10.3 Bln</t>
  </si>
  <si>
    <t>$11.1 Bln</t>
  </si>
  <si>
    <t>$11.5 Bln</t>
  </si>
  <si>
    <t>11. Прогноз сальдо торгового баланса, 2023</t>
  </si>
  <si>
    <t>12. Чарти по окремим статтям</t>
  </si>
  <si>
    <t>13. Готівкова валюта поза банками</t>
  </si>
  <si>
    <t>15. Структура государственных привлечений</t>
  </si>
  <si>
    <t>16. Платежный баланс Украины на 2023</t>
  </si>
  <si>
    <t>17. Объемы ЗВР, интервенций, сальдо операций частного сектора, 2023</t>
  </si>
  <si>
    <t>19. Прогноз сальдо торгового баланса, 2024</t>
  </si>
  <si>
    <t>20. Готівкова валюта поза банками</t>
  </si>
  <si>
    <t>24. Платежный баланс Украины на 2024</t>
  </si>
  <si>
    <t>25. Объемы ЗВР, интервенций, сальдо операций частного сектора, 2024</t>
  </si>
  <si>
    <t>26. Курсовой прогноз до конца 2024</t>
  </si>
  <si>
    <t>Курсовой прогноз до конца 2024</t>
  </si>
  <si>
    <t>23. Структура государственных привлечений</t>
  </si>
  <si>
    <t>Изменение резервов</t>
  </si>
  <si>
    <t>Change of foreign reserves</t>
  </si>
  <si>
    <t>Обменный курс</t>
  </si>
  <si>
    <t>Обмінний курс</t>
  </si>
  <si>
    <t>Прогноз сальдо торгового баланса Украины в 2023 году</t>
  </si>
  <si>
    <t>Trade balance of Ukraine forecast, 2023</t>
  </si>
  <si>
    <t>Прогноз сальдо торгового балансу України у 2023 році</t>
  </si>
  <si>
    <t>Наличная валюта вне банков, 2021-2023, $ млрд</t>
  </si>
  <si>
    <t>Cash currency outside banks, 2021-2023, $Bln</t>
  </si>
  <si>
    <t>Готівкова валюта поза банками, 2021-2023, $ млрд</t>
  </si>
  <si>
    <t>Прогноз структуры внешних заимствований в 2023 году, $ млрд</t>
  </si>
  <si>
    <t>Forecast of external borrowing structure in 2023, $Bln</t>
  </si>
  <si>
    <t>Прогноз структури зовнішніх запозичень у 2023 році, $ млрд</t>
  </si>
  <si>
    <t>Объемы ЗВР, интервенций, сальдо операций частного сектора и платежный баланс по месяцам в 2023 году, $ млрд</t>
  </si>
  <si>
    <t xml:space="preserve">Volume of foreign reserves, interventions, balance of private sector transactions and balance of payments by month in 2023, $Bln </t>
  </si>
  <si>
    <t>Обсяги ЗВР, інтервенцій, сальдо операцій приватного сектору та платіжний баланс по місяцях у 2023 році, $ млрд</t>
  </si>
  <si>
    <t>Exchange rate forecast for 2023-2024, UAH/USD $Mln</t>
  </si>
  <si>
    <t>Прогноз сальдо торгового баланса Украины в 2024 году</t>
  </si>
  <si>
    <t>Trade balance of Ukraine forecast, 2024</t>
  </si>
  <si>
    <t>Прогноз сальдо торгового балансу України у 2024 році</t>
  </si>
  <si>
    <t>Наличная валюта вне банков, 2021-2024, $ млрд</t>
  </si>
  <si>
    <t>Cash currency outside banks, 2021-2024, $Bln</t>
  </si>
  <si>
    <t>Готівкова валюта поза банками, 2021-2024, $ млрд</t>
  </si>
  <si>
    <t>Прогноз структуры внешних заимствований в 2024 году, $ млрд</t>
  </si>
  <si>
    <t>Forecast of external borrowing structure in 2024, $Bln</t>
  </si>
  <si>
    <t>Прогноз структури зовнішніх запозичень у 2024 році, $ млрд</t>
  </si>
  <si>
    <t>Объемы ЗВР, интервенций, сальдо операций частного сектора и платежный баланс по месяцам в 2024 году, $ млрд</t>
  </si>
  <si>
    <t xml:space="preserve">Volume of foreign reserves, interventions, balance of private sector transactions and balance of payments by month in 2024, $Bln </t>
  </si>
  <si>
    <t>Обсяги ЗВР, інтервенцій, сальдо операцій приватного сектору та платіжний баланс по місяцях у 2024 році, $ млрд</t>
  </si>
  <si>
    <t>REVAL</t>
  </si>
  <si>
    <t>Інтервенції (підтримка експорту)</t>
  </si>
  <si>
    <t>Інтервенції (боротьба з інфляцією)</t>
  </si>
  <si>
    <t>Обмінний курс (підтримка експорту)</t>
  </si>
  <si>
    <t>Обмінний курс (боротьба з інфляцією)</t>
  </si>
  <si>
    <t>12. Чарти по фінрахунку</t>
  </si>
  <si>
    <t>Фінансовий рахунок</t>
  </si>
  <si>
    <t>Прямі інвестиції</t>
  </si>
  <si>
    <t>Портфельні інвестиції</t>
  </si>
  <si>
    <t>Інші інвестиції</t>
  </si>
  <si>
    <t>Відтік інвестицій приватного сектору (фінансовий рахунок) в 2023, $ млрд</t>
  </si>
  <si>
    <t>Financial account</t>
  </si>
  <si>
    <t>Direct investments</t>
  </si>
  <si>
    <t>Portfolio investments</t>
  </si>
  <si>
    <t>Other investments</t>
  </si>
  <si>
    <t>Прямые инвестиции</t>
  </si>
  <si>
    <t>Портфельные инвестиции</t>
  </si>
  <si>
    <t>Прочие инвестиции</t>
  </si>
  <si>
    <t>Другие инвестиции</t>
  </si>
  <si>
    <t>Інші        інвестиції</t>
  </si>
  <si>
    <t>Интервенции (поддержка экспорта)</t>
  </si>
  <si>
    <t>Интервенции (борьба с инфляцией)</t>
  </si>
  <si>
    <t>Обменный курс (поддержка экспорта)</t>
  </si>
  <si>
    <t>Обменный курс (борьба с инфляцией)</t>
  </si>
  <si>
    <t>Interventions (export support)</t>
  </si>
  <si>
    <t>Interventions (inflation control)</t>
  </si>
  <si>
    <t>Exchange rate (export support)</t>
  </si>
  <si>
    <t>Exchange rate (inflation control)</t>
  </si>
  <si>
    <t>Chart1</t>
  </si>
  <si>
    <t>name</t>
  </si>
  <si>
    <t>indexes</t>
  </si>
  <si>
    <t>index_0</t>
  </si>
  <si>
    <t>index_1</t>
  </si>
  <si>
    <t>labels</t>
  </si>
  <si>
    <t>label_1</t>
  </si>
  <si>
    <t>label_2</t>
  </si>
  <si>
    <t>label_3</t>
  </si>
  <si>
    <t>label_4</t>
  </si>
  <si>
    <t>label_5</t>
  </si>
  <si>
    <t>label_names</t>
  </si>
  <si>
    <t>source</t>
  </si>
  <si>
    <t>Прогноз сальдо торгового баланса Украины</t>
  </si>
  <si>
    <t>Trade balance of Ukraine forecast</t>
  </si>
  <si>
    <t>Прогноз сальдо торгового балансу України</t>
  </si>
  <si>
    <t>Отток инвестиций частного сектора (финансовый счет) в 2023, $ млрд</t>
  </si>
  <si>
    <t>Private sector investment outflow (financial account) in 2023, $ billion</t>
  </si>
  <si>
    <t>Отток инвестиций частного сектора (финансовый счет), $ млрд</t>
  </si>
  <si>
    <t>Private sector investment outflow (financial account), $ billion</t>
  </si>
  <si>
    <t>Відтік інвестицій приватного сектору (фінансовий рахунок), $ млрд</t>
  </si>
  <si>
    <t>Окремі статті</t>
  </si>
  <si>
    <t>Individual items</t>
  </si>
  <si>
    <t>Отдельные статьи</t>
  </si>
  <si>
    <t>Готівкова валюта поза банками, $ млрд</t>
  </si>
  <si>
    <t>Наличная валюта вне банков, $ млрд</t>
  </si>
  <si>
    <t>Cash currency outside banks, $Bln</t>
  </si>
  <si>
    <t>Прогноз структури зовнішніх запозичень, $ млрд</t>
  </si>
  <si>
    <t>Прогноз структуры внешних заимствований, $ млрд</t>
  </si>
  <si>
    <t>Forecast of external borrowing structure, $Bln</t>
  </si>
  <si>
    <t>label_6</t>
  </si>
  <si>
    <t>label_7</t>
  </si>
  <si>
    <t>Платежный баланс Украины, $ млрд</t>
  </si>
  <si>
    <t>Ukraine’s balance of payments, $Bln</t>
  </si>
  <si>
    <t>Платіжний баланс України на, $ млрд</t>
  </si>
  <si>
    <t>Обсяги ЗВР, інтервенцій, сальдо операцій приватного сектору та платіжний баланс по місяцях, $ млрд</t>
  </si>
  <si>
    <t>Объемы ЗВР, интервенций, сальдо операций частного сектора и платежный баланс по месяцам, $ млрд</t>
  </si>
  <si>
    <t xml:space="preserve">Volume of foreign reserves, interventions, balance of private sector transactions and balance of payments by month, $Bln </t>
  </si>
  <si>
    <t>Телекомунікаційні, комп'ютерні та інформаційні послуги</t>
  </si>
  <si>
    <t>Экспорт, $ млн</t>
  </si>
  <si>
    <t>Export, $Mln</t>
  </si>
  <si>
    <t>Експорт, $ млн</t>
  </si>
  <si>
    <t>г-г, %</t>
  </si>
  <si>
    <t>YoY, %</t>
  </si>
  <si>
    <t>р-р, %</t>
  </si>
  <si>
    <t>Экспорт, $ млрд</t>
  </si>
  <si>
    <t>Export, $Bln</t>
  </si>
  <si>
    <t>Експорт, $ млрд</t>
  </si>
  <si>
    <t>Переводы мигрантов, $ млн</t>
  </si>
  <si>
    <t>Migrants' transfers, $Mln</t>
  </si>
  <si>
    <t>Перекази мігрантів, $ млн</t>
  </si>
  <si>
    <t>Переводы мигрантов, $ млрд</t>
  </si>
  <si>
    <t>Migrants' transfers, $Bln</t>
  </si>
  <si>
    <t>Перекази мігрантів, $ млрд</t>
  </si>
  <si>
    <t xml:space="preserve"> </t>
  </si>
  <si>
    <t>Левый чарт</t>
  </si>
  <si>
    <t>Динамика экспорта IT-услуг, 2010-2024, $ млрд</t>
  </si>
  <si>
    <t>IT services exports trend, 2010-2024, $ bln</t>
  </si>
  <si>
    <t>Динаміка експорту IT-послуг, 2010-2024, $ млрд</t>
  </si>
  <si>
    <t>Правый чарт</t>
  </si>
  <si>
    <t>Динамика экспорта IT-услуг, помесячно, 2022-2023, $ млн</t>
  </si>
  <si>
    <t>IT services exports trend by month, 2022-2023, $ bln</t>
  </si>
  <si>
    <t>Динаміка експорту IT-послуг, помісячно, 2022-2023, $ млрд</t>
  </si>
  <si>
    <t>Поступления от трудовых мигрантов 2010-2024, $ млрд</t>
  </si>
  <si>
    <t>Income from labor migrants 2010-2024, $Bln</t>
  </si>
  <si>
    <t>Надходження від трудових мігрантів 2010-2024, $ млрд</t>
  </si>
  <si>
    <t>Поступления от трудовых мигрантов, помесячно, 2022-2023, $ млн</t>
  </si>
  <si>
    <t>Income from labor migrants by month, 2022-2023, $Mln</t>
  </si>
  <si>
    <t>Надходження від трудових мігрантів, помісячно, 2022-2023, $ млн</t>
  </si>
  <si>
    <t xml:space="preserve">млрд </t>
  </si>
  <si>
    <t>$ Bln</t>
  </si>
  <si>
    <t>Імпорт послуг, 2022-2024, вимушені мігранти, $ млрд</t>
  </si>
  <si>
    <t>Import of services, 2022-2024, forced migrants, $Bln</t>
  </si>
  <si>
    <t>Импорт услуг, 2022-2024, вынужденные мигранты, $ млрд</t>
  </si>
  <si>
    <t>Динамика экспорта IT-услуг, помесячно, $ млн</t>
  </si>
  <si>
    <t>IT services exports trend by month, $ bln</t>
  </si>
  <si>
    <t>Динаміка експорту IT-послуг, помісячно, $ млрд</t>
  </si>
  <si>
    <t>Поступления от трудовых мигрантов, помесячно, $ млн</t>
  </si>
  <si>
    <t>Income from labor migrants by month, $Mln</t>
  </si>
  <si>
    <t>Надходження від трудових мігрантів, помісячно, $ млн</t>
  </si>
  <si>
    <t>Імпорт послуг, вимушені мігранти, $ млрд</t>
  </si>
  <si>
    <t>Импорт услуг, вынужденные мигранты, $ млрд</t>
  </si>
  <si>
    <t>Import of services, forced migrants, $Bln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</si>
</sst>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_-* #,##0.00_₴_-;\-* #,##0.00_₴_-;_-* &quot;-&quot;??_₴_-;_-@_-"/>
    <numFmt numFmtId="166" formatCode="_-* #,##0.0_-;\-* #,##0.0_-;_-* &quot;-&quot;??_-;_-@_-"/>
    <numFmt numFmtId="167" formatCode="_-* #,##0_-;\-* #,##0_-;_-* &quot;-&quot;??_-;_-@_-"/>
    <numFmt numFmtId="168" formatCode="#,##0.0"/>
    <numFmt numFmtId="169" formatCode="_-* #,##0.00\ _г_р_н_._-;\-* #,##0.00\ _г_р_н_._-;_-* &quot;-&quot;??\ _г_р_н_._-;_-@_-"/>
    <numFmt numFmtId="170" formatCode="dd/mm"/>
    <numFmt numFmtId="171" formatCode="0.0%"/>
    <numFmt numFmtId="172" formatCode="0.0000"/>
    <numFmt numFmtId="173" formatCode="#,##0_ ;\-#,##0\ "/>
    <numFmt numFmtId="174" formatCode="#,##0.0_ ;\-#,##0.0\ "/>
    <numFmt numFmtId="175" formatCode="0.000"/>
    <numFmt numFmtId="176" formatCode="_-* #,##0.000_-;\-* #,##0.000_-;_-* &quot;-&quot;??_-;_-@_-"/>
    <numFmt numFmtId="177" formatCode="0.000%"/>
    <numFmt numFmtId="178" formatCode="_-* #,##0.0\ _₴_-;\-* #,##0.0\ _₴_-;_-* &quot;-&quot;?\ _₴_-;_-@_-"/>
    <numFmt numFmtId="179" formatCode="_-* #,##0.00\ _₽_-;\-* #,##0.00\ _₽_-;_-* &quot;-&quot;??\ _₽_-;_-@_-"/>
    <numFmt numFmtId="180" formatCode="#,##0.000"/>
  </numFmts>
  <fonts count="153" x14ac:knownFonts="1">
    <font>
      <sz val="11"/>
      <color theme="1"/>
      <name val="Montserrat"/>
      <family val="2"/>
      <scheme val="minor"/>
    </font>
    <font>
      <sz val="11"/>
      <color theme="1"/>
      <name val="Montserrat"/>
      <family val="2"/>
      <charset val="204"/>
      <scheme val="minor"/>
    </font>
    <font>
      <sz val="11"/>
      <color theme="1"/>
      <name val="Montserrat"/>
      <family val="2"/>
      <charset val="204"/>
      <scheme val="minor"/>
    </font>
    <font>
      <sz val="11"/>
      <color theme="1"/>
      <name val="Montserrat"/>
      <family val="2"/>
      <charset val="204"/>
      <scheme val="minor"/>
    </font>
    <font>
      <sz val="11"/>
      <color theme="1"/>
      <name val="Montserrat"/>
      <family val="2"/>
      <charset val="204"/>
      <scheme val="minor"/>
    </font>
    <font>
      <sz val="11"/>
      <color theme="1"/>
      <name val="Montserrat"/>
      <family val="2"/>
      <charset val="204"/>
      <scheme val="minor"/>
    </font>
    <font>
      <sz val="11"/>
      <color theme="1"/>
      <name val="Montserrat"/>
      <family val="2"/>
      <charset val="204"/>
      <scheme val="minor"/>
    </font>
    <font>
      <sz val="11"/>
      <color theme="1"/>
      <name val="Montserrat"/>
      <family val="2"/>
      <charset val="204"/>
      <scheme val="minor"/>
    </font>
    <font>
      <sz val="11"/>
      <color theme="1"/>
      <name val="Montserrat"/>
      <family val="2"/>
      <charset val="204"/>
      <scheme val="minor"/>
    </font>
    <font>
      <sz val="11"/>
      <color theme="1"/>
      <name val="Montserrat"/>
      <family val="2"/>
      <charset val="204"/>
      <scheme val="minor"/>
    </font>
    <font>
      <sz val="11"/>
      <color theme="1"/>
      <name val="Montserrat"/>
      <family val="2"/>
      <charset val="204"/>
      <scheme val="minor"/>
    </font>
    <font>
      <sz val="11"/>
      <color theme="1"/>
      <name val="Montserrat"/>
      <family val="2"/>
      <charset val="204"/>
      <scheme val="minor"/>
    </font>
    <font>
      <sz val="11"/>
      <color theme="1"/>
      <name val="Montserrat"/>
      <family val="2"/>
      <charset val="204"/>
      <scheme val="minor"/>
    </font>
    <font>
      <sz val="11"/>
      <color theme="1"/>
      <name val="Montserrat"/>
      <family val="2"/>
      <charset val="204"/>
      <scheme val="minor"/>
    </font>
    <font>
      <sz val="11"/>
      <color theme="1"/>
      <name val="Montserrat"/>
      <family val="2"/>
      <charset val="204"/>
      <scheme val="minor"/>
    </font>
    <font>
      <sz val="11"/>
      <color indexed="8"/>
      <name val="Calibri"/>
      <family val="2"/>
      <charset val="204"/>
    </font>
    <font>
      <sz val="10"/>
      <name val="Arial"/>
      <family val="2"/>
      <charset val="204"/>
    </font>
    <font>
      <b/>
      <sz val="10"/>
      <name val="Arial"/>
      <family val="2"/>
      <charset val="204"/>
    </font>
    <font>
      <sz val="18"/>
      <name val="Arial"/>
      <family val="2"/>
      <charset val="204"/>
    </font>
    <font>
      <sz val="11"/>
      <name val="Arial"/>
      <family val="2"/>
      <charset val="204"/>
    </font>
    <font>
      <b/>
      <u/>
      <sz val="10"/>
      <name val="Arial"/>
      <family val="2"/>
      <charset val="204"/>
    </font>
    <font>
      <b/>
      <i/>
      <sz val="10"/>
      <name val="Arial"/>
      <family val="2"/>
      <charset val="204"/>
    </font>
    <font>
      <b/>
      <u/>
      <sz val="10"/>
      <color indexed="8"/>
      <name val="Arial"/>
      <family val="2"/>
      <charset val="204"/>
    </font>
    <font>
      <b/>
      <sz val="10"/>
      <color indexed="8"/>
      <name val="Arial"/>
      <family val="2"/>
      <charset val="204"/>
    </font>
    <font>
      <sz val="10"/>
      <color indexed="8"/>
      <name val="Arial"/>
      <family val="2"/>
      <charset val="204"/>
    </font>
    <font>
      <sz val="10"/>
      <name val="Arial Cyr"/>
      <charset val="204"/>
    </font>
    <font>
      <b/>
      <sz val="9"/>
      <name val="Arial"/>
      <family val="2"/>
      <charset val="204"/>
    </font>
    <font>
      <b/>
      <sz val="11"/>
      <name val="Arial"/>
      <family val="2"/>
      <charset val="204"/>
    </font>
    <font>
      <b/>
      <u/>
      <sz val="11"/>
      <color indexed="8"/>
      <name val="Arial"/>
      <family val="2"/>
      <charset val="204"/>
    </font>
    <font>
      <sz val="10"/>
      <name val="Verdana"/>
      <family val="2"/>
      <charset val="204"/>
    </font>
    <font>
      <sz val="9"/>
      <color indexed="81"/>
      <name val="Tahoma"/>
      <family val="2"/>
      <charset val="204"/>
    </font>
    <font>
      <b/>
      <sz val="11"/>
      <color indexed="8"/>
      <name val="Calibri"/>
      <family val="2"/>
      <charset val="204"/>
    </font>
    <font>
      <sz val="11"/>
      <name val="Calibri"/>
      <family val="2"/>
      <charset val="204"/>
    </font>
    <font>
      <b/>
      <u/>
      <sz val="11"/>
      <name val="Calibri"/>
      <family val="2"/>
      <charset val="204"/>
    </font>
    <font>
      <b/>
      <u/>
      <sz val="11"/>
      <color indexed="8"/>
      <name val="Calibri"/>
      <family val="2"/>
      <charset val="204"/>
    </font>
    <font>
      <b/>
      <sz val="11"/>
      <name val="Calibri"/>
      <family val="2"/>
      <charset val="204"/>
    </font>
    <font>
      <sz val="11"/>
      <color theme="1"/>
      <name val="Montserrat"/>
      <family val="2"/>
      <scheme val="minor"/>
    </font>
    <font>
      <sz val="11"/>
      <color theme="1"/>
      <name val="Montserrat"/>
      <family val="2"/>
      <charset val="204"/>
      <scheme val="minor"/>
    </font>
    <font>
      <sz val="11"/>
      <color theme="0"/>
      <name val="Montserrat"/>
      <family val="2"/>
      <charset val="204"/>
      <scheme val="minor"/>
    </font>
    <font>
      <sz val="12"/>
      <color theme="1"/>
      <name val="Montserrat"/>
      <family val="2"/>
      <scheme val="minor"/>
    </font>
    <font>
      <b/>
      <sz val="11"/>
      <color theme="0"/>
      <name val="Montserrat"/>
      <family val="2"/>
      <charset val="204"/>
      <scheme val="minor"/>
    </font>
    <font>
      <b/>
      <sz val="11"/>
      <color theme="1"/>
      <name val="Montserrat"/>
      <family val="2"/>
      <charset val="204"/>
      <scheme val="minor"/>
    </font>
    <font>
      <b/>
      <sz val="12"/>
      <color rgb="FFFF0000"/>
      <name val="Montserrat"/>
      <family val="2"/>
      <charset val="204"/>
      <scheme val="minor"/>
    </font>
    <font>
      <sz val="14"/>
      <color theme="1"/>
      <name val="Montserrat"/>
      <family val="2"/>
      <charset val="204"/>
      <scheme val="minor"/>
    </font>
    <font>
      <b/>
      <sz val="18"/>
      <color rgb="FF000000"/>
      <name val="Calibri"/>
      <family val="2"/>
      <charset val="204"/>
    </font>
    <font>
      <sz val="11"/>
      <color rgb="FF000000"/>
      <name val="Calibri"/>
      <family val="2"/>
      <charset val="204"/>
    </font>
    <font>
      <b/>
      <sz val="11"/>
      <color rgb="FF000000"/>
      <name val="Calibri"/>
      <family val="2"/>
      <charset val="204"/>
    </font>
    <font>
      <sz val="18"/>
      <color rgb="FF000000"/>
      <name val="Calibri"/>
      <family val="2"/>
      <charset val="204"/>
    </font>
    <font>
      <sz val="18"/>
      <color rgb="FFFFFFFF"/>
      <name val="Calibri"/>
      <family val="2"/>
      <charset val="204"/>
    </font>
    <font>
      <b/>
      <sz val="18"/>
      <color rgb="FFFF0000"/>
      <name val="Calibri"/>
      <family val="2"/>
      <charset val="204"/>
    </font>
    <font>
      <b/>
      <sz val="16"/>
      <color rgb="FF000000"/>
      <name val="Arial"/>
      <family val="2"/>
      <charset val="204"/>
    </font>
    <font>
      <i/>
      <sz val="16"/>
      <color rgb="FF000000"/>
      <name val="Calibri"/>
      <family val="2"/>
      <charset val="204"/>
    </font>
    <font>
      <i/>
      <u/>
      <sz val="16"/>
      <color rgb="FF000000"/>
      <name val="Calibri"/>
      <family val="2"/>
      <charset val="204"/>
    </font>
    <font>
      <sz val="16"/>
      <color rgb="FFFF0000"/>
      <name val="Montserrat"/>
      <family val="2"/>
      <charset val="204"/>
      <scheme val="minor"/>
    </font>
    <font>
      <b/>
      <sz val="14"/>
      <color theme="1"/>
      <name val="Montserrat"/>
      <family val="2"/>
      <charset val="204"/>
      <scheme val="minor"/>
    </font>
    <font>
      <sz val="14"/>
      <color theme="0"/>
      <name val="Montserrat"/>
      <family val="2"/>
      <scheme val="minor"/>
    </font>
    <font>
      <b/>
      <sz val="14"/>
      <color theme="0"/>
      <name val="Montserrat"/>
      <family val="2"/>
      <charset val="204"/>
      <scheme val="minor"/>
    </font>
    <font>
      <sz val="14"/>
      <color theme="1"/>
      <name val="Montserrat"/>
      <family val="2"/>
      <scheme val="minor"/>
    </font>
    <font>
      <b/>
      <sz val="12"/>
      <color theme="1"/>
      <name val="Montserrat"/>
      <family val="2"/>
      <charset val="204"/>
      <scheme val="minor"/>
    </font>
    <font>
      <b/>
      <i/>
      <sz val="11"/>
      <color theme="1"/>
      <name val="Montserrat"/>
      <family val="2"/>
      <charset val="204"/>
      <scheme val="minor"/>
    </font>
    <font>
      <sz val="11"/>
      <color theme="0"/>
      <name val="Montserrat"/>
      <family val="2"/>
      <scheme val="minor"/>
    </font>
    <font>
      <b/>
      <sz val="12"/>
      <color theme="0"/>
      <name val="Arial"/>
      <family val="2"/>
      <charset val="204"/>
    </font>
    <font>
      <b/>
      <u/>
      <sz val="12"/>
      <color theme="0"/>
      <name val="Arial"/>
      <family val="2"/>
      <charset val="204"/>
    </font>
    <font>
      <b/>
      <sz val="10"/>
      <color theme="1"/>
      <name val="Arial"/>
      <family val="2"/>
      <charset val="204"/>
    </font>
    <font>
      <sz val="10"/>
      <color theme="1"/>
      <name val="Arial"/>
      <family val="2"/>
      <charset val="204"/>
    </font>
    <font>
      <b/>
      <sz val="10"/>
      <color rgb="FF000000"/>
      <name val="Arial"/>
      <family val="2"/>
      <charset val="204"/>
    </font>
    <font>
      <sz val="10"/>
      <color rgb="FF000000"/>
      <name val="Arial"/>
      <family val="2"/>
      <charset val="204"/>
    </font>
    <font>
      <b/>
      <u/>
      <sz val="11"/>
      <color rgb="FF000000"/>
      <name val="Arial"/>
      <family val="2"/>
      <charset val="204"/>
    </font>
    <font>
      <b/>
      <u/>
      <sz val="12"/>
      <color theme="1"/>
      <name val="Montserrat"/>
      <family val="2"/>
      <charset val="204"/>
      <scheme val="minor"/>
    </font>
    <font>
      <i/>
      <sz val="11"/>
      <color theme="1"/>
      <name val="Montserrat"/>
      <family val="2"/>
      <charset val="204"/>
      <scheme val="minor"/>
    </font>
    <font>
      <b/>
      <u/>
      <sz val="12"/>
      <color theme="1"/>
      <name val="Arial"/>
      <family val="2"/>
      <charset val="204"/>
    </font>
    <font>
      <b/>
      <i/>
      <sz val="10"/>
      <color theme="1"/>
      <name val="Arial"/>
      <family val="2"/>
      <charset val="204"/>
    </font>
    <font>
      <b/>
      <u/>
      <sz val="11"/>
      <color theme="1"/>
      <name val="Montserrat"/>
      <family val="2"/>
      <charset val="204"/>
      <scheme val="minor"/>
    </font>
    <font>
      <b/>
      <u/>
      <sz val="10"/>
      <color theme="1"/>
      <name val="Arial"/>
      <family val="2"/>
      <charset val="204"/>
    </font>
    <font>
      <b/>
      <u/>
      <sz val="11"/>
      <color theme="0"/>
      <name val="Arial"/>
      <family val="2"/>
      <charset val="204"/>
    </font>
    <font>
      <b/>
      <u/>
      <sz val="12"/>
      <color theme="0"/>
      <name val="Montserrat"/>
      <family val="2"/>
      <charset val="204"/>
      <scheme val="minor"/>
    </font>
    <font>
      <b/>
      <sz val="12"/>
      <color theme="0"/>
      <name val="Montserrat"/>
      <family val="2"/>
      <scheme val="minor"/>
    </font>
    <font>
      <b/>
      <sz val="12"/>
      <color theme="1"/>
      <name val="Arial"/>
      <family val="2"/>
      <charset val="204"/>
    </font>
    <font>
      <b/>
      <sz val="12"/>
      <color theme="0"/>
      <name val="Montserrat"/>
      <family val="2"/>
      <charset val="204"/>
      <scheme val="minor"/>
    </font>
    <font>
      <b/>
      <sz val="16"/>
      <color theme="1"/>
      <name val="Montserrat"/>
      <family val="2"/>
      <charset val="204"/>
      <scheme val="minor"/>
    </font>
    <font>
      <sz val="8"/>
      <color theme="1"/>
      <name val="Tahoma"/>
      <family val="2"/>
      <charset val="204"/>
    </font>
    <font>
      <sz val="12"/>
      <color theme="1"/>
      <name val="Montserrat"/>
      <family val="2"/>
      <charset val="204"/>
      <scheme val="minor"/>
    </font>
    <font>
      <b/>
      <sz val="18"/>
      <color theme="0"/>
      <name val="Montserrat"/>
      <family val="2"/>
      <charset val="204"/>
      <scheme val="minor"/>
    </font>
    <font>
      <sz val="11"/>
      <color rgb="FFFF0000"/>
      <name val="Montserrat"/>
      <family val="2"/>
      <scheme val="minor"/>
    </font>
    <font>
      <b/>
      <sz val="11"/>
      <color rgb="FFFF0000"/>
      <name val="Montserrat"/>
      <family val="2"/>
      <charset val="204"/>
      <scheme val="minor"/>
    </font>
    <font>
      <b/>
      <sz val="16"/>
      <color theme="0"/>
      <name val="Arial"/>
      <family val="2"/>
      <charset val="204"/>
    </font>
    <font>
      <b/>
      <sz val="12"/>
      <color theme="2"/>
      <name val="Montserrat"/>
      <family val="2"/>
      <charset val="204"/>
      <scheme val="minor"/>
    </font>
    <font>
      <b/>
      <u/>
      <sz val="12"/>
      <color theme="2"/>
      <name val="Montserrat"/>
      <family val="2"/>
      <charset val="204"/>
      <scheme val="minor"/>
    </font>
    <font>
      <b/>
      <sz val="11"/>
      <color theme="2"/>
      <name val="Montserrat"/>
      <family val="2"/>
      <charset val="204"/>
      <scheme val="minor"/>
    </font>
    <font>
      <sz val="11"/>
      <color theme="2"/>
      <name val="Montserrat"/>
      <family val="2"/>
      <scheme val="minor"/>
    </font>
    <font>
      <b/>
      <sz val="12"/>
      <color theme="2"/>
      <name val="Montserrat"/>
      <family val="2"/>
      <scheme val="minor"/>
    </font>
    <font>
      <b/>
      <i/>
      <sz val="11"/>
      <color theme="2"/>
      <name val="Montserrat"/>
      <family val="2"/>
      <charset val="204"/>
      <scheme val="minor"/>
    </font>
    <font>
      <b/>
      <u/>
      <sz val="12"/>
      <color theme="2"/>
      <name val="Arial"/>
      <family val="2"/>
      <charset val="204"/>
    </font>
    <font>
      <b/>
      <sz val="14"/>
      <color theme="2"/>
      <name val="Montserrat"/>
      <family val="2"/>
      <charset val="204"/>
      <scheme val="minor"/>
    </font>
    <font>
      <b/>
      <sz val="10"/>
      <color theme="2"/>
      <name val="Arial"/>
      <family val="2"/>
      <charset val="204"/>
    </font>
    <font>
      <sz val="10"/>
      <color theme="2"/>
      <name val="Arial"/>
      <family val="2"/>
      <charset val="204"/>
    </font>
    <font>
      <b/>
      <sz val="12"/>
      <color theme="2"/>
      <name val="Arial"/>
      <family val="2"/>
      <charset val="204"/>
    </font>
    <font>
      <b/>
      <u/>
      <sz val="18"/>
      <color theme="0"/>
      <name val="Arial"/>
      <family val="2"/>
      <charset val="204"/>
    </font>
    <font>
      <b/>
      <u/>
      <sz val="18"/>
      <color theme="1"/>
      <name val="Arial"/>
      <family val="2"/>
      <charset val="204"/>
    </font>
    <font>
      <sz val="18"/>
      <color theme="1"/>
      <name val="Montserrat"/>
      <family val="2"/>
      <scheme val="minor"/>
    </font>
    <font>
      <b/>
      <sz val="16"/>
      <color theme="1"/>
      <name val="Montserrat"/>
      <family val="3"/>
      <scheme val="minor"/>
    </font>
    <font>
      <sz val="14"/>
      <color theme="1"/>
      <name val="Montserrat"/>
      <family val="3"/>
      <scheme val="minor"/>
    </font>
    <font>
      <b/>
      <sz val="14"/>
      <color theme="1"/>
      <name val="Montserrat"/>
      <family val="3"/>
      <scheme val="minor"/>
    </font>
    <font>
      <sz val="16"/>
      <color theme="0"/>
      <name val="Montserrat"/>
      <family val="2"/>
      <charset val="204"/>
      <scheme val="minor"/>
    </font>
    <font>
      <b/>
      <sz val="11"/>
      <color theme="1"/>
      <name val="Arial"/>
      <family val="2"/>
      <charset val="204"/>
    </font>
    <font>
      <sz val="11"/>
      <color theme="1"/>
      <name val="Arial"/>
      <family val="2"/>
      <charset val="204"/>
    </font>
    <font>
      <sz val="10"/>
      <color theme="1"/>
      <name val="Montserrat"/>
      <family val="2"/>
      <scheme val="minor"/>
    </font>
    <font>
      <b/>
      <sz val="12"/>
      <color theme="1"/>
      <name val="Montserrat"/>
      <family val="3"/>
      <scheme val="minor"/>
    </font>
    <font>
      <b/>
      <sz val="11"/>
      <color theme="1"/>
      <name val="Montserrat"/>
      <family val="3"/>
      <scheme val="minor"/>
    </font>
    <font>
      <b/>
      <sz val="16"/>
      <color rgb="FFFFFFFF"/>
      <name val="Montserrat"/>
      <family val="3"/>
    </font>
    <font>
      <sz val="16"/>
      <color rgb="FF000000"/>
      <name val="Montserrat"/>
      <family val="3"/>
    </font>
    <font>
      <b/>
      <i/>
      <sz val="16"/>
      <color rgb="FFFFFFFF"/>
      <name val="Montserrat"/>
      <family val="3"/>
    </font>
    <font>
      <sz val="12"/>
      <color rgb="FF000000"/>
      <name val="Calibri"/>
      <family val="2"/>
      <charset val="204"/>
    </font>
    <font>
      <sz val="11"/>
      <color theme="1"/>
      <name val="Calibri"/>
      <family val="2"/>
      <charset val="204"/>
    </font>
    <font>
      <b/>
      <sz val="11"/>
      <color theme="0"/>
      <name val="Calibri"/>
      <family val="2"/>
      <charset val="204"/>
    </font>
    <font>
      <b/>
      <sz val="11"/>
      <color theme="1"/>
      <name val="Calibri"/>
      <family val="2"/>
      <charset val="204"/>
    </font>
    <font>
      <sz val="11"/>
      <color theme="0"/>
      <name val="Calibri"/>
      <family val="2"/>
      <charset val="204"/>
    </font>
    <font>
      <b/>
      <u/>
      <sz val="11"/>
      <color theme="1"/>
      <name val="Calibri"/>
      <family val="2"/>
      <charset val="204"/>
    </font>
    <font>
      <b/>
      <sz val="11"/>
      <color theme="1"/>
      <name val="Montserrat"/>
      <family val="2"/>
      <scheme val="minor"/>
    </font>
    <font>
      <sz val="11"/>
      <color rgb="FFFF0000"/>
      <name val="Calibri"/>
      <family val="2"/>
      <charset val="204"/>
    </font>
    <font>
      <b/>
      <sz val="11"/>
      <color rgb="FFFF0000"/>
      <name val="Calibri"/>
      <family val="2"/>
      <charset val="204"/>
    </font>
    <font>
      <sz val="11"/>
      <color theme="0" tint="-0.249977111117893"/>
      <name val="Calibri"/>
      <family val="2"/>
      <charset val="204"/>
    </font>
    <font>
      <b/>
      <sz val="12"/>
      <color theme="1"/>
      <name val="Calibri"/>
      <family val="2"/>
      <charset val="204"/>
    </font>
    <font>
      <b/>
      <sz val="18"/>
      <color rgb="FFFFFFFF"/>
      <name val="Montserrat"/>
      <family val="3"/>
      <scheme val="minor"/>
    </font>
    <font>
      <sz val="18"/>
      <color rgb="FF000000"/>
      <name val="Montserrat"/>
      <family val="3"/>
      <scheme val="minor"/>
    </font>
    <font>
      <b/>
      <u/>
      <sz val="11"/>
      <color rgb="FFFF0000"/>
      <name val="Calibri"/>
      <family val="2"/>
      <charset val="204"/>
    </font>
    <font>
      <b/>
      <sz val="14"/>
      <color theme="1"/>
      <name val="Calibri"/>
      <family val="2"/>
      <charset val="204"/>
    </font>
    <font>
      <b/>
      <sz val="16"/>
      <color theme="1"/>
      <name val="Calibri"/>
      <family val="2"/>
      <charset val="204"/>
    </font>
    <font>
      <b/>
      <sz val="16"/>
      <color theme="0"/>
      <name val="Calibri"/>
      <family val="2"/>
      <charset val="204"/>
    </font>
    <font>
      <b/>
      <sz val="18"/>
      <color theme="0"/>
      <name val="Calibri"/>
      <family val="2"/>
      <charset val="204"/>
    </font>
    <font>
      <sz val="12"/>
      <color theme="1"/>
      <name val="Calibri"/>
      <family val="2"/>
      <charset val="204"/>
    </font>
    <font>
      <b/>
      <sz val="11"/>
      <color theme="0"/>
      <name val="Montserrat"/>
      <charset val="204"/>
      <scheme val="minor"/>
    </font>
    <font>
      <b/>
      <sz val="18"/>
      <color rgb="FFFFFFFF"/>
      <name val="Calibri"/>
      <family val="2"/>
      <charset val="204"/>
    </font>
    <font>
      <b/>
      <sz val="11"/>
      <color rgb="FFFF0000"/>
      <name val="Montserrat"/>
      <charset val="204"/>
      <scheme val="minor"/>
    </font>
    <font>
      <b/>
      <sz val="11"/>
      <color theme="1"/>
      <name val="Montserrat"/>
      <charset val="204"/>
      <scheme val="minor"/>
    </font>
    <font>
      <b/>
      <sz val="12"/>
      <color rgb="FF4CA2C1"/>
      <name val="Montserrat"/>
      <family val="2"/>
      <scheme val="minor"/>
    </font>
    <font>
      <i/>
      <sz val="10"/>
      <color theme="1"/>
      <name val="Fira Sans"/>
      <family val="2"/>
      <charset val="204"/>
    </font>
    <font>
      <sz val="12"/>
      <color indexed="8"/>
      <name val="Montserrat"/>
      <charset val="204"/>
      <scheme val="minor"/>
    </font>
    <font>
      <b/>
      <sz val="14"/>
      <color theme="1"/>
      <name val="Montserrat"/>
      <charset val="204"/>
      <scheme val="minor"/>
    </font>
    <font>
      <b/>
      <sz val="12"/>
      <color theme="4"/>
      <name val="Montserrat"/>
      <family val="2"/>
      <scheme val="minor"/>
    </font>
    <font>
      <b/>
      <sz val="12"/>
      <color theme="4"/>
      <name val="Montserrat"/>
      <charset val="204"/>
      <scheme val="minor"/>
    </font>
    <font>
      <sz val="11"/>
      <color theme="1"/>
      <name val="Montserrat"/>
      <charset val="204"/>
      <scheme val="minor"/>
    </font>
    <font>
      <sz val="11"/>
      <color rgb="FFFF0000"/>
      <name val="Montserrat"/>
      <charset val="204"/>
      <scheme val="minor"/>
    </font>
    <font>
      <sz val="10"/>
      <color rgb="FFFF0000"/>
      <name val="Montserrat"/>
      <charset val="204"/>
      <scheme val="minor"/>
    </font>
    <font>
      <b/>
      <sz val="11"/>
      <color rgb="FFFFFFFF"/>
      <name val="Montserrat"/>
      <charset val="204"/>
      <scheme val="minor"/>
    </font>
    <font>
      <b/>
      <sz val="11"/>
      <color rgb="FF000000"/>
      <name val="Montserrat"/>
      <charset val="204"/>
      <scheme val="minor"/>
    </font>
    <font>
      <sz val="11"/>
      <color rgb="FF000000"/>
      <name val="Montserrat"/>
      <charset val="204"/>
      <scheme val="minor"/>
    </font>
    <font>
      <i/>
      <sz val="11"/>
      <color rgb="FF000000"/>
      <name val="Montserrat"/>
      <charset val="204"/>
      <scheme val="minor"/>
    </font>
    <font>
      <b/>
      <sz val="11"/>
      <color rgb="FF991C1F"/>
      <name val="Montserrat"/>
      <charset val="204"/>
      <scheme val="minor"/>
    </font>
    <font>
      <sz val="11"/>
      <color rgb="FFFF0000"/>
      <name val="Montserrat"/>
      <family val="2"/>
      <charset val="204"/>
      <scheme val="minor"/>
    </font>
    <font>
      <sz val="12"/>
      <color theme="0"/>
      <name val="Montserrat"/>
      <family val="2"/>
      <charset val="204"/>
      <scheme val="minor"/>
    </font>
    <font>
      <sz val="8"/>
      <name val="Montserrat"/>
      <family val="2"/>
      <scheme val="minor"/>
    </font>
    <font>
      <sz val="11"/>
      <color indexed="8"/>
      <name val="Calibri"/>
      <family val="2"/>
    </font>
  </fonts>
  <fills count="87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ACACC"/>
        <bgColor indexed="64"/>
      </patternFill>
    </fill>
    <fill>
      <patternFill patternType="solid">
        <fgColor rgb="FFF8696B"/>
        <bgColor indexed="64"/>
      </patternFill>
    </fill>
    <fill>
      <patternFill patternType="solid">
        <fgColor rgb="FF98D4A9"/>
        <bgColor indexed="64"/>
      </patternFill>
    </fill>
    <fill>
      <patternFill patternType="solid">
        <fgColor rgb="FF63BE7B"/>
        <bgColor indexed="64"/>
      </patternFill>
    </fill>
    <fill>
      <patternFill patternType="solid">
        <fgColor rgb="FFF9AEB0"/>
        <bgColor indexed="64"/>
      </patternFill>
    </fill>
    <fill>
      <patternFill patternType="solid">
        <fgColor rgb="FF71C487"/>
        <bgColor indexed="64"/>
      </patternFill>
    </fill>
    <fill>
      <patternFill patternType="solid">
        <fgColor rgb="FFFAB6B9"/>
        <bgColor indexed="64"/>
      </patternFill>
    </fill>
    <fill>
      <patternFill patternType="solid">
        <fgColor rgb="FF8FD0A1"/>
        <bgColor indexed="64"/>
      </patternFill>
    </fill>
    <fill>
      <patternFill patternType="solid">
        <fgColor rgb="FFFABCBE"/>
        <bgColor indexed="64"/>
      </patternFill>
    </fill>
    <fill>
      <patternFill patternType="solid">
        <fgColor rgb="FF8ED0A0"/>
        <bgColor indexed="64"/>
      </patternFill>
    </fill>
    <fill>
      <patternFill patternType="solid">
        <fgColor rgb="FFFAB4B6"/>
        <bgColor indexed="64"/>
      </patternFill>
    </fill>
    <fill>
      <patternFill patternType="solid">
        <fgColor rgb="FF9CD5AC"/>
        <bgColor indexed="64"/>
      </patternFill>
    </fill>
    <fill>
      <patternFill patternType="solid">
        <fgColor rgb="FFFACED1"/>
        <bgColor indexed="64"/>
      </patternFill>
    </fill>
    <fill>
      <patternFill patternType="solid">
        <fgColor rgb="FFA8DAB6"/>
        <bgColor indexed="64"/>
      </patternFill>
    </fill>
    <fill>
      <patternFill patternType="solid">
        <fgColor rgb="FFFAC5C8"/>
        <bgColor indexed="64"/>
      </patternFill>
    </fill>
    <fill>
      <patternFill patternType="solid">
        <fgColor rgb="FF90D1A2"/>
        <bgColor indexed="64"/>
      </patternFill>
    </fill>
    <fill>
      <patternFill patternType="solid">
        <fgColor rgb="FFFAC1C4"/>
        <bgColor indexed="64"/>
      </patternFill>
    </fill>
    <fill>
      <patternFill patternType="solid">
        <fgColor rgb="FFA1D7B1"/>
        <bgColor indexed="64"/>
      </patternFill>
    </fill>
    <fill>
      <patternFill patternType="solid">
        <fgColor rgb="FFFACDD0"/>
        <bgColor indexed="64"/>
      </patternFill>
    </fill>
    <fill>
      <patternFill patternType="solid">
        <fgColor rgb="FF80CA94"/>
        <bgColor indexed="64"/>
      </patternFill>
    </fill>
    <fill>
      <patternFill patternType="solid">
        <fgColor rgb="FFF9A9AC"/>
        <bgColor indexed="64"/>
      </patternFill>
    </fill>
    <fill>
      <patternFill patternType="solid">
        <fgColor rgb="FFB6E0C3"/>
        <bgColor indexed="64"/>
      </patternFill>
    </fill>
    <fill>
      <patternFill patternType="solid">
        <fgColor rgb="FFFAC4C6"/>
        <bgColor indexed="64"/>
      </patternFill>
    </fill>
    <fill>
      <patternFill patternType="solid">
        <fgColor rgb="FF9ED6AE"/>
        <bgColor indexed="64"/>
      </patternFill>
    </fill>
    <fill>
      <patternFill patternType="solid">
        <fgColor rgb="FFFABFC1"/>
        <bgColor indexed="64"/>
      </patternFill>
    </fill>
    <fill>
      <patternFill patternType="solid">
        <fgColor rgb="FFA6D9B5"/>
        <bgColor indexed="64"/>
      </patternFill>
    </fill>
    <fill>
      <patternFill patternType="solid">
        <fgColor rgb="FFFAC6C8"/>
        <bgColor indexed="64"/>
      </patternFill>
    </fill>
    <fill>
      <patternFill patternType="solid">
        <fgColor rgb="FFFAC7CA"/>
        <bgColor indexed="64"/>
      </patternFill>
    </fill>
    <fill>
      <patternFill patternType="solid">
        <fgColor rgb="FFADDCBB"/>
        <bgColor indexed="64"/>
      </patternFill>
    </fill>
    <fill>
      <patternFill patternType="solid">
        <fgColor rgb="FFFAC2C5"/>
        <bgColor indexed="64"/>
      </patternFill>
    </fill>
    <fill>
      <patternFill patternType="solid">
        <fgColor rgb="FF9FD6AE"/>
        <bgColor indexed="64"/>
      </patternFill>
    </fill>
    <fill>
      <patternFill patternType="solid">
        <fgColor rgb="FF94D2A6"/>
        <bgColor indexed="64"/>
      </patternFill>
    </fill>
    <fill>
      <patternFill patternType="solid">
        <fgColor rgb="FFFAB8BA"/>
        <bgColor indexed="64"/>
      </patternFill>
    </fill>
    <fill>
      <patternFill patternType="solid">
        <fgColor rgb="FF8ACE9D"/>
        <bgColor indexed="64"/>
      </patternFill>
    </fill>
    <fill>
      <patternFill patternType="solid">
        <fgColor rgb="FF73C589"/>
        <bgColor indexed="64"/>
      </patternFill>
    </fill>
    <fill>
      <patternFill patternType="solid">
        <fgColor rgb="FFC3E5CE"/>
        <bgColor indexed="64"/>
      </patternFill>
    </fill>
    <fill>
      <patternFill patternType="solid">
        <fgColor rgb="FF92D1A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35AECF"/>
        <bgColor indexed="64"/>
      </patternFill>
    </fill>
    <fill>
      <patternFill patternType="solid">
        <fgColor rgb="FF4BA2C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4CA2C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347B96"/>
        <bgColor indexed="64"/>
      </patternFill>
    </fill>
    <fill>
      <patternFill patternType="solid">
        <fgColor rgb="FF7DC992"/>
        <bgColor indexed="64"/>
      </patternFill>
    </fill>
    <fill>
      <patternFill patternType="solid">
        <fgColor rgb="FFB4DFC1"/>
        <bgColor indexed="64"/>
      </patternFill>
    </fill>
    <fill>
      <patternFill patternType="solid">
        <fgColor rgb="FFA2D8B1"/>
        <bgColor indexed="64"/>
      </patternFill>
    </fill>
    <fill>
      <patternFill patternType="solid">
        <fgColor rgb="FFF87678"/>
        <bgColor indexed="64"/>
      </patternFill>
    </fill>
    <fill>
      <patternFill patternType="solid">
        <fgColor rgb="FFF98F92"/>
        <bgColor indexed="64"/>
      </patternFill>
    </fill>
    <fill>
      <patternFill patternType="solid">
        <fgColor rgb="FFFBF3F6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BE6E9"/>
        <bgColor indexed="64"/>
      </patternFill>
    </fill>
    <fill>
      <patternFill patternType="solid">
        <fgColor rgb="FFDBECF2"/>
        <bgColor indexed="64"/>
      </patternFill>
    </fill>
    <fill>
      <patternFill patternType="solid">
        <fgColor rgb="FFE3F2E9"/>
        <bgColor indexed="64"/>
      </patternFill>
    </fill>
    <fill>
      <patternFill patternType="solid">
        <fgColor rgb="FFB3DFC0"/>
        <bgColor indexed="64"/>
      </patternFill>
    </fill>
    <fill>
      <patternFill patternType="solid">
        <fgColor rgb="FFF88B8E"/>
        <bgColor indexed="64"/>
      </patternFill>
    </fill>
    <fill>
      <patternFill patternType="solid">
        <fgColor rgb="FFFDE2D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F4C8C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</fills>
  <borders count="8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otted">
        <color rgb="FF000000"/>
      </left>
      <right style="thin">
        <color indexed="64"/>
      </right>
      <top style="dotted">
        <color rgb="FF000000"/>
      </top>
      <bottom style="dotted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/>
      <top style="dotted">
        <color rgb="FF000000"/>
      </top>
      <bottom style="thin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rgb="FFFF0000"/>
      </left>
      <right style="medium">
        <color rgb="FFFF0000"/>
      </right>
      <top style="thin">
        <color theme="1"/>
      </top>
      <bottom style="thin">
        <color theme="1"/>
      </bottom>
      <diagonal/>
    </border>
    <border>
      <left/>
      <right style="medium">
        <color rgb="FFFF0000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/>
      <right style="medium">
        <color rgb="FFFF0000"/>
      </right>
      <top/>
      <bottom style="thin">
        <color theme="1"/>
      </bottom>
      <diagonal/>
    </border>
    <border>
      <left/>
      <right style="medium">
        <color rgb="FFFF0000"/>
      </right>
      <top style="thin">
        <color theme="1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medium">
        <color rgb="FFFF0000"/>
      </left>
      <right style="medium">
        <color rgb="FFFF0000"/>
      </right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/>
      <diagonal/>
    </border>
    <border>
      <left style="thin">
        <color theme="1"/>
      </left>
      <right style="thick">
        <color theme="4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ck">
        <color theme="4"/>
      </right>
      <top style="thin">
        <color theme="1"/>
      </top>
      <bottom/>
      <diagonal/>
    </border>
    <border>
      <left style="thin">
        <color indexed="64"/>
      </left>
      <right style="thick">
        <color theme="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theme="4"/>
      </right>
      <top/>
      <bottom style="thin">
        <color indexed="64"/>
      </bottom>
      <diagonal/>
    </border>
    <border>
      <left/>
      <right style="thick">
        <color theme="4"/>
      </right>
      <top/>
      <bottom/>
      <diagonal/>
    </border>
    <border>
      <left style="medium">
        <color indexed="64"/>
      </left>
      <right style="thick">
        <color theme="4"/>
      </right>
      <top/>
      <bottom/>
      <diagonal/>
    </border>
    <border>
      <left/>
      <right style="thick">
        <color theme="4"/>
      </right>
      <top style="thin">
        <color indexed="64"/>
      </top>
      <bottom/>
      <diagonal/>
    </border>
    <border>
      <left style="thin">
        <color theme="1"/>
      </left>
      <right/>
      <top/>
      <bottom/>
      <diagonal/>
    </border>
    <border>
      <left style="thin">
        <color theme="1"/>
      </left>
      <right style="thick">
        <color theme="4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indexed="64"/>
      </left>
      <right style="thick">
        <color theme="4"/>
      </right>
      <top style="thin">
        <color indexed="64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 style="thick">
        <color theme="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5">
    <xf numFmtId="0" fontId="0" fillId="0" borderId="0"/>
    <xf numFmtId="0" fontId="37" fillId="0" borderId="0"/>
    <xf numFmtId="0" fontId="25" fillId="0" borderId="0"/>
    <xf numFmtId="0" fontId="37" fillId="0" borderId="0"/>
    <xf numFmtId="0" fontId="39" fillId="0" borderId="0"/>
    <xf numFmtId="9" fontId="36" fillId="0" borderId="0" applyFont="0" applyFill="0" applyBorder="0" applyAlignment="0" applyProtection="0"/>
    <xf numFmtId="0" fontId="37" fillId="0" borderId="0"/>
    <xf numFmtId="0" fontId="37" fillId="0" borderId="0"/>
    <xf numFmtId="0" fontId="25" fillId="0" borderId="0"/>
    <xf numFmtId="0" fontId="37" fillId="0" borderId="0"/>
    <xf numFmtId="0" fontId="39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169" fontId="25" fillId="0" borderId="0" applyFont="0" applyFill="0" applyBorder="0" applyAlignment="0" applyProtection="0"/>
    <xf numFmtId="43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179" fontId="36" fillId="0" borderId="0" applyFont="0" applyFill="0" applyBorder="0" applyAlignment="0" applyProtection="0"/>
    <xf numFmtId="0" fontId="14" fillId="0" borderId="0"/>
    <xf numFmtId="0" fontId="14" fillId="0" borderId="0"/>
    <xf numFmtId="0" fontId="8" fillId="0" borderId="0"/>
    <xf numFmtId="0" fontId="4" fillId="0" borderId="0"/>
    <xf numFmtId="0" fontId="3" fillId="0" borderId="0"/>
    <xf numFmtId="0" fontId="152" fillId="0" borderId="0"/>
  </cellStyleXfs>
  <cellXfs count="1474">
    <xf numFmtId="0" fontId="0" fillId="0" borderId="0" xfId="0"/>
    <xf numFmtId="1" fontId="0" fillId="0" borderId="0" xfId="0" applyNumberFormat="1"/>
    <xf numFmtId="0" fontId="37" fillId="0" borderId="0" xfId="6"/>
    <xf numFmtId="2" fontId="37" fillId="0" borderId="0" xfId="6" applyNumberFormat="1" applyAlignment="1">
      <alignment horizontal="center" vertical="center"/>
    </xf>
    <xf numFmtId="0" fontId="37" fillId="0" borderId="0" xfId="6" applyAlignment="1">
      <alignment horizontal="center" vertical="center" wrapText="1"/>
    </xf>
    <xf numFmtId="2" fontId="37" fillId="0" borderId="0" xfId="6" applyNumberFormat="1"/>
    <xf numFmtId="164" fontId="37" fillId="0" borderId="0" xfId="6" applyNumberFormat="1" applyAlignment="1">
      <alignment horizontal="center" vertical="center"/>
    </xf>
    <xf numFmtId="2" fontId="42" fillId="0" borderId="0" xfId="6" applyNumberFormat="1" applyFont="1"/>
    <xf numFmtId="165" fontId="37" fillId="0" borderId="0" xfId="6" applyNumberFormat="1"/>
    <xf numFmtId="1" fontId="37" fillId="0" borderId="0" xfId="6" applyNumberFormat="1"/>
    <xf numFmtId="0" fontId="37" fillId="0" borderId="1" xfId="6" applyBorder="1"/>
    <xf numFmtId="0" fontId="37" fillId="2" borderId="1" xfId="6" applyFill="1" applyBorder="1" applyAlignment="1">
      <alignment horizontal="center" vertical="center" wrapText="1"/>
    </xf>
    <xf numFmtId="0" fontId="43" fillId="2" borderId="1" xfId="6" applyFont="1" applyFill="1" applyBorder="1" applyAlignment="1">
      <alignment horizontal="center" vertical="center" wrapText="1"/>
    </xf>
    <xf numFmtId="43" fontId="16" fillId="0" borderId="0" xfId="16" applyFont="1" applyFill="1" applyBorder="1"/>
    <xf numFmtId="0" fontId="37" fillId="0" borderId="2" xfId="6" applyBorder="1"/>
    <xf numFmtId="2" fontId="37" fillId="0" borderId="2" xfId="6" applyNumberFormat="1" applyBorder="1"/>
    <xf numFmtId="43" fontId="16" fillId="0" borderId="2" xfId="16" applyFont="1" applyFill="1" applyBorder="1"/>
    <xf numFmtId="0" fontId="18" fillId="0" borderId="0" xfId="0" applyFont="1" applyAlignment="1">
      <alignment wrapText="1"/>
    </xf>
    <xf numFmtId="0" fontId="44" fillId="0" borderId="0" xfId="0" applyFont="1" applyAlignment="1">
      <alignment horizontal="right" wrapText="1" readingOrder="1"/>
    </xf>
    <xf numFmtId="0" fontId="19" fillId="0" borderId="0" xfId="0" applyFont="1" applyAlignment="1">
      <alignment vertical="center" wrapText="1"/>
    </xf>
    <xf numFmtId="0" fontId="45" fillId="0" borderId="0" xfId="0" applyFont="1" applyAlignment="1">
      <alignment horizontal="left" vertical="center" wrapText="1" readingOrder="1"/>
    </xf>
    <xf numFmtId="0" fontId="45" fillId="3" borderId="0" xfId="0" applyFont="1" applyFill="1" applyAlignment="1">
      <alignment horizontal="center" vertical="center" wrapText="1" readingOrder="1"/>
    </xf>
    <xf numFmtId="0" fontId="45" fillId="4" borderId="0" xfId="0" applyFont="1" applyFill="1" applyAlignment="1">
      <alignment horizontal="center" vertical="center" wrapText="1" readingOrder="1"/>
    </xf>
    <xf numFmtId="0" fontId="45" fillId="5" borderId="0" xfId="0" applyFont="1" applyFill="1" applyAlignment="1">
      <alignment horizontal="center" vertical="center" wrapText="1" readingOrder="1"/>
    </xf>
    <xf numFmtId="0" fontId="45" fillId="6" borderId="0" xfId="0" applyFont="1" applyFill="1" applyAlignment="1">
      <alignment horizontal="center" vertical="center" wrapText="1" readingOrder="1"/>
    </xf>
    <xf numFmtId="0" fontId="45" fillId="7" borderId="0" xfId="0" applyFont="1" applyFill="1" applyAlignment="1">
      <alignment horizontal="center" vertical="center" wrapText="1" readingOrder="1"/>
    </xf>
    <xf numFmtId="0" fontId="45" fillId="8" borderId="0" xfId="0" applyFont="1" applyFill="1" applyAlignment="1">
      <alignment horizontal="center" vertical="center" wrapText="1" readingOrder="1"/>
    </xf>
    <xf numFmtId="0" fontId="45" fillId="9" borderId="0" xfId="0" applyFont="1" applyFill="1" applyAlignment="1">
      <alignment horizontal="center" vertical="center" wrapText="1" readingOrder="1"/>
    </xf>
    <xf numFmtId="0" fontId="45" fillId="10" borderId="0" xfId="0" applyFont="1" applyFill="1" applyAlignment="1">
      <alignment horizontal="center" vertical="center" wrapText="1" readingOrder="1"/>
    </xf>
    <xf numFmtId="0" fontId="45" fillId="11" borderId="0" xfId="0" applyFont="1" applyFill="1" applyAlignment="1">
      <alignment horizontal="center" vertical="center" wrapText="1" readingOrder="1"/>
    </xf>
    <xf numFmtId="0" fontId="45" fillId="12" borderId="0" xfId="0" applyFont="1" applyFill="1" applyAlignment="1">
      <alignment horizontal="center" vertical="center" wrapText="1" readingOrder="1"/>
    </xf>
    <xf numFmtId="0" fontId="45" fillId="13" borderId="0" xfId="0" applyFont="1" applyFill="1" applyAlignment="1">
      <alignment horizontal="center" vertical="center" wrapText="1" readingOrder="1"/>
    </xf>
    <xf numFmtId="0" fontId="45" fillId="14" borderId="0" xfId="0" applyFont="1" applyFill="1" applyAlignment="1">
      <alignment horizontal="center" vertical="center" wrapText="1" readingOrder="1"/>
    </xf>
    <xf numFmtId="0" fontId="45" fillId="15" borderId="0" xfId="0" applyFont="1" applyFill="1" applyAlignment="1">
      <alignment horizontal="center" vertical="center" wrapText="1" readingOrder="1"/>
    </xf>
    <xf numFmtId="0" fontId="45" fillId="16" borderId="0" xfId="0" applyFont="1" applyFill="1" applyAlignment="1">
      <alignment horizontal="center" vertical="center" wrapText="1" readingOrder="1"/>
    </xf>
    <xf numFmtId="0" fontId="45" fillId="17" borderId="0" xfId="0" applyFont="1" applyFill="1" applyAlignment="1">
      <alignment horizontal="center" vertical="center" wrapText="1" readingOrder="1"/>
    </xf>
    <xf numFmtId="0" fontId="45" fillId="18" borderId="0" xfId="0" applyFont="1" applyFill="1" applyAlignment="1">
      <alignment horizontal="center" vertical="center" wrapText="1" readingOrder="1"/>
    </xf>
    <xf numFmtId="0" fontId="45" fillId="19" borderId="0" xfId="0" applyFont="1" applyFill="1" applyAlignment="1">
      <alignment horizontal="center" vertical="center" wrapText="1" readingOrder="1"/>
    </xf>
    <xf numFmtId="0" fontId="45" fillId="20" borderId="0" xfId="0" applyFont="1" applyFill="1" applyAlignment="1">
      <alignment horizontal="center" vertical="center" wrapText="1" readingOrder="1"/>
    </xf>
    <xf numFmtId="0" fontId="45" fillId="21" borderId="0" xfId="0" applyFont="1" applyFill="1" applyAlignment="1">
      <alignment horizontal="center" vertical="center" wrapText="1" readingOrder="1"/>
    </xf>
    <xf numFmtId="0" fontId="45" fillId="22" borderId="0" xfId="0" applyFont="1" applyFill="1" applyAlignment="1">
      <alignment horizontal="center" vertical="center" wrapText="1" readingOrder="1"/>
    </xf>
    <xf numFmtId="0" fontId="45" fillId="23" borderId="0" xfId="0" applyFont="1" applyFill="1" applyAlignment="1">
      <alignment horizontal="center" vertical="center" wrapText="1" readingOrder="1"/>
    </xf>
    <xf numFmtId="0" fontId="45" fillId="24" borderId="0" xfId="0" applyFont="1" applyFill="1" applyAlignment="1">
      <alignment horizontal="center" vertical="center" wrapText="1" readingOrder="1"/>
    </xf>
    <xf numFmtId="0" fontId="45" fillId="25" borderId="0" xfId="0" applyFont="1" applyFill="1" applyAlignment="1">
      <alignment horizontal="center" vertical="center" wrapText="1" readingOrder="1"/>
    </xf>
    <xf numFmtId="0" fontId="45" fillId="26" borderId="0" xfId="0" applyFont="1" applyFill="1" applyAlignment="1">
      <alignment horizontal="center" vertical="center" wrapText="1" readingOrder="1"/>
    </xf>
    <xf numFmtId="0" fontId="45" fillId="27" borderId="0" xfId="0" applyFont="1" applyFill="1" applyAlignment="1">
      <alignment horizontal="center" vertical="center" wrapText="1" readingOrder="1"/>
    </xf>
    <xf numFmtId="0" fontId="45" fillId="28" borderId="0" xfId="0" applyFont="1" applyFill="1" applyAlignment="1">
      <alignment horizontal="center" vertical="center" wrapText="1" readingOrder="1"/>
    </xf>
    <xf numFmtId="0" fontId="45" fillId="29" borderId="0" xfId="0" applyFont="1" applyFill="1" applyAlignment="1">
      <alignment horizontal="center" vertical="center" wrapText="1" readingOrder="1"/>
    </xf>
    <xf numFmtId="0" fontId="45" fillId="30" borderId="0" xfId="0" applyFont="1" applyFill="1" applyAlignment="1">
      <alignment horizontal="center" vertical="center" wrapText="1" readingOrder="1"/>
    </xf>
    <xf numFmtId="0" fontId="45" fillId="31" borderId="0" xfId="0" applyFont="1" applyFill="1" applyAlignment="1">
      <alignment horizontal="center" vertical="center" wrapText="1" readingOrder="1"/>
    </xf>
    <xf numFmtId="0" fontId="45" fillId="32" borderId="0" xfId="0" applyFont="1" applyFill="1" applyAlignment="1">
      <alignment horizontal="center" vertical="center" wrapText="1" readingOrder="1"/>
    </xf>
    <xf numFmtId="0" fontId="45" fillId="33" borderId="0" xfId="0" applyFont="1" applyFill="1" applyAlignment="1">
      <alignment horizontal="center" vertical="center" wrapText="1" readingOrder="1"/>
    </xf>
    <xf numFmtId="0" fontId="45" fillId="34" borderId="0" xfId="0" applyFont="1" applyFill="1" applyAlignment="1">
      <alignment horizontal="center" vertical="center" wrapText="1" readingOrder="1"/>
    </xf>
    <xf numFmtId="0" fontId="45" fillId="35" borderId="0" xfId="0" applyFont="1" applyFill="1" applyAlignment="1">
      <alignment horizontal="center" vertical="center" wrapText="1" readingOrder="1"/>
    </xf>
    <xf numFmtId="0" fontId="45" fillId="36" borderId="0" xfId="0" applyFont="1" applyFill="1" applyAlignment="1">
      <alignment horizontal="center" vertical="center" wrapText="1" readingOrder="1"/>
    </xf>
    <xf numFmtId="0" fontId="45" fillId="37" borderId="0" xfId="0" applyFont="1" applyFill="1" applyAlignment="1">
      <alignment horizontal="center" vertical="center" wrapText="1" readingOrder="1"/>
    </xf>
    <xf numFmtId="0" fontId="45" fillId="38" borderId="0" xfId="0" applyFont="1" applyFill="1" applyAlignment="1">
      <alignment horizontal="center" vertical="center" wrapText="1" readingOrder="1"/>
    </xf>
    <xf numFmtId="0" fontId="19" fillId="0" borderId="0" xfId="0" applyFont="1" applyAlignment="1">
      <alignment horizontal="center" vertical="center" wrapText="1"/>
    </xf>
    <xf numFmtId="0" fontId="45" fillId="39" borderId="0" xfId="0" applyFont="1" applyFill="1" applyAlignment="1">
      <alignment horizontal="center" vertical="center" wrapText="1" readingOrder="1"/>
    </xf>
    <xf numFmtId="0" fontId="46" fillId="0" borderId="0" xfId="0" applyFont="1" applyAlignment="1">
      <alignment horizontal="left" vertical="center" wrapText="1" readingOrder="1"/>
    </xf>
    <xf numFmtId="0" fontId="46" fillId="0" borderId="0" xfId="0" applyFont="1" applyAlignment="1">
      <alignment horizontal="right" vertical="center" wrapText="1" readingOrder="1"/>
    </xf>
    <xf numFmtId="0" fontId="0" fillId="0" borderId="0" xfId="0" applyAlignment="1">
      <alignment vertical="center"/>
    </xf>
    <xf numFmtId="167" fontId="36" fillId="0" borderId="0" xfId="16" applyNumberFormat="1" applyFont="1" applyAlignment="1">
      <alignment vertical="center"/>
    </xf>
    <xf numFmtId="0" fontId="17" fillId="0" borderId="0" xfId="0" applyFont="1" applyAlignment="1">
      <alignment horizontal="left" vertical="center" wrapText="1" indent="2"/>
    </xf>
    <xf numFmtId="0" fontId="16" fillId="0" borderId="0" xfId="0" applyFont="1" applyAlignment="1">
      <alignment horizontal="left" vertical="center" wrapText="1" indent="3"/>
    </xf>
    <xf numFmtId="0" fontId="16" fillId="0" borderId="0" xfId="0" applyFont="1" applyAlignment="1">
      <alignment horizontal="left" vertical="center" wrapText="1" indent="2"/>
    </xf>
    <xf numFmtId="0" fontId="21" fillId="0" borderId="0" xfId="0" applyFont="1" applyAlignment="1">
      <alignment horizontal="left" vertical="center" wrapText="1" indent="2"/>
    </xf>
    <xf numFmtId="0" fontId="21" fillId="0" borderId="0" xfId="0" applyFont="1" applyAlignment="1">
      <alignment horizontal="left" vertical="center" wrapText="1" indent="1"/>
    </xf>
    <xf numFmtId="0" fontId="37" fillId="40" borderId="0" xfId="6" applyFill="1"/>
    <xf numFmtId="167" fontId="0" fillId="0" borderId="0" xfId="0" applyNumberFormat="1"/>
    <xf numFmtId="0" fontId="37" fillId="0" borderId="3" xfId="6" applyBorder="1" applyAlignment="1">
      <alignment vertical="center"/>
    </xf>
    <xf numFmtId="0" fontId="37" fillId="0" borderId="4" xfId="6" applyBorder="1" applyAlignment="1">
      <alignment vertical="center"/>
    </xf>
    <xf numFmtId="0" fontId="37" fillId="0" borderId="0" xfId="6" applyAlignment="1">
      <alignment vertical="center"/>
    </xf>
    <xf numFmtId="0" fontId="37" fillId="0" borderId="5" xfId="6" applyBorder="1" applyAlignment="1">
      <alignment vertical="center"/>
    </xf>
    <xf numFmtId="166" fontId="47" fillId="0" borderId="27" xfId="16" applyNumberFormat="1" applyFont="1" applyBorder="1" applyAlignment="1">
      <alignment horizontal="center" vertical="center" wrapText="1" readingOrder="1"/>
    </xf>
    <xf numFmtId="0" fontId="48" fillId="41" borderId="28" xfId="0" applyFont="1" applyFill="1" applyBorder="1" applyAlignment="1">
      <alignment horizontal="center" wrapText="1" readingOrder="1"/>
    </xf>
    <xf numFmtId="0" fontId="49" fillId="41" borderId="6" xfId="0" applyFont="1" applyFill="1" applyBorder="1" applyAlignment="1">
      <alignment horizontal="center" vertical="center" wrapText="1" readingOrder="1"/>
    </xf>
    <xf numFmtId="0" fontId="49" fillId="41" borderId="7" xfId="0" applyFont="1" applyFill="1" applyBorder="1" applyAlignment="1">
      <alignment horizontal="center" vertical="center" wrapText="1" readingOrder="1"/>
    </xf>
    <xf numFmtId="0" fontId="48" fillId="41" borderId="29" xfId="0" applyFont="1" applyFill="1" applyBorder="1" applyAlignment="1">
      <alignment horizontal="center" wrapText="1" readingOrder="1"/>
    </xf>
    <xf numFmtId="166" fontId="47" fillId="0" borderId="30" xfId="16" applyNumberFormat="1" applyFont="1" applyBorder="1" applyAlignment="1">
      <alignment horizontal="center" vertical="center" wrapText="1" readingOrder="1"/>
    </xf>
    <xf numFmtId="43" fontId="50" fillId="0" borderId="31" xfId="16" applyFont="1" applyBorder="1" applyAlignment="1">
      <alignment horizontal="left" vertical="center" wrapText="1" readingOrder="1"/>
    </xf>
    <xf numFmtId="43" fontId="50" fillId="0" borderId="32" xfId="16" applyFont="1" applyBorder="1" applyAlignment="1">
      <alignment horizontal="left" vertical="center" wrapText="1" readingOrder="1"/>
    </xf>
    <xf numFmtId="0" fontId="51" fillId="0" borderId="33" xfId="0" applyFont="1" applyBorder="1" applyAlignment="1">
      <alignment horizontal="right" vertical="center" wrapText="1" readingOrder="1"/>
    </xf>
    <xf numFmtId="0" fontId="52" fillId="0" borderId="33" xfId="0" applyFont="1" applyBorder="1" applyAlignment="1">
      <alignment horizontal="right" vertical="center" wrapText="1" readingOrder="1"/>
    </xf>
    <xf numFmtId="166" fontId="44" fillId="0" borderId="34" xfId="16" applyNumberFormat="1" applyFont="1" applyBorder="1" applyAlignment="1">
      <alignment horizontal="center" vertical="center" wrapText="1" readingOrder="1"/>
    </xf>
    <xf numFmtId="166" fontId="44" fillId="0" borderId="35" xfId="16" applyNumberFormat="1" applyFont="1" applyBorder="1" applyAlignment="1">
      <alignment horizontal="center" vertical="center" wrapText="1" readingOrder="1"/>
    </xf>
    <xf numFmtId="166" fontId="44" fillId="0" borderId="36" xfId="16" applyNumberFormat="1" applyFont="1" applyBorder="1" applyAlignment="1">
      <alignment horizontal="center" vertical="center" wrapText="1" readingOrder="1"/>
    </xf>
    <xf numFmtId="166" fontId="44" fillId="0" borderId="37" xfId="16" applyNumberFormat="1" applyFont="1" applyBorder="1" applyAlignment="1">
      <alignment horizontal="center" vertical="center" wrapText="1" readingOrder="1"/>
    </xf>
    <xf numFmtId="43" fontId="47" fillId="0" borderId="27" xfId="16" applyFont="1" applyBorder="1" applyAlignment="1">
      <alignment horizontal="center" vertical="center" wrapText="1" readingOrder="1"/>
    </xf>
    <xf numFmtId="43" fontId="47" fillId="0" borderId="30" xfId="16" applyFont="1" applyBorder="1" applyAlignment="1">
      <alignment horizontal="center" vertical="center" wrapText="1" readingOrder="1"/>
    </xf>
    <xf numFmtId="0" fontId="53" fillId="0" borderId="0" xfId="6" applyFont="1"/>
    <xf numFmtId="0" fontId="21" fillId="0" borderId="0" xfId="0" applyFont="1" applyAlignment="1">
      <alignment horizontal="left" vertical="center" wrapText="1"/>
    </xf>
    <xf numFmtId="0" fontId="17" fillId="0" borderId="0" xfId="0" applyFont="1" applyAlignment="1">
      <alignment horizontal="left" vertical="center" wrapText="1" indent="1"/>
    </xf>
    <xf numFmtId="3" fontId="24" fillId="0" borderId="0" xfId="0" applyNumberFormat="1" applyFont="1" applyAlignment="1">
      <alignment vertical="center"/>
    </xf>
    <xf numFmtId="3" fontId="0" fillId="0" borderId="0" xfId="0" applyNumberFormat="1"/>
    <xf numFmtId="3" fontId="23" fillId="0" borderId="0" xfId="0" applyNumberFormat="1" applyFont="1" applyAlignment="1">
      <alignment vertical="center"/>
    </xf>
    <xf numFmtId="3" fontId="0" fillId="0" borderId="0" xfId="0" applyNumberFormat="1" applyAlignment="1">
      <alignment vertical="center"/>
    </xf>
    <xf numFmtId="0" fontId="20" fillId="42" borderId="0" xfId="0" applyFont="1" applyFill="1" applyAlignment="1">
      <alignment horizontal="left" vertical="center" wrapText="1"/>
    </xf>
    <xf numFmtId="3" fontId="22" fillId="42" borderId="7" xfId="0" applyNumberFormat="1" applyFont="1" applyFill="1" applyBorder="1" applyAlignment="1">
      <alignment vertical="center"/>
    </xf>
    <xf numFmtId="0" fontId="16" fillId="42" borderId="0" xfId="0" applyFont="1" applyFill="1" applyAlignment="1">
      <alignment horizontal="left" vertical="center" wrapText="1" indent="2"/>
    </xf>
    <xf numFmtId="1" fontId="0" fillId="42" borderId="0" xfId="0" applyNumberFormat="1" applyFill="1"/>
    <xf numFmtId="0" fontId="16" fillId="42" borderId="8" xfId="0" applyFont="1" applyFill="1" applyBorder="1" applyAlignment="1">
      <alignment horizontal="left" vertical="center" wrapText="1" indent="2"/>
    </xf>
    <xf numFmtId="3" fontId="24" fillId="42" borderId="8" xfId="0" applyNumberFormat="1" applyFont="1" applyFill="1" applyBorder="1" applyAlignment="1">
      <alignment vertical="center"/>
    </xf>
    <xf numFmtId="3" fontId="28" fillId="0" borderId="0" xfId="0" applyNumberFormat="1" applyFont="1" applyAlignment="1">
      <alignment vertical="center"/>
    </xf>
    <xf numFmtId="3" fontId="0" fillId="0" borderId="0" xfId="0" applyNumberFormat="1" applyAlignment="1">
      <alignment horizontal="center" vertical="center"/>
    </xf>
    <xf numFmtId="1" fontId="0" fillId="0" borderId="0" xfId="0" applyNumberFormat="1" applyAlignment="1">
      <alignment vertic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vertical="center" wrapText="1"/>
    </xf>
    <xf numFmtId="9" fontId="0" fillId="0" borderId="0" xfId="0" applyNumberFormat="1"/>
    <xf numFmtId="0" fontId="41" fillId="0" borderId="0" xfId="0" applyFont="1" applyAlignment="1">
      <alignment horizontal="center"/>
    </xf>
    <xf numFmtId="2" fontId="41" fillId="0" borderId="0" xfId="0" applyNumberFormat="1" applyFont="1" applyAlignment="1">
      <alignment horizontal="center"/>
    </xf>
    <xf numFmtId="0" fontId="41" fillId="43" borderId="7" xfId="0" applyFont="1" applyFill="1" applyBorder="1" applyAlignment="1">
      <alignment horizontal="center" vertical="center"/>
    </xf>
    <xf numFmtId="0" fontId="41" fillId="43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166" fontId="36" fillId="0" borderId="0" xfId="16" applyNumberFormat="1" applyFont="1"/>
    <xf numFmtId="172" fontId="0" fillId="0" borderId="0" xfId="0" applyNumberFormat="1"/>
    <xf numFmtId="0" fontId="0" fillId="0" borderId="0" xfId="0" applyAlignment="1">
      <alignment horizontal="left"/>
    </xf>
    <xf numFmtId="174" fontId="36" fillId="0" borderId="0" xfId="16" applyNumberFormat="1" applyFont="1" applyAlignment="1">
      <alignment horizontal="center" vertical="center"/>
    </xf>
    <xf numFmtId="0" fontId="0" fillId="40" borderId="0" xfId="0" applyFill="1"/>
    <xf numFmtId="3" fontId="0" fillId="0" borderId="0" xfId="0" applyNumberFormat="1" applyAlignment="1">
      <alignment horizontal="left" vertical="center" wrapText="1"/>
    </xf>
    <xf numFmtId="3" fontId="0" fillId="0" borderId="9" xfId="0" applyNumberFormat="1" applyBorder="1" applyAlignment="1">
      <alignment horizontal="left" vertical="center" wrapText="1"/>
    </xf>
    <xf numFmtId="0" fontId="0" fillId="0" borderId="9" xfId="0" applyBorder="1"/>
    <xf numFmtId="0" fontId="0" fillId="0" borderId="9" xfId="0" applyBorder="1" applyAlignment="1">
      <alignment horizontal="center"/>
    </xf>
    <xf numFmtId="164" fontId="54" fillId="42" borderId="9" xfId="0" applyNumberFormat="1" applyFont="1" applyFill="1" applyBorder="1" applyAlignment="1">
      <alignment horizontal="center" vertical="center"/>
    </xf>
    <xf numFmtId="0" fontId="55" fillId="44" borderId="0" xfId="0" applyFont="1" applyFill="1" applyAlignment="1">
      <alignment horizontal="center" vertical="center"/>
    </xf>
    <xf numFmtId="0" fontId="56" fillId="44" borderId="0" xfId="0" applyFont="1" applyFill="1" applyAlignment="1">
      <alignment horizontal="center" vertical="center"/>
    </xf>
    <xf numFmtId="171" fontId="54" fillId="45" borderId="9" xfId="0" applyNumberFormat="1" applyFont="1" applyFill="1" applyBorder="1" applyAlignment="1">
      <alignment horizontal="center" vertical="center"/>
    </xf>
    <xf numFmtId="171" fontId="57" fillId="45" borderId="9" xfId="0" applyNumberFormat="1" applyFont="1" applyFill="1" applyBorder="1" applyAlignment="1">
      <alignment horizontal="center"/>
    </xf>
    <xf numFmtId="164" fontId="54" fillId="42" borderId="9" xfId="0" applyNumberFormat="1" applyFont="1" applyFill="1" applyBorder="1" applyAlignment="1">
      <alignment horizontal="center"/>
    </xf>
    <xf numFmtId="171" fontId="58" fillId="45" borderId="9" xfId="0" applyNumberFormat="1" applyFont="1" applyFill="1" applyBorder="1" applyAlignment="1">
      <alignment horizontal="center"/>
    </xf>
    <xf numFmtId="0" fontId="54" fillId="0" borderId="9" xfId="0" applyFont="1" applyBorder="1"/>
    <xf numFmtId="0" fontId="43" fillId="0" borderId="9" xfId="0" applyFont="1" applyBorder="1" applyAlignment="1">
      <alignment horizontal="center"/>
    </xf>
    <xf numFmtId="164" fontId="43" fillId="0" borderId="9" xfId="0" applyNumberFormat="1" applyFont="1" applyBorder="1" applyAlignment="1">
      <alignment horizontal="center"/>
    </xf>
    <xf numFmtId="0" fontId="43" fillId="0" borderId="9" xfId="0" applyFont="1" applyBorder="1"/>
    <xf numFmtId="0" fontId="57" fillId="0" borderId="9" xfId="0" applyFont="1" applyBorder="1"/>
    <xf numFmtId="0" fontId="57" fillId="0" borderId="9" xfId="0" applyFont="1" applyBorder="1" applyAlignment="1">
      <alignment horizontal="center"/>
    </xf>
    <xf numFmtId="164" fontId="57" fillId="0" borderId="9" xfId="0" applyNumberFormat="1" applyFont="1" applyBorder="1" applyAlignment="1">
      <alignment horizontal="center"/>
    </xf>
    <xf numFmtId="9" fontId="54" fillId="0" borderId="9" xfId="0" applyNumberFormat="1" applyFont="1" applyBorder="1" applyAlignment="1">
      <alignment horizontal="center"/>
    </xf>
    <xf numFmtId="171" fontId="54" fillId="0" borderId="9" xfId="0" applyNumberFormat="1" applyFont="1" applyBorder="1" applyAlignment="1">
      <alignment horizontal="center"/>
    </xf>
    <xf numFmtId="164" fontId="57" fillId="42" borderId="9" xfId="0" applyNumberFormat="1" applyFont="1" applyFill="1" applyBorder="1" applyAlignment="1">
      <alignment horizontal="center"/>
    </xf>
    <xf numFmtId="1" fontId="0" fillId="0" borderId="0" xfId="0" applyNumberFormat="1" applyAlignment="1">
      <alignment horizontal="right"/>
    </xf>
    <xf numFmtId="1" fontId="59" fillId="0" borderId="0" xfId="0" applyNumberFormat="1" applyFont="1"/>
    <xf numFmtId="3" fontId="60" fillId="44" borderId="9" xfId="0" applyNumberFormat="1" applyFont="1" applyFill="1" applyBorder="1" applyAlignment="1">
      <alignment horizontal="left" vertical="center" wrapText="1"/>
    </xf>
    <xf numFmtId="3" fontId="60" fillId="44" borderId="9" xfId="0" applyNumberFormat="1" applyFont="1" applyFill="1" applyBorder="1" applyAlignment="1">
      <alignment vertical="center"/>
    </xf>
    <xf numFmtId="3" fontId="60" fillId="44" borderId="9" xfId="0" applyNumberFormat="1" applyFont="1" applyFill="1" applyBorder="1" applyAlignment="1">
      <alignment horizontal="center" vertical="center"/>
    </xf>
    <xf numFmtId="0" fontId="55" fillId="44" borderId="9" xfId="0" applyFont="1" applyFill="1" applyBorder="1" applyAlignment="1">
      <alignment horizontal="center" vertical="center"/>
    </xf>
    <xf numFmtId="0" fontId="56" fillId="44" borderId="9" xfId="0" applyFont="1" applyFill="1" applyBorder="1" applyAlignment="1">
      <alignment horizontal="center" vertical="center"/>
    </xf>
    <xf numFmtId="0" fontId="58" fillId="0" borderId="0" xfId="0" applyFont="1"/>
    <xf numFmtId="1" fontId="36" fillId="0" borderId="0" xfId="16" applyNumberFormat="1" applyFont="1" applyFill="1" applyAlignment="1">
      <alignment horizontal="center"/>
    </xf>
    <xf numFmtId="1" fontId="0" fillId="0" borderId="0" xfId="0" applyNumberFormat="1" applyAlignment="1">
      <alignment horizontal="center" vertical="center"/>
    </xf>
    <xf numFmtId="0" fontId="61" fillId="41" borderId="0" xfId="0" applyFont="1" applyFill="1" applyAlignment="1">
      <alignment horizontal="left" vertical="center" wrapText="1"/>
    </xf>
    <xf numFmtId="0" fontId="62" fillId="41" borderId="0" xfId="0" applyFont="1" applyFill="1" applyAlignment="1">
      <alignment horizontal="left" vertical="center" wrapText="1"/>
    </xf>
    <xf numFmtId="3" fontId="62" fillId="41" borderId="0" xfId="0" applyNumberFormat="1" applyFont="1" applyFill="1" applyAlignment="1">
      <alignment vertical="center"/>
    </xf>
    <xf numFmtId="0" fontId="61" fillId="41" borderId="0" xfId="0" applyFont="1" applyFill="1" applyAlignment="1">
      <alignment horizontal="left" vertical="center" wrapText="1" indent="1"/>
    </xf>
    <xf numFmtId="3" fontId="23" fillId="0" borderId="9" xfId="0" applyNumberFormat="1" applyFont="1" applyBorder="1" applyAlignment="1">
      <alignment vertical="center"/>
    </xf>
    <xf numFmtId="3" fontId="24" fillId="0" borderId="9" xfId="0" applyNumberFormat="1" applyFont="1" applyBorder="1" applyAlignment="1">
      <alignment vertical="center"/>
    </xf>
    <xf numFmtId="1" fontId="0" fillId="0" borderId="9" xfId="0" applyNumberFormat="1" applyBorder="1"/>
    <xf numFmtId="3" fontId="63" fillId="46" borderId="9" xfId="0" applyNumberFormat="1" applyFont="1" applyFill="1" applyBorder="1" applyAlignment="1">
      <alignment vertical="center"/>
    </xf>
    <xf numFmtId="3" fontId="64" fillId="46" borderId="9" xfId="0" applyNumberFormat="1" applyFont="1" applyFill="1" applyBorder="1" applyAlignment="1">
      <alignment vertical="center"/>
    </xf>
    <xf numFmtId="0" fontId="17" fillId="0" borderId="10" xfId="0" applyFont="1" applyBorder="1" applyAlignment="1">
      <alignment horizontal="left" vertical="center" wrapText="1" indent="1"/>
    </xf>
    <xf numFmtId="0" fontId="27" fillId="0" borderId="10" xfId="0" applyFont="1" applyBorder="1" applyAlignment="1">
      <alignment horizontal="left" vertical="center" wrapText="1" indent="1"/>
    </xf>
    <xf numFmtId="0" fontId="26" fillId="0" borderId="10" xfId="0" applyFont="1" applyBorder="1" applyAlignment="1">
      <alignment horizontal="left" vertical="center" wrapText="1" indent="2"/>
    </xf>
    <xf numFmtId="0" fontId="16" fillId="0" borderId="10" xfId="0" applyFont="1" applyBorder="1" applyAlignment="1">
      <alignment horizontal="left" vertical="center" wrapText="1" indent="3"/>
    </xf>
    <xf numFmtId="2" fontId="16" fillId="0" borderId="10" xfId="0" applyNumberFormat="1" applyFont="1" applyBorder="1" applyAlignment="1">
      <alignment horizontal="left" vertical="center" wrapText="1" indent="5"/>
    </xf>
    <xf numFmtId="0" fontId="17" fillId="0" borderId="10" xfId="0" applyFont="1" applyBorder="1" applyAlignment="1">
      <alignment horizontal="left" vertical="center" wrapText="1" indent="2"/>
    </xf>
    <xf numFmtId="2" fontId="16" fillId="0" borderId="10" xfId="0" applyNumberFormat="1" applyFont="1" applyBorder="1" applyAlignment="1">
      <alignment horizontal="left" vertical="center" wrapText="1" indent="4"/>
    </xf>
    <xf numFmtId="0" fontId="65" fillId="0" borderId="38" xfId="0" applyFont="1" applyBorder="1" applyAlignment="1">
      <alignment horizontal="left" vertical="center" wrapText="1" readingOrder="1"/>
    </xf>
    <xf numFmtId="0" fontId="66" fillId="0" borderId="39" xfId="0" applyFont="1" applyBorder="1" applyAlignment="1">
      <alignment horizontal="right" vertical="center" wrapText="1" readingOrder="1"/>
    </xf>
    <xf numFmtId="0" fontId="66" fillId="0" borderId="40" xfId="0" applyFont="1" applyBorder="1" applyAlignment="1">
      <alignment horizontal="right" vertical="center" wrapText="1" readingOrder="1"/>
    </xf>
    <xf numFmtId="0" fontId="66" fillId="0" borderId="39" xfId="0" applyFont="1" applyBorder="1" applyAlignment="1">
      <alignment horizontal="right" wrapText="1" readingOrder="1"/>
    </xf>
    <xf numFmtId="0" fontId="66" fillId="0" borderId="41" xfId="0" applyFont="1" applyBorder="1" applyAlignment="1">
      <alignment horizontal="right" wrapText="1" readingOrder="1"/>
    </xf>
    <xf numFmtId="0" fontId="66" fillId="0" borderId="42" xfId="0" applyFont="1" applyBorder="1" applyAlignment="1">
      <alignment horizontal="right" vertical="center" wrapText="1" readingOrder="1"/>
    </xf>
    <xf numFmtId="0" fontId="67" fillId="0" borderId="38" xfId="0" applyFont="1" applyBorder="1" applyAlignment="1">
      <alignment horizontal="left" vertical="center" wrapText="1" readingOrder="1"/>
    </xf>
    <xf numFmtId="3" fontId="23" fillId="0" borderId="11" xfId="0" applyNumberFormat="1" applyFont="1" applyBorder="1" applyAlignment="1">
      <alignment vertical="center"/>
    </xf>
    <xf numFmtId="3" fontId="24" fillId="0" borderId="11" xfId="0" applyNumberFormat="1" applyFont="1" applyBorder="1" applyAlignment="1">
      <alignment vertical="center"/>
    </xf>
    <xf numFmtId="1" fontId="0" fillId="0" borderId="11" xfId="0" applyNumberFormat="1" applyBorder="1"/>
    <xf numFmtId="3" fontId="22" fillId="42" borderId="0" xfId="0" applyNumberFormat="1" applyFont="1" applyFill="1" applyAlignment="1">
      <alignment vertical="center"/>
    </xf>
    <xf numFmtId="0" fontId="68" fillId="46" borderId="9" xfId="0" applyFont="1" applyFill="1" applyBorder="1" applyAlignment="1">
      <alignment vertical="center"/>
    </xf>
    <xf numFmtId="0" fontId="41" fillId="46" borderId="9" xfId="0" applyFont="1" applyFill="1" applyBorder="1" applyAlignment="1">
      <alignment vertical="center"/>
    </xf>
    <xf numFmtId="0" fontId="41" fillId="46" borderId="9" xfId="0" applyFont="1" applyFill="1" applyBorder="1"/>
    <xf numFmtId="0" fontId="69" fillId="46" borderId="9" xfId="0" applyFont="1" applyFill="1" applyBorder="1" applyAlignment="1">
      <alignment vertical="center"/>
    </xf>
    <xf numFmtId="0" fontId="69" fillId="46" borderId="9" xfId="0" applyFont="1" applyFill="1" applyBorder="1"/>
    <xf numFmtId="0" fontId="0" fillId="46" borderId="9" xfId="0" applyFill="1" applyBorder="1" applyAlignment="1">
      <alignment vertical="center"/>
    </xf>
    <xf numFmtId="0" fontId="0" fillId="46" borderId="9" xfId="0" applyFill="1" applyBorder="1"/>
    <xf numFmtId="0" fontId="58" fillId="46" borderId="9" xfId="0" applyFont="1" applyFill="1" applyBorder="1" applyAlignment="1">
      <alignment vertical="center"/>
    </xf>
    <xf numFmtId="0" fontId="58" fillId="46" borderId="9" xfId="0" applyFont="1" applyFill="1" applyBorder="1"/>
    <xf numFmtId="1" fontId="58" fillId="46" borderId="9" xfId="0" applyNumberFormat="1" applyFont="1" applyFill="1" applyBorder="1"/>
    <xf numFmtId="0" fontId="59" fillId="46" borderId="9" xfId="0" applyFont="1" applyFill="1" applyBorder="1" applyAlignment="1">
      <alignment vertical="center"/>
    </xf>
    <xf numFmtId="0" fontId="59" fillId="46" borderId="9" xfId="0" applyFont="1" applyFill="1" applyBorder="1"/>
    <xf numFmtId="1" fontId="59" fillId="46" borderId="9" xfId="0" applyNumberFormat="1" applyFont="1" applyFill="1" applyBorder="1"/>
    <xf numFmtId="3" fontId="70" fillId="46" borderId="9" xfId="0" applyNumberFormat="1" applyFont="1" applyFill="1" applyBorder="1" applyAlignment="1">
      <alignment vertical="center"/>
    </xf>
    <xf numFmtId="3" fontId="71" fillId="46" borderId="9" xfId="0" applyNumberFormat="1" applyFont="1" applyFill="1" applyBorder="1" applyAlignment="1">
      <alignment vertical="center"/>
    </xf>
    <xf numFmtId="0" fontId="72" fillId="46" borderId="9" xfId="0" applyFont="1" applyFill="1" applyBorder="1" applyAlignment="1">
      <alignment vertical="center"/>
    </xf>
    <xf numFmtId="0" fontId="72" fillId="46" borderId="9" xfId="0" applyFont="1" applyFill="1" applyBorder="1"/>
    <xf numFmtId="3" fontId="73" fillId="46" borderId="9" xfId="0" applyNumberFormat="1" applyFont="1" applyFill="1" applyBorder="1" applyAlignment="1">
      <alignment vertical="center"/>
    </xf>
    <xf numFmtId="0" fontId="62" fillId="41" borderId="9" xfId="0" applyFont="1" applyFill="1" applyBorder="1" applyAlignment="1">
      <alignment horizontal="left" vertical="center" wrapText="1"/>
    </xf>
    <xf numFmtId="0" fontId="74" fillId="41" borderId="9" xfId="0" applyFont="1" applyFill="1" applyBorder="1" applyAlignment="1">
      <alignment horizontal="left" vertical="center" wrapText="1"/>
    </xf>
    <xf numFmtId="1" fontId="75" fillId="41" borderId="0" xfId="0" applyNumberFormat="1" applyFont="1" applyFill="1" applyAlignment="1">
      <alignment horizontal="center" vertical="center"/>
    </xf>
    <xf numFmtId="1" fontId="76" fillId="41" borderId="0" xfId="0" applyNumberFormat="1" applyFont="1" applyFill="1" applyAlignment="1">
      <alignment horizontal="center"/>
    </xf>
    <xf numFmtId="3" fontId="62" fillId="41" borderId="0" xfId="0" applyNumberFormat="1" applyFont="1" applyFill="1" applyAlignment="1">
      <alignment horizontal="center" vertical="center"/>
    </xf>
    <xf numFmtId="3" fontId="62" fillId="41" borderId="7" xfId="0" applyNumberFormat="1" applyFont="1" applyFill="1" applyBorder="1" applyAlignment="1">
      <alignment horizontal="center" vertical="center"/>
    </xf>
    <xf numFmtId="3" fontId="77" fillId="46" borderId="9" xfId="0" applyNumberFormat="1" applyFont="1" applyFill="1" applyBorder="1" applyAlignment="1">
      <alignment vertical="center"/>
    </xf>
    <xf numFmtId="3" fontId="61" fillId="41" borderId="0" xfId="0" applyNumberFormat="1" applyFont="1" applyFill="1" applyAlignment="1">
      <alignment vertical="center"/>
    </xf>
    <xf numFmtId="3" fontId="61" fillId="41" borderId="7" xfId="0" applyNumberFormat="1" applyFont="1" applyFill="1" applyBorder="1" applyAlignment="1">
      <alignment vertical="center"/>
    </xf>
    <xf numFmtId="3" fontId="58" fillId="0" borderId="0" xfId="0" applyNumberFormat="1" applyFont="1" applyAlignment="1">
      <alignment horizontal="center" vertical="center"/>
    </xf>
    <xf numFmtId="168" fontId="40" fillId="44" borderId="12" xfId="0" applyNumberFormat="1" applyFont="1" applyFill="1" applyBorder="1" applyAlignment="1">
      <alignment horizontal="center" vertical="center"/>
    </xf>
    <xf numFmtId="1" fontId="78" fillId="41" borderId="0" xfId="0" applyNumberFormat="1" applyFont="1" applyFill="1" applyAlignment="1">
      <alignment horizontal="center" vertical="center"/>
    </xf>
    <xf numFmtId="0" fontId="41" fillId="43" borderId="9" xfId="0" applyFont="1" applyFill="1" applyBorder="1" applyAlignment="1">
      <alignment horizontal="center" vertical="center"/>
    </xf>
    <xf numFmtId="0" fontId="40" fillId="41" borderId="9" xfId="0" applyFont="1" applyFill="1" applyBorder="1" applyAlignment="1">
      <alignment horizontal="center" vertical="center"/>
    </xf>
    <xf numFmtId="168" fontId="0" fillId="0" borderId="0" xfId="0" applyNumberFormat="1"/>
    <xf numFmtId="3" fontId="40" fillId="44" borderId="13" xfId="0" applyNumberFormat="1" applyFont="1" applyFill="1" applyBorder="1" applyAlignment="1">
      <alignment horizontal="left" vertical="center" wrapText="1"/>
    </xf>
    <xf numFmtId="3" fontId="40" fillId="44" borderId="13" xfId="0" applyNumberFormat="1" applyFont="1" applyFill="1" applyBorder="1" applyAlignment="1">
      <alignment horizontal="center" vertical="center"/>
    </xf>
    <xf numFmtId="168" fontId="41" fillId="0" borderId="9" xfId="0" applyNumberFormat="1" applyFont="1" applyBorder="1" applyAlignment="1">
      <alignment horizontal="center" vertical="center"/>
    </xf>
    <xf numFmtId="3" fontId="0" fillId="0" borderId="9" xfId="0" applyNumberFormat="1" applyBorder="1" applyAlignment="1">
      <alignment horizontal="center" vertical="center"/>
    </xf>
    <xf numFmtId="168" fontId="0" fillId="0" borderId="9" xfId="0" applyNumberFormat="1" applyBorder="1" applyAlignment="1">
      <alignment horizontal="right"/>
    </xf>
    <xf numFmtId="168" fontId="0" fillId="0" borderId="9" xfId="0" applyNumberFormat="1" applyBorder="1"/>
    <xf numFmtId="3" fontId="0" fillId="0" borderId="9" xfId="0" applyNumberFormat="1" applyBorder="1" applyAlignment="1">
      <alignment vertical="center"/>
    </xf>
    <xf numFmtId="168" fontId="0" fillId="0" borderId="9" xfId="0" applyNumberFormat="1" applyBorder="1" applyAlignment="1">
      <alignment horizontal="center" vertical="center"/>
    </xf>
    <xf numFmtId="0" fontId="58" fillId="0" borderId="9" xfId="0" applyFont="1" applyBorder="1" applyAlignment="1">
      <alignment vertical="center"/>
    </xf>
    <xf numFmtId="171" fontId="54" fillId="45" borderId="0" xfId="0" applyNumberFormat="1" applyFont="1" applyFill="1" applyAlignment="1">
      <alignment horizontal="center" vertical="center"/>
    </xf>
    <xf numFmtId="164" fontId="54" fillId="42" borderId="11" xfId="0" applyNumberFormat="1" applyFont="1" applyFill="1" applyBorder="1" applyAlignment="1">
      <alignment horizontal="center" vertical="center"/>
    </xf>
    <xf numFmtId="43" fontId="37" fillId="0" borderId="0" xfId="16" applyFont="1"/>
    <xf numFmtId="43" fontId="36" fillId="0" borderId="0" xfId="16" applyFont="1"/>
    <xf numFmtId="3" fontId="24" fillId="0" borderId="7" xfId="0" applyNumberFormat="1" applyFont="1" applyBorder="1" applyAlignment="1">
      <alignment vertical="center"/>
    </xf>
    <xf numFmtId="2" fontId="37" fillId="40" borderId="2" xfId="6" applyNumberFormat="1" applyFill="1" applyBorder="1"/>
    <xf numFmtId="0" fontId="37" fillId="42" borderId="1" xfId="6" applyFill="1" applyBorder="1" applyAlignment="1">
      <alignment horizontal="center" vertical="center" wrapText="1"/>
    </xf>
    <xf numFmtId="0" fontId="37" fillId="2" borderId="14" xfId="6" applyFill="1" applyBorder="1" applyAlignment="1">
      <alignment horizontal="center" vertical="center" wrapText="1"/>
    </xf>
    <xf numFmtId="0" fontId="37" fillId="0" borderId="1" xfId="6" applyBorder="1" applyAlignment="1">
      <alignment horizontal="center" vertical="center" wrapText="1"/>
    </xf>
    <xf numFmtId="3" fontId="41" fillId="0" borderId="0" xfId="0" applyNumberFormat="1" applyFont="1"/>
    <xf numFmtId="3" fontId="0" fillId="0" borderId="0" xfId="0" applyNumberFormat="1" applyAlignment="1">
      <alignment horizontal="right"/>
    </xf>
    <xf numFmtId="3" fontId="23" fillId="0" borderId="9" xfId="0" applyNumberFormat="1" applyFont="1" applyBorder="1"/>
    <xf numFmtId="3" fontId="64" fillId="0" borderId="9" xfId="0" applyNumberFormat="1" applyFont="1" applyBorder="1" applyAlignment="1">
      <alignment vertical="center"/>
    </xf>
    <xf numFmtId="0" fontId="78" fillId="41" borderId="11" xfId="0" applyFont="1" applyFill="1" applyBorder="1" applyAlignment="1">
      <alignment horizontal="center" vertical="center"/>
    </xf>
    <xf numFmtId="0" fontId="78" fillId="41" borderId="9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 wrapText="1"/>
    </xf>
    <xf numFmtId="164" fontId="4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40" fillId="47" borderId="0" xfId="0" applyFont="1" applyFill="1" applyAlignment="1">
      <alignment horizontal="center" vertical="center" wrapText="1"/>
    </xf>
    <xf numFmtId="167" fontId="36" fillId="0" borderId="0" xfId="16" applyNumberFormat="1" applyFont="1"/>
    <xf numFmtId="0" fontId="41" fillId="48" borderId="9" xfId="0" applyFont="1" applyFill="1" applyBorder="1" applyAlignment="1">
      <alignment vertical="center"/>
    </xf>
    <xf numFmtId="1" fontId="0" fillId="48" borderId="9" xfId="0" applyNumberFormat="1" applyFill="1" applyBorder="1" applyAlignment="1">
      <alignment vertical="center"/>
    </xf>
    <xf numFmtId="164" fontId="0" fillId="48" borderId="9" xfId="0" applyNumberFormat="1" applyFill="1" applyBorder="1" applyAlignment="1">
      <alignment horizontal="center" vertical="center"/>
    </xf>
    <xf numFmtId="171" fontId="0" fillId="48" borderId="9" xfId="0" applyNumberFormat="1" applyFill="1" applyBorder="1" applyAlignment="1">
      <alignment horizontal="center" vertical="center"/>
    </xf>
    <xf numFmtId="9" fontId="0" fillId="48" borderId="9" xfId="0" applyNumberFormat="1" applyFill="1" applyBorder="1" applyAlignment="1">
      <alignment horizontal="center" vertical="center"/>
    </xf>
    <xf numFmtId="1" fontId="0" fillId="48" borderId="9" xfId="0" applyNumberFormat="1" applyFill="1" applyBorder="1" applyAlignment="1">
      <alignment horizontal="center"/>
    </xf>
    <xf numFmtId="1" fontId="0" fillId="48" borderId="9" xfId="0" applyNumberFormat="1" applyFill="1" applyBorder="1" applyAlignment="1">
      <alignment horizontal="center" vertical="center"/>
    </xf>
    <xf numFmtId="0" fontId="0" fillId="48" borderId="9" xfId="0" applyFill="1" applyBorder="1"/>
    <xf numFmtId="9" fontId="0" fillId="48" borderId="9" xfId="0" applyNumberFormat="1" applyFill="1" applyBorder="1" applyAlignment="1">
      <alignment horizontal="center"/>
    </xf>
    <xf numFmtId="3" fontId="0" fillId="48" borderId="9" xfId="0" applyNumberFormat="1" applyFill="1" applyBorder="1" applyAlignment="1">
      <alignment horizontal="center"/>
    </xf>
    <xf numFmtId="171" fontId="54" fillId="48" borderId="9" xfId="0" applyNumberFormat="1" applyFont="1" applyFill="1" applyBorder="1" applyAlignment="1">
      <alignment horizontal="center"/>
    </xf>
    <xf numFmtId="0" fontId="0" fillId="48" borderId="9" xfId="0" applyFill="1" applyBorder="1" applyAlignment="1">
      <alignment horizontal="center"/>
    </xf>
    <xf numFmtId="164" fontId="0" fillId="48" borderId="9" xfId="0" applyNumberFormat="1" applyFill="1" applyBorder="1" applyAlignment="1">
      <alignment horizontal="center"/>
    </xf>
    <xf numFmtId="0" fontId="0" fillId="48" borderId="0" xfId="0" applyFill="1"/>
    <xf numFmtId="0" fontId="41" fillId="48" borderId="7" xfId="0" applyFont="1" applyFill="1" applyBorder="1" applyAlignment="1">
      <alignment horizontal="center" vertical="center"/>
    </xf>
    <xf numFmtId="0" fontId="41" fillId="48" borderId="0" xfId="0" applyFont="1" applyFill="1" applyAlignment="1">
      <alignment horizontal="center" vertical="center"/>
    </xf>
    <xf numFmtId="0" fontId="54" fillId="48" borderId="9" xfId="0" applyFont="1" applyFill="1" applyBorder="1" applyAlignment="1">
      <alignment horizontal="left" vertical="center" wrapText="1"/>
    </xf>
    <xf numFmtId="164" fontId="54" fillId="48" borderId="9" xfId="0" applyNumberFormat="1" applyFont="1" applyFill="1" applyBorder="1" applyAlignment="1">
      <alignment horizontal="center" vertical="center"/>
    </xf>
    <xf numFmtId="164" fontId="58" fillId="48" borderId="9" xfId="0" applyNumberFormat="1" applyFont="1" applyFill="1" applyBorder="1" applyAlignment="1">
      <alignment horizontal="center" vertical="center"/>
    </xf>
    <xf numFmtId="0" fontId="56" fillId="48" borderId="9" xfId="0" applyFont="1" applyFill="1" applyBorder="1" applyAlignment="1">
      <alignment horizontal="left" vertical="center" wrapText="1"/>
    </xf>
    <xf numFmtId="164" fontId="56" fillId="48" borderId="9" xfId="0" applyNumberFormat="1" applyFont="1" applyFill="1" applyBorder="1" applyAlignment="1">
      <alignment horizontal="center" vertical="center"/>
    </xf>
    <xf numFmtId="0" fontId="56" fillId="48" borderId="9" xfId="0" applyFont="1" applyFill="1" applyBorder="1" applyAlignment="1">
      <alignment vertical="center" wrapText="1"/>
    </xf>
    <xf numFmtId="0" fontId="56" fillId="48" borderId="9" xfId="0" applyFont="1" applyFill="1" applyBorder="1"/>
    <xf numFmtId="164" fontId="79" fillId="45" borderId="9" xfId="0" applyNumberFormat="1" applyFont="1" applyFill="1" applyBorder="1" applyAlignment="1">
      <alignment horizontal="center" vertical="center"/>
    </xf>
    <xf numFmtId="168" fontId="79" fillId="45" borderId="9" xfId="0" applyNumberFormat="1" applyFont="1" applyFill="1" applyBorder="1" applyAlignment="1">
      <alignment horizontal="center" vertical="center"/>
    </xf>
    <xf numFmtId="0" fontId="37" fillId="49" borderId="1" xfId="6" applyFill="1" applyBorder="1" applyAlignment="1">
      <alignment horizontal="center" vertical="center" wrapText="1"/>
    </xf>
    <xf numFmtId="167" fontId="37" fillId="50" borderId="0" xfId="16" applyNumberFormat="1" applyFont="1" applyFill="1" applyAlignment="1">
      <alignment horizontal="center" vertical="center"/>
    </xf>
    <xf numFmtId="167" fontId="37" fillId="0" borderId="0" xfId="16" applyNumberFormat="1" applyFont="1" applyAlignment="1">
      <alignment horizontal="center" vertical="center"/>
    </xf>
    <xf numFmtId="167" fontId="37" fillId="0" borderId="0" xfId="16" applyNumberFormat="1" applyFont="1"/>
    <xf numFmtId="167" fontId="37" fillId="0" borderId="0" xfId="16" applyNumberFormat="1" applyFont="1" applyAlignment="1">
      <alignment horizontal="center"/>
    </xf>
    <xf numFmtId="167" fontId="37" fillId="0" borderId="8" xfId="16" applyNumberFormat="1" applyFont="1" applyBorder="1" applyAlignment="1">
      <alignment horizontal="center" vertical="center"/>
    </xf>
    <xf numFmtId="167" fontId="37" fillId="0" borderId="8" xfId="16" applyNumberFormat="1" applyFont="1" applyBorder="1"/>
    <xf numFmtId="166" fontId="36" fillId="0" borderId="0" xfId="16" applyNumberFormat="1" applyFont="1" applyFill="1"/>
    <xf numFmtId="166" fontId="36" fillId="0" borderId="0" xfId="16" applyNumberFormat="1" applyFont="1" applyFill="1" applyBorder="1"/>
    <xf numFmtId="14" fontId="80" fillId="0" borderId="0" xfId="0" applyNumberFormat="1" applyFont="1" applyAlignment="1">
      <alignment vertical="center" wrapText="1"/>
    </xf>
    <xf numFmtId="14" fontId="80" fillId="0" borderId="0" xfId="11" applyNumberFormat="1" applyFont="1" applyAlignment="1">
      <alignment horizontal="center" vertical="center" wrapText="1"/>
    </xf>
    <xf numFmtId="1" fontId="0" fillId="0" borderId="0" xfId="0" applyNumberFormat="1" applyAlignment="1">
      <alignment horizontal="center"/>
    </xf>
    <xf numFmtId="2" fontId="41" fillId="0" borderId="9" xfId="0" applyNumberFormat="1" applyFont="1" applyBorder="1" applyAlignment="1">
      <alignment horizontal="center"/>
    </xf>
    <xf numFmtId="174" fontId="36" fillId="0" borderId="9" xfId="16" applyNumberFormat="1" applyFont="1" applyBorder="1" applyAlignment="1">
      <alignment horizontal="center" vertical="center"/>
    </xf>
    <xf numFmtId="174" fontId="36" fillId="0" borderId="9" xfId="16" applyNumberFormat="1" applyFont="1" applyFill="1" applyBorder="1" applyAlignment="1">
      <alignment horizontal="center" vertical="center"/>
    </xf>
    <xf numFmtId="3" fontId="0" fillId="0" borderId="9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170" fontId="29" fillId="0" borderId="9" xfId="8" applyNumberFormat="1" applyFont="1" applyBorder="1" applyAlignment="1">
      <alignment horizontal="center" vertical="center" wrapText="1"/>
    </xf>
    <xf numFmtId="164" fontId="0" fillId="0" borderId="9" xfId="0" applyNumberFormat="1" applyBorder="1"/>
    <xf numFmtId="3" fontId="0" fillId="0" borderId="9" xfId="0" applyNumberFormat="1" applyBorder="1"/>
    <xf numFmtId="164" fontId="36" fillId="42" borderId="9" xfId="16" applyNumberFormat="1" applyFont="1" applyFill="1" applyBorder="1" applyAlignment="1">
      <alignment horizontal="center"/>
    </xf>
    <xf numFmtId="164" fontId="36" fillId="0" borderId="9" xfId="16" applyNumberFormat="1" applyFon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70" fontId="29" fillId="48" borderId="9" xfId="8" applyNumberFormat="1" applyFont="1" applyFill="1" applyBorder="1" applyAlignment="1">
      <alignment horizontal="center" vertical="center" wrapText="1"/>
    </xf>
    <xf numFmtId="2" fontId="41" fillId="48" borderId="9" xfId="0" applyNumberFormat="1" applyFont="1" applyFill="1" applyBorder="1" applyAlignment="1">
      <alignment horizontal="center"/>
    </xf>
    <xf numFmtId="174" fontId="41" fillId="48" borderId="9" xfId="16" applyNumberFormat="1" applyFont="1" applyFill="1" applyBorder="1" applyAlignment="1">
      <alignment horizontal="center" vertical="center"/>
    </xf>
    <xf numFmtId="3" fontId="29" fillId="48" borderId="9" xfId="0" applyNumberFormat="1" applyFont="1" applyFill="1" applyBorder="1" applyAlignment="1">
      <alignment horizontal="center" vertical="center" wrapText="1"/>
    </xf>
    <xf numFmtId="174" fontId="36" fillId="48" borderId="9" xfId="16" applyNumberFormat="1" applyFont="1" applyFill="1" applyBorder="1" applyAlignment="1">
      <alignment horizontal="center" vertical="center"/>
    </xf>
    <xf numFmtId="3" fontId="0" fillId="48" borderId="9" xfId="0" applyNumberFormat="1" applyFill="1" applyBorder="1" applyAlignment="1">
      <alignment horizontal="center" vertical="center"/>
    </xf>
    <xf numFmtId="164" fontId="36" fillId="48" borderId="9" xfId="16" applyNumberFormat="1" applyFont="1" applyFill="1" applyBorder="1" applyAlignment="1">
      <alignment horizontal="center" vertical="center"/>
    </xf>
    <xf numFmtId="173" fontId="36" fillId="48" borderId="9" xfId="16" applyNumberFormat="1" applyFont="1" applyFill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1" fontId="0" fillId="2" borderId="9" xfId="0" applyNumberFormat="1" applyFill="1" applyBorder="1" applyAlignment="1">
      <alignment horizontal="center"/>
    </xf>
    <xf numFmtId="0" fontId="67" fillId="0" borderId="0" xfId="0" applyFont="1" applyAlignment="1">
      <alignment horizontal="left" vertical="center" wrapText="1" readingOrder="1"/>
    </xf>
    <xf numFmtId="0" fontId="67" fillId="51" borderId="0" xfId="0" applyFont="1" applyFill="1" applyAlignment="1">
      <alignment horizontal="left" vertical="center" wrapText="1" readingOrder="1"/>
    </xf>
    <xf numFmtId="170" fontId="29" fillId="0" borderId="15" xfId="8" applyNumberFormat="1" applyFont="1" applyBorder="1" applyAlignment="1">
      <alignment horizontal="center" vertical="center" wrapText="1"/>
    </xf>
    <xf numFmtId="0" fontId="0" fillId="0" borderId="8" xfId="0" applyBorder="1"/>
    <xf numFmtId="166" fontId="36" fillId="0" borderId="0" xfId="16" applyNumberFormat="1" applyFont="1" applyBorder="1"/>
    <xf numFmtId="166" fontId="36" fillId="0" borderId="8" xfId="16" applyNumberFormat="1" applyFont="1" applyBorder="1"/>
    <xf numFmtId="167" fontId="36" fillId="0" borderId="8" xfId="16" applyNumberFormat="1" applyFont="1" applyBorder="1"/>
    <xf numFmtId="3" fontId="58" fillId="0" borderId="0" xfId="0" applyNumberFormat="1" applyFont="1" applyAlignment="1">
      <alignment horizontal="right" vertical="center"/>
    </xf>
    <xf numFmtId="0" fontId="58" fillId="0" borderId="9" xfId="0" applyFont="1" applyBorder="1" applyAlignment="1">
      <alignment vertical="center" wrapText="1"/>
    </xf>
    <xf numFmtId="2" fontId="0" fillId="0" borderId="0" xfId="0" applyNumberFormat="1" applyAlignment="1">
      <alignment horizontal="center"/>
    </xf>
    <xf numFmtId="0" fontId="40" fillId="0" borderId="0" xfId="0" applyFont="1" applyAlignment="1">
      <alignment horizontal="center" vertical="center" wrapText="1"/>
    </xf>
    <xf numFmtId="0" fontId="0" fillId="52" borderId="0" xfId="0" applyFill="1" applyAlignment="1">
      <alignment horizontal="center" vertical="center" wrapText="1"/>
    </xf>
    <xf numFmtId="174" fontId="0" fillId="0" borderId="0" xfId="0" applyNumberFormat="1" applyAlignment="1">
      <alignment horizontal="center"/>
    </xf>
    <xf numFmtId="1" fontId="81" fillId="0" borderId="0" xfId="0" applyNumberFormat="1" applyFont="1" applyAlignment="1">
      <alignment horizontal="right" vertical="center"/>
    </xf>
    <xf numFmtId="1" fontId="81" fillId="0" borderId="0" xfId="16" applyNumberFormat="1" applyFont="1" applyAlignment="1">
      <alignment horizontal="right" vertical="center"/>
    </xf>
    <xf numFmtId="1" fontId="81" fillId="0" borderId="0" xfId="0" applyNumberFormat="1" applyFont="1" applyAlignment="1">
      <alignment horizontal="right"/>
    </xf>
    <xf numFmtId="0" fontId="41" fillId="48" borderId="9" xfId="0" applyFont="1" applyFill="1" applyBorder="1" applyAlignment="1">
      <alignment vertical="center" wrapText="1"/>
    </xf>
    <xf numFmtId="10" fontId="40" fillId="44" borderId="12" xfId="0" applyNumberFormat="1" applyFont="1" applyFill="1" applyBorder="1" applyAlignment="1">
      <alignment horizontal="center" vertical="center"/>
    </xf>
    <xf numFmtId="1" fontId="37" fillId="0" borderId="0" xfId="6" applyNumberFormat="1" applyAlignment="1">
      <alignment horizontal="center" vertical="center"/>
    </xf>
    <xf numFmtId="1" fontId="37" fillId="50" borderId="0" xfId="6" applyNumberFormat="1" applyFill="1" applyAlignment="1">
      <alignment horizontal="center" vertical="center"/>
    </xf>
    <xf numFmtId="166" fontId="47" fillId="0" borderId="0" xfId="16" applyNumberFormat="1" applyFont="1" applyBorder="1" applyAlignment="1">
      <alignment horizontal="center" vertical="center" wrapText="1" readingOrder="1"/>
    </xf>
    <xf numFmtId="43" fontId="47" fillId="0" borderId="0" xfId="16" applyFont="1" applyBorder="1" applyAlignment="1">
      <alignment horizontal="center" vertical="center" wrapText="1" readingOrder="1"/>
    </xf>
    <xf numFmtId="166" fontId="44" fillId="0" borderId="0" xfId="16" applyNumberFormat="1" applyFont="1" applyBorder="1" applyAlignment="1">
      <alignment horizontal="center" vertical="center" wrapText="1" readingOrder="1"/>
    </xf>
    <xf numFmtId="1" fontId="0" fillId="0" borderId="7" xfId="0" applyNumberFormat="1" applyBorder="1"/>
    <xf numFmtId="1" fontId="36" fillId="0" borderId="0" xfId="16" applyNumberFormat="1" applyFont="1"/>
    <xf numFmtId="3" fontId="23" fillId="0" borderId="10" xfId="0" applyNumberFormat="1" applyFont="1" applyBorder="1" applyAlignment="1">
      <alignment vertical="center"/>
    </xf>
    <xf numFmtId="3" fontId="24" fillId="0" borderId="10" xfId="0" applyNumberFormat="1" applyFont="1" applyBorder="1" applyAlignment="1">
      <alignment vertical="center"/>
    </xf>
    <xf numFmtId="1" fontId="0" fillId="0" borderId="10" xfId="0" applyNumberFormat="1" applyBorder="1"/>
    <xf numFmtId="0" fontId="78" fillId="41" borderId="10" xfId="0" applyFont="1" applyFill="1" applyBorder="1" applyAlignment="1">
      <alignment horizontal="center" vertical="center"/>
    </xf>
    <xf numFmtId="3" fontId="58" fillId="0" borderId="9" xfId="0" applyNumberFormat="1" applyFont="1" applyBorder="1" applyAlignment="1">
      <alignment horizontal="center" vertical="center"/>
    </xf>
    <xf numFmtId="0" fontId="72" fillId="0" borderId="9" xfId="0" applyFont="1" applyBorder="1" applyAlignment="1">
      <alignment vertical="center"/>
    </xf>
    <xf numFmtId="0" fontId="72" fillId="0" borderId="9" xfId="0" applyFont="1" applyBorder="1"/>
    <xf numFmtId="0" fontId="67" fillId="0" borderId="0" xfId="0" applyFont="1" applyAlignment="1">
      <alignment horizontal="right" vertical="center" wrapText="1" readingOrder="1"/>
    </xf>
    <xf numFmtId="3" fontId="24" fillId="42" borderId="9" xfId="0" applyNumberFormat="1" applyFont="1" applyFill="1" applyBorder="1" applyAlignment="1">
      <alignment vertical="center"/>
    </xf>
    <xf numFmtId="3" fontId="24" fillId="42" borderId="10" xfId="0" applyNumberFormat="1" applyFont="1" applyFill="1" applyBorder="1" applyAlignment="1">
      <alignment vertical="center"/>
    </xf>
    <xf numFmtId="0" fontId="65" fillId="42" borderId="38" xfId="0" applyFont="1" applyFill="1" applyBorder="1" applyAlignment="1">
      <alignment horizontal="left" vertical="center" wrapText="1" readingOrder="1"/>
    </xf>
    <xf numFmtId="0" fontId="66" fillId="42" borderId="39" xfId="0" applyFont="1" applyFill="1" applyBorder="1" applyAlignment="1">
      <alignment horizontal="right" vertical="center" wrapText="1" readingOrder="1"/>
    </xf>
    <xf numFmtId="0" fontId="66" fillId="42" borderId="40" xfId="0" applyFont="1" applyFill="1" applyBorder="1" applyAlignment="1">
      <alignment horizontal="right" vertical="center" wrapText="1" readingOrder="1"/>
    </xf>
    <xf numFmtId="0" fontId="82" fillId="41" borderId="0" xfId="0" applyFont="1" applyFill="1" applyAlignment="1">
      <alignment vertical="center"/>
    </xf>
    <xf numFmtId="43" fontId="36" fillId="0" borderId="8" xfId="16" applyFont="1" applyBorder="1"/>
    <xf numFmtId="2" fontId="39" fillId="0" borderId="0" xfId="4" applyNumberFormat="1" applyAlignment="1">
      <alignment horizontal="center"/>
    </xf>
    <xf numFmtId="0" fontId="0" fillId="0" borderId="0" xfId="0" applyAlignment="1">
      <alignment horizontal="center" vertical="center"/>
    </xf>
    <xf numFmtId="0" fontId="58" fillId="46" borderId="9" xfId="0" applyFont="1" applyFill="1" applyBorder="1" applyAlignment="1">
      <alignment horizontal="center" vertical="center"/>
    </xf>
    <xf numFmtId="0" fontId="78" fillId="41" borderId="11" xfId="0" applyFont="1" applyFill="1" applyBorder="1" applyAlignment="1">
      <alignment vertical="center"/>
    </xf>
    <xf numFmtId="0" fontId="78" fillId="41" borderId="9" xfId="0" applyFont="1" applyFill="1" applyBorder="1" applyAlignment="1">
      <alignment vertical="center"/>
    </xf>
    <xf numFmtId="3" fontId="41" fillId="0" borderId="0" xfId="0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1" fontId="36" fillId="0" borderId="0" xfId="16" applyNumberFormat="1" applyFont="1" applyAlignment="1">
      <alignment horizontal="center"/>
    </xf>
    <xf numFmtId="167" fontId="0" fillId="0" borderId="0" xfId="0" applyNumberFormat="1" applyAlignment="1">
      <alignment horizontal="center"/>
    </xf>
    <xf numFmtId="1" fontId="59" fillId="0" borderId="0" xfId="0" applyNumberFormat="1" applyFont="1" applyAlignment="1">
      <alignment horizontal="center"/>
    </xf>
    <xf numFmtId="3" fontId="23" fillId="0" borderId="9" xfId="0" applyNumberFormat="1" applyFont="1" applyBorder="1" applyAlignment="1">
      <alignment horizontal="center"/>
    </xf>
    <xf numFmtId="3" fontId="23" fillId="0" borderId="9" xfId="0" applyNumberFormat="1" applyFont="1" applyBorder="1" applyAlignment="1">
      <alignment horizontal="center" vertical="center"/>
    </xf>
    <xf numFmtId="3" fontId="23" fillId="0" borderId="11" xfId="0" applyNumberFormat="1" applyFont="1" applyBorder="1" applyAlignment="1">
      <alignment horizontal="center" vertical="center"/>
    </xf>
    <xf numFmtId="3" fontId="24" fillId="0" borderId="9" xfId="0" applyNumberFormat="1" applyFont="1" applyBorder="1" applyAlignment="1">
      <alignment horizontal="center" vertical="center"/>
    </xf>
    <xf numFmtId="1" fontId="83" fillId="0" borderId="9" xfId="0" applyNumberFormat="1" applyFont="1" applyBorder="1" applyAlignment="1">
      <alignment horizontal="center"/>
    </xf>
    <xf numFmtId="3" fontId="61" fillId="41" borderId="7" xfId="0" applyNumberFormat="1" applyFont="1" applyFill="1" applyBorder="1" applyAlignment="1">
      <alignment horizontal="center" vertical="center"/>
    </xf>
    <xf numFmtId="0" fontId="78" fillId="41" borderId="10" xfId="0" applyFont="1" applyFill="1" applyBorder="1" applyAlignment="1">
      <alignment vertical="center"/>
    </xf>
    <xf numFmtId="3" fontId="23" fillId="0" borderId="10" xfId="0" applyNumberFormat="1" applyFont="1" applyBorder="1" applyAlignment="1">
      <alignment horizontal="center"/>
    </xf>
    <xf numFmtId="3" fontId="23" fillId="0" borderId="10" xfId="0" applyNumberFormat="1" applyFont="1" applyBorder="1" applyAlignment="1">
      <alignment horizontal="center" vertical="center"/>
    </xf>
    <xf numFmtId="3" fontId="23" fillId="0" borderId="16" xfId="0" applyNumberFormat="1" applyFont="1" applyBorder="1" applyAlignment="1">
      <alignment horizontal="center" vertical="center"/>
    </xf>
    <xf numFmtId="3" fontId="24" fillId="0" borderId="10" xfId="0" applyNumberFormat="1" applyFont="1" applyBorder="1" applyAlignment="1">
      <alignment horizontal="center" vertical="center"/>
    </xf>
    <xf numFmtId="1" fontId="83" fillId="0" borderId="10" xfId="0" applyNumberFormat="1" applyFont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3" fontId="40" fillId="44" borderId="6" xfId="0" applyNumberFormat="1" applyFont="1" applyFill="1" applyBorder="1" applyAlignment="1">
      <alignment horizontal="center" vertical="center"/>
    </xf>
    <xf numFmtId="168" fontId="0" fillId="0" borderId="10" xfId="0" applyNumberFormat="1" applyBorder="1" applyAlignment="1">
      <alignment horizontal="center" vertical="center"/>
    </xf>
    <xf numFmtId="3" fontId="60" fillId="44" borderId="10" xfId="0" applyNumberFormat="1" applyFont="1" applyFill="1" applyBorder="1" applyAlignment="1">
      <alignment horizontal="center" vertical="center"/>
    </xf>
    <xf numFmtId="168" fontId="79" fillId="45" borderId="10" xfId="0" applyNumberFormat="1" applyFont="1" applyFill="1" applyBorder="1" applyAlignment="1">
      <alignment horizontal="center" vertical="center"/>
    </xf>
    <xf numFmtId="0" fontId="41" fillId="43" borderId="10" xfId="0" applyFont="1" applyFill="1" applyBorder="1" applyAlignment="1">
      <alignment horizontal="center" vertical="center"/>
    </xf>
    <xf numFmtId="9" fontId="0" fillId="48" borderId="10" xfId="0" applyNumberFormat="1" applyFill="1" applyBorder="1" applyAlignment="1">
      <alignment horizontal="center" vertical="center"/>
    </xf>
    <xf numFmtId="164" fontId="0" fillId="48" borderId="10" xfId="0" applyNumberFormat="1" applyFill="1" applyBorder="1" applyAlignment="1">
      <alignment horizontal="center" vertical="center"/>
    </xf>
    <xf numFmtId="9" fontId="0" fillId="48" borderId="10" xfId="0" applyNumberFormat="1" applyFill="1" applyBorder="1" applyAlignment="1">
      <alignment horizontal="center"/>
    </xf>
    <xf numFmtId="3" fontId="0" fillId="48" borderId="10" xfId="0" applyNumberFormat="1" applyFill="1" applyBorder="1" applyAlignment="1">
      <alignment horizontal="center"/>
    </xf>
    <xf numFmtId="164" fontId="0" fillId="48" borderId="10" xfId="0" applyNumberFormat="1" applyFill="1" applyBorder="1" applyAlignment="1">
      <alignment horizontal="center"/>
    </xf>
    <xf numFmtId="164" fontId="58" fillId="48" borderId="10" xfId="0" applyNumberFormat="1" applyFont="1" applyFill="1" applyBorder="1" applyAlignment="1">
      <alignment horizontal="center" vertical="center"/>
    </xf>
    <xf numFmtId="164" fontId="56" fillId="48" borderId="10" xfId="0" applyNumberFormat="1" applyFont="1" applyFill="1" applyBorder="1" applyAlignment="1">
      <alignment horizontal="center" vertical="center"/>
    </xf>
    <xf numFmtId="164" fontId="43" fillId="0" borderId="10" xfId="0" applyNumberFormat="1" applyFont="1" applyBorder="1" applyAlignment="1">
      <alignment horizontal="center"/>
    </xf>
    <xf numFmtId="164" fontId="57" fillId="0" borderId="10" xfId="0" applyNumberFormat="1" applyFont="1" applyBorder="1" applyAlignment="1">
      <alignment horizontal="center"/>
    </xf>
    <xf numFmtId="3" fontId="24" fillId="42" borderId="11" xfId="0" applyNumberFormat="1" applyFont="1" applyFill="1" applyBorder="1" applyAlignment="1">
      <alignment vertical="center"/>
    </xf>
    <xf numFmtId="3" fontId="40" fillId="44" borderId="17" xfId="0" applyNumberFormat="1" applyFont="1" applyFill="1" applyBorder="1" applyAlignment="1">
      <alignment horizontal="center" vertical="center"/>
    </xf>
    <xf numFmtId="168" fontId="0" fillId="0" borderId="11" xfId="0" applyNumberFormat="1" applyBorder="1" applyAlignment="1">
      <alignment horizontal="center" vertical="center"/>
    </xf>
    <xf numFmtId="3" fontId="60" fillId="44" borderId="11" xfId="0" applyNumberFormat="1" applyFont="1" applyFill="1" applyBorder="1" applyAlignment="1">
      <alignment horizontal="center" vertical="center"/>
    </xf>
    <xf numFmtId="168" fontId="79" fillId="45" borderId="11" xfId="0" applyNumberFormat="1" applyFont="1" applyFill="1" applyBorder="1" applyAlignment="1">
      <alignment horizontal="center" vertical="center"/>
    </xf>
    <xf numFmtId="0" fontId="41" fillId="43" borderId="11" xfId="0" applyFont="1" applyFill="1" applyBorder="1" applyAlignment="1">
      <alignment horizontal="center" vertical="center"/>
    </xf>
    <xf numFmtId="9" fontId="0" fillId="48" borderId="11" xfId="0" applyNumberFormat="1" applyFill="1" applyBorder="1" applyAlignment="1">
      <alignment horizontal="center" vertical="center"/>
    </xf>
    <xf numFmtId="164" fontId="0" fillId="48" borderId="11" xfId="0" applyNumberFormat="1" applyFill="1" applyBorder="1" applyAlignment="1">
      <alignment horizontal="center" vertical="center"/>
    </xf>
    <xf numFmtId="9" fontId="0" fillId="48" borderId="11" xfId="0" applyNumberFormat="1" applyFill="1" applyBorder="1" applyAlignment="1">
      <alignment horizontal="center"/>
    </xf>
    <xf numFmtId="3" fontId="0" fillId="48" borderId="11" xfId="0" applyNumberFormat="1" applyFill="1" applyBorder="1" applyAlignment="1">
      <alignment horizontal="center"/>
    </xf>
    <xf numFmtId="164" fontId="0" fillId="48" borderId="11" xfId="0" applyNumberFormat="1" applyFill="1" applyBorder="1" applyAlignment="1">
      <alignment horizontal="center"/>
    </xf>
    <xf numFmtId="164" fontId="58" fillId="48" borderId="11" xfId="0" applyNumberFormat="1" applyFont="1" applyFill="1" applyBorder="1" applyAlignment="1">
      <alignment horizontal="center" vertical="center"/>
    </xf>
    <xf numFmtId="164" fontId="56" fillId="48" borderId="11" xfId="0" applyNumberFormat="1" applyFont="1" applyFill="1" applyBorder="1" applyAlignment="1">
      <alignment horizontal="center" vertical="center"/>
    </xf>
    <xf numFmtId="164" fontId="43" fillId="0" borderId="11" xfId="0" applyNumberFormat="1" applyFont="1" applyBorder="1" applyAlignment="1">
      <alignment horizontal="center"/>
    </xf>
    <xf numFmtId="164" fontId="57" fillId="0" borderId="11" xfId="0" applyNumberFormat="1" applyFont="1" applyBorder="1" applyAlignment="1">
      <alignment horizontal="center"/>
    </xf>
    <xf numFmtId="0" fontId="0" fillId="0" borderId="18" xfId="0" applyBorder="1"/>
    <xf numFmtId="0" fontId="0" fillId="0" borderId="19" xfId="0" applyBorder="1"/>
    <xf numFmtId="1" fontId="81" fillId="0" borderId="19" xfId="0" applyNumberFormat="1" applyFont="1" applyBorder="1" applyAlignment="1">
      <alignment horizontal="right" vertical="center"/>
    </xf>
    <xf numFmtId="1" fontId="0" fillId="0" borderId="19" xfId="0" applyNumberFormat="1" applyBorder="1"/>
    <xf numFmtId="167" fontId="36" fillId="0" borderId="19" xfId="16" applyNumberFormat="1" applyFont="1" applyBorder="1"/>
    <xf numFmtId="1" fontId="0" fillId="0" borderId="19" xfId="0" applyNumberFormat="1" applyBorder="1" applyAlignment="1">
      <alignment horizontal="center" vertical="center"/>
    </xf>
    <xf numFmtId="0" fontId="78" fillId="41" borderId="20" xfId="0" applyFont="1" applyFill="1" applyBorder="1" applyAlignment="1">
      <alignment vertical="center"/>
    </xf>
    <xf numFmtId="0" fontId="78" fillId="41" borderId="20" xfId="0" applyFont="1" applyFill="1" applyBorder="1" applyAlignment="1">
      <alignment horizontal="center" vertical="center"/>
    </xf>
    <xf numFmtId="1" fontId="78" fillId="41" borderId="19" xfId="0" applyNumberFormat="1" applyFont="1" applyFill="1" applyBorder="1" applyAlignment="1">
      <alignment horizontal="center" vertical="center"/>
    </xf>
    <xf numFmtId="3" fontId="41" fillId="0" borderId="19" xfId="0" applyNumberFormat="1" applyFont="1" applyBorder="1" applyAlignment="1">
      <alignment horizontal="center"/>
    </xf>
    <xf numFmtId="3" fontId="0" fillId="0" borderId="19" xfId="0" applyNumberFormat="1" applyBorder="1" applyAlignment="1">
      <alignment horizontal="center"/>
    </xf>
    <xf numFmtId="1" fontId="36" fillId="0" borderId="19" xfId="16" applyNumberFormat="1" applyFont="1" applyBorder="1" applyAlignment="1">
      <alignment horizontal="center"/>
    </xf>
    <xf numFmtId="1" fontId="76" fillId="41" borderId="19" xfId="0" applyNumberFormat="1" applyFont="1" applyFill="1" applyBorder="1" applyAlignment="1">
      <alignment horizontal="center"/>
    </xf>
    <xf numFmtId="167" fontId="0" fillId="0" borderId="19" xfId="0" applyNumberFormat="1" applyBorder="1" applyAlignment="1">
      <alignment horizontal="center"/>
    </xf>
    <xf numFmtId="1" fontId="59" fillId="0" borderId="19" xfId="0" applyNumberFormat="1" applyFon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3" fontId="62" fillId="41" borderId="19" xfId="0" applyNumberFormat="1" applyFont="1" applyFill="1" applyBorder="1" applyAlignment="1">
      <alignment horizontal="center" vertical="center"/>
    </xf>
    <xf numFmtId="3" fontId="23" fillId="0" borderId="20" xfId="0" applyNumberFormat="1" applyFont="1" applyBorder="1" applyAlignment="1">
      <alignment horizontal="center"/>
    </xf>
    <xf numFmtId="3" fontId="23" fillId="0" borderId="20" xfId="0" applyNumberFormat="1" applyFont="1" applyBorder="1" applyAlignment="1">
      <alignment horizontal="center" vertical="center"/>
    </xf>
    <xf numFmtId="3" fontId="24" fillId="0" borderId="20" xfId="0" applyNumberFormat="1" applyFont="1" applyBorder="1" applyAlignment="1">
      <alignment horizontal="center" vertical="center"/>
    </xf>
    <xf numFmtId="1" fontId="83" fillId="0" borderId="20" xfId="0" applyNumberFormat="1" applyFont="1" applyBorder="1" applyAlignment="1">
      <alignment horizontal="center"/>
    </xf>
    <xf numFmtId="3" fontId="61" fillId="41" borderId="19" xfId="0" applyNumberFormat="1" applyFont="1" applyFill="1" applyBorder="1" applyAlignment="1">
      <alignment horizontal="center" vertical="center"/>
    </xf>
    <xf numFmtId="1" fontId="0" fillId="0" borderId="20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3" fontId="24" fillId="42" borderId="20" xfId="0" applyNumberFormat="1" applyFont="1" applyFill="1" applyBorder="1" applyAlignment="1">
      <alignment horizontal="center" vertical="center"/>
    </xf>
    <xf numFmtId="3" fontId="24" fillId="0" borderId="19" xfId="0" applyNumberFormat="1" applyFont="1" applyBorder="1" applyAlignment="1">
      <alignment horizontal="center" vertical="center"/>
    </xf>
    <xf numFmtId="3" fontId="28" fillId="0" borderId="19" xfId="0" applyNumberFormat="1" applyFont="1" applyBorder="1" applyAlignment="1">
      <alignment horizontal="center" vertical="center"/>
    </xf>
    <xf numFmtId="3" fontId="22" fillId="42" borderId="19" xfId="0" applyNumberFormat="1" applyFont="1" applyFill="1" applyBorder="1" applyAlignment="1">
      <alignment horizontal="center" vertical="center"/>
    </xf>
    <xf numFmtId="1" fontId="0" fillId="42" borderId="19" xfId="0" applyNumberFormat="1" applyFill="1" applyBorder="1" applyAlignment="1">
      <alignment horizontal="center"/>
    </xf>
    <xf numFmtId="3" fontId="24" fillId="42" borderId="21" xfId="0" applyNumberFormat="1" applyFont="1" applyFill="1" applyBorder="1" applyAlignment="1">
      <alignment horizontal="center" vertical="center"/>
    </xf>
    <xf numFmtId="3" fontId="40" fillId="44" borderId="22" xfId="0" applyNumberFormat="1" applyFont="1" applyFill="1" applyBorder="1" applyAlignment="1">
      <alignment horizontal="center" vertical="center"/>
    </xf>
    <xf numFmtId="168" fontId="0" fillId="0" borderId="20" xfId="0" applyNumberFormat="1" applyBorder="1" applyAlignment="1">
      <alignment horizontal="center" vertical="center"/>
    </xf>
    <xf numFmtId="3" fontId="60" fillId="44" borderId="20" xfId="0" applyNumberFormat="1" applyFont="1" applyFill="1" applyBorder="1" applyAlignment="1">
      <alignment horizontal="center" vertical="center"/>
    </xf>
    <xf numFmtId="3" fontId="0" fillId="0" borderId="19" xfId="0" applyNumberFormat="1" applyBorder="1" applyAlignment="1">
      <alignment horizontal="center" vertical="center"/>
    </xf>
    <xf numFmtId="168" fontId="79" fillId="45" borderId="20" xfId="0" applyNumberFormat="1" applyFont="1" applyFill="1" applyBorder="1" applyAlignment="1">
      <alignment horizontal="center" vertical="center"/>
    </xf>
    <xf numFmtId="0" fontId="41" fillId="43" borderId="20" xfId="0" applyFont="1" applyFill="1" applyBorder="1" applyAlignment="1">
      <alignment horizontal="center" vertical="center"/>
    </xf>
    <xf numFmtId="9" fontId="0" fillId="48" borderId="20" xfId="0" applyNumberFormat="1" applyFill="1" applyBorder="1" applyAlignment="1">
      <alignment horizontal="center" vertical="center"/>
    </xf>
    <xf numFmtId="164" fontId="0" fillId="48" borderId="20" xfId="0" applyNumberFormat="1" applyFill="1" applyBorder="1" applyAlignment="1">
      <alignment horizontal="center" vertical="center"/>
    </xf>
    <xf numFmtId="9" fontId="0" fillId="48" borderId="20" xfId="0" applyNumberFormat="1" applyFill="1" applyBorder="1" applyAlignment="1">
      <alignment horizontal="center"/>
    </xf>
    <xf numFmtId="3" fontId="0" fillId="48" borderId="20" xfId="0" applyNumberFormat="1" applyFill="1" applyBorder="1" applyAlignment="1">
      <alignment horizontal="center"/>
    </xf>
    <xf numFmtId="164" fontId="0" fillId="48" borderId="20" xfId="0" applyNumberFormat="1" applyFill="1" applyBorder="1" applyAlignment="1">
      <alignment horizontal="center"/>
    </xf>
    <xf numFmtId="0" fontId="41" fillId="48" borderId="19" xfId="0" applyFont="1" applyFill="1" applyBorder="1" applyAlignment="1">
      <alignment horizontal="center" vertical="center"/>
    </xf>
    <xf numFmtId="164" fontId="58" fillId="48" borderId="20" xfId="0" applyNumberFormat="1" applyFont="1" applyFill="1" applyBorder="1" applyAlignment="1">
      <alignment horizontal="center" vertical="center"/>
    </xf>
    <xf numFmtId="164" fontId="56" fillId="48" borderId="20" xfId="0" applyNumberFormat="1" applyFont="1" applyFill="1" applyBorder="1" applyAlignment="1">
      <alignment horizontal="center" vertical="center"/>
    </xf>
    <xf numFmtId="164" fontId="0" fillId="0" borderId="19" xfId="0" applyNumberFormat="1" applyBorder="1" applyAlignment="1">
      <alignment horizontal="center"/>
    </xf>
    <xf numFmtId="164" fontId="43" fillId="0" borderId="20" xfId="0" applyNumberFormat="1" applyFont="1" applyBorder="1" applyAlignment="1">
      <alignment horizontal="center"/>
    </xf>
    <xf numFmtId="164" fontId="57" fillId="0" borderId="20" xfId="0" applyNumberFormat="1" applyFont="1" applyBorder="1" applyAlignment="1">
      <alignment horizontal="center"/>
    </xf>
    <xf numFmtId="167" fontId="84" fillId="0" borderId="0" xfId="0" applyNumberFormat="1" applyFont="1"/>
    <xf numFmtId="0" fontId="41" fillId="0" borderId="0" xfId="0" applyFont="1" applyAlignment="1">
      <alignment horizontal="center" vertical="center"/>
    </xf>
    <xf numFmtId="166" fontId="41" fillId="0" borderId="0" xfId="16" applyNumberFormat="1" applyFont="1" applyAlignment="1">
      <alignment horizontal="center" vertical="center"/>
    </xf>
    <xf numFmtId="3" fontId="85" fillId="53" borderId="9" xfId="0" applyNumberFormat="1" applyFont="1" applyFill="1" applyBorder="1" applyAlignment="1">
      <alignment horizontal="center" vertical="center"/>
    </xf>
    <xf numFmtId="167" fontId="36" fillId="0" borderId="0" xfId="16" applyNumberFormat="1" applyFont="1" applyBorder="1"/>
    <xf numFmtId="0" fontId="78" fillId="41" borderId="16" xfId="0" applyFont="1" applyFill="1" applyBorder="1" applyAlignment="1">
      <alignment vertical="center"/>
    </xf>
    <xf numFmtId="0" fontId="78" fillId="41" borderId="16" xfId="0" applyFont="1" applyFill="1" applyBorder="1" applyAlignment="1">
      <alignment horizontal="center" vertical="center"/>
    </xf>
    <xf numFmtId="1" fontId="36" fillId="0" borderId="0" xfId="16" applyNumberFormat="1" applyFont="1" applyBorder="1" applyAlignment="1">
      <alignment horizontal="center"/>
    </xf>
    <xf numFmtId="3" fontId="24" fillId="0" borderId="16" xfId="0" applyNumberFormat="1" applyFont="1" applyBorder="1" applyAlignment="1">
      <alignment horizontal="center" vertical="center"/>
    </xf>
    <xf numFmtId="1" fontId="83" fillId="0" borderId="16" xfId="0" applyNumberFormat="1" applyFon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3" fontId="24" fillId="42" borderId="16" xfId="0" applyNumberFormat="1" applyFont="1" applyFill="1" applyBorder="1" applyAlignment="1">
      <alignment horizontal="center" vertical="center"/>
    </xf>
    <xf numFmtId="3" fontId="24" fillId="0" borderId="0" xfId="0" applyNumberFormat="1" applyFont="1" applyAlignment="1">
      <alignment horizontal="center" vertical="center"/>
    </xf>
    <xf numFmtId="3" fontId="28" fillId="0" borderId="0" xfId="0" applyNumberFormat="1" applyFont="1" applyAlignment="1">
      <alignment horizontal="center" vertical="center"/>
    </xf>
    <xf numFmtId="1" fontId="0" fillId="42" borderId="0" xfId="0" applyNumberFormat="1" applyFill="1" applyAlignment="1">
      <alignment horizontal="center"/>
    </xf>
    <xf numFmtId="3" fontId="40" fillId="44" borderId="23" xfId="0" applyNumberFormat="1" applyFont="1" applyFill="1" applyBorder="1" applyAlignment="1">
      <alignment horizontal="center" vertical="center"/>
    </xf>
    <xf numFmtId="168" fontId="0" fillId="0" borderId="16" xfId="0" applyNumberFormat="1" applyBorder="1" applyAlignment="1">
      <alignment horizontal="center" vertical="center"/>
    </xf>
    <xf numFmtId="3" fontId="60" fillId="44" borderId="0" xfId="0" applyNumberFormat="1" applyFont="1" applyFill="1" applyAlignment="1">
      <alignment horizontal="center" vertical="center"/>
    </xf>
    <xf numFmtId="3" fontId="85" fillId="53" borderId="11" xfId="0" applyNumberFormat="1" applyFont="1" applyFill="1" applyBorder="1" applyAlignment="1">
      <alignment horizontal="center" vertical="center"/>
    </xf>
    <xf numFmtId="168" fontId="79" fillId="45" borderId="16" xfId="0" applyNumberFormat="1" applyFont="1" applyFill="1" applyBorder="1" applyAlignment="1">
      <alignment horizontal="center" vertical="center"/>
    </xf>
    <xf numFmtId="0" fontId="41" fillId="43" borderId="16" xfId="0" applyFont="1" applyFill="1" applyBorder="1" applyAlignment="1">
      <alignment horizontal="center" vertical="center"/>
    </xf>
    <xf numFmtId="9" fontId="0" fillId="48" borderId="16" xfId="0" applyNumberFormat="1" applyFill="1" applyBorder="1" applyAlignment="1">
      <alignment horizontal="center" vertical="center"/>
    </xf>
    <xf numFmtId="164" fontId="0" fillId="48" borderId="16" xfId="0" applyNumberFormat="1" applyFill="1" applyBorder="1" applyAlignment="1">
      <alignment horizontal="center" vertical="center"/>
    </xf>
    <xf numFmtId="9" fontId="0" fillId="48" borderId="16" xfId="0" applyNumberFormat="1" applyFill="1" applyBorder="1" applyAlignment="1">
      <alignment horizontal="center"/>
    </xf>
    <xf numFmtId="3" fontId="0" fillId="48" borderId="16" xfId="0" applyNumberFormat="1" applyFill="1" applyBorder="1" applyAlignment="1">
      <alignment horizontal="center"/>
    </xf>
    <xf numFmtId="164" fontId="0" fillId="48" borderId="0" xfId="0" applyNumberFormat="1" applyFill="1" applyAlignment="1">
      <alignment horizontal="center"/>
    </xf>
    <xf numFmtId="164" fontId="58" fillId="48" borderId="16" xfId="0" applyNumberFormat="1" applyFont="1" applyFill="1" applyBorder="1" applyAlignment="1">
      <alignment horizontal="center" vertical="center"/>
    </xf>
    <xf numFmtId="164" fontId="56" fillId="48" borderId="16" xfId="0" applyNumberFormat="1" applyFont="1" applyFill="1" applyBorder="1" applyAlignment="1">
      <alignment horizontal="center" vertical="center"/>
    </xf>
    <xf numFmtId="164" fontId="56" fillId="48" borderId="0" xfId="0" applyNumberFormat="1" applyFont="1" applyFill="1" applyAlignment="1">
      <alignment horizontal="center" vertical="center"/>
    </xf>
    <xf numFmtId="164" fontId="43" fillId="0" borderId="16" xfId="0" applyNumberFormat="1" applyFont="1" applyBorder="1" applyAlignment="1">
      <alignment horizontal="center"/>
    </xf>
    <xf numFmtId="164" fontId="43" fillId="0" borderId="0" xfId="0" applyNumberFormat="1" applyFont="1" applyAlignment="1">
      <alignment horizontal="center"/>
    </xf>
    <xf numFmtId="164" fontId="57" fillId="0" borderId="16" xfId="0" applyNumberFormat="1" applyFont="1" applyBorder="1" applyAlignment="1">
      <alignment horizontal="center"/>
    </xf>
    <xf numFmtId="164" fontId="57" fillId="0" borderId="0" xfId="0" applyNumberFormat="1" applyFont="1" applyAlignment="1">
      <alignment horizontal="center"/>
    </xf>
    <xf numFmtId="0" fontId="86" fillId="41" borderId="11" xfId="0" applyFont="1" applyFill="1" applyBorder="1" applyAlignment="1">
      <alignment horizontal="center" vertical="center"/>
    </xf>
    <xf numFmtId="0" fontId="86" fillId="41" borderId="9" xfId="0" applyFont="1" applyFill="1" applyBorder="1" applyAlignment="1">
      <alignment horizontal="center" vertical="center"/>
    </xf>
    <xf numFmtId="0" fontId="86" fillId="41" borderId="12" xfId="0" applyFont="1" applyFill="1" applyBorder="1" applyAlignment="1">
      <alignment horizontal="center" vertical="center"/>
    </xf>
    <xf numFmtId="1" fontId="86" fillId="41" borderId="0" xfId="0" applyNumberFormat="1" applyFont="1" applyFill="1" applyAlignment="1">
      <alignment horizontal="center" vertical="center"/>
    </xf>
    <xf numFmtId="0" fontId="86" fillId="41" borderId="0" xfId="0" applyFont="1" applyFill="1" applyAlignment="1">
      <alignment horizontal="center" vertical="center"/>
    </xf>
    <xf numFmtId="1" fontId="87" fillId="41" borderId="0" xfId="0" applyNumberFormat="1" applyFont="1" applyFill="1" applyAlignment="1">
      <alignment horizontal="center" vertical="center"/>
    </xf>
    <xf numFmtId="1" fontId="86" fillId="0" borderId="9" xfId="0" applyNumberFormat="1" applyFont="1" applyBorder="1" applyAlignment="1">
      <alignment horizontal="center" vertical="center"/>
    </xf>
    <xf numFmtId="0" fontId="86" fillId="0" borderId="9" xfId="0" applyFont="1" applyBorder="1" applyAlignment="1">
      <alignment horizontal="center" vertical="center"/>
    </xf>
    <xf numFmtId="3" fontId="88" fillId="0" borderId="0" xfId="0" applyNumberFormat="1" applyFont="1"/>
    <xf numFmtId="164" fontId="89" fillId="0" borderId="9" xfId="0" applyNumberFormat="1" applyFont="1" applyBorder="1" applyAlignment="1">
      <alignment horizontal="center"/>
    </xf>
    <xf numFmtId="0" fontId="89" fillId="0" borderId="9" xfId="0" applyFont="1" applyBorder="1"/>
    <xf numFmtId="3" fontId="89" fillId="0" borderId="0" xfId="0" applyNumberFormat="1" applyFont="1" applyAlignment="1">
      <alignment horizontal="right"/>
    </xf>
    <xf numFmtId="1" fontId="89" fillId="0" borderId="0" xfId="16" applyNumberFormat="1" applyFont="1"/>
    <xf numFmtId="3" fontId="89" fillId="0" borderId="0" xfId="0" applyNumberFormat="1" applyFont="1"/>
    <xf numFmtId="164" fontId="89" fillId="0" borderId="9" xfId="0" applyNumberFormat="1" applyFont="1" applyBorder="1"/>
    <xf numFmtId="9" fontId="89" fillId="0" borderId="9" xfId="0" applyNumberFormat="1" applyFont="1" applyBorder="1"/>
    <xf numFmtId="1" fontId="86" fillId="0" borderId="9" xfId="0" applyNumberFormat="1" applyFont="1" applyBorder="1" applyAlignment="1">
      <alignment horizontal="center"/>
    </xf>
    <xf numFmtId="1" fontId="90" fillId="41" borderId="0" xfId="0" applyNumberFormat="1" applyFont="1" applyFill="1" applyAlignment="1">
      <alignment horizontal="center"/>
    </xf>
    <xf numFmtId="167" fontId="89" fillId="0" borderId="0" xfId="0" applyNumberFormat="1" applyFont="1"/>
    <xf numFmtId="1" fontId="91" fillId="0" borderId="0" xfId="0" applyNumberFormat="1" applyFont="1"/>
    <xf numFmtId="1" fontId="89" fillId="0" borderId="0" xfId="0" applyNumberFormat="1" applyFont="1"/>
    <xf numFmtId="3" fontId="92" fillId="41" borderId="0" xfId="0" applyNumberFormat="1" applyFont="1" applyFill="1" applyAlignment="1">
      <alignment horizontal="center" vertical="center"/>
    </xf>
    <xf numFmtId="0" fontId="93" fillId="0" borderId="9" xfId="0" applyFont="1" applyBorder="1" applyAlignment="1">
      <alignment horizontal="center"/>
    </xf>
    <xf numFmtId="1" fontId="89" fillId="0" borderId="0" xfId="0" applyNumberFormat="1" applyFont="1" applyAlignment="1">
      <alignment vertical="center"/>
    </xf>
    <xf numFmtId="3" fontId="92" fillId="41" borderId="7" xfId="0" applyNumberFormat="1" applyFont="1" applyFill="1" applyBorder="1" applyAlignment="1">
      <alignment horizontal="center" vertical="center"/>
    </xf>
    <xf numFmtId="3" fontId="94" fillId="0" borderId="11" xfId="0" applyNumberFormat="1" applyFont="1" applyBorder="1"/>
    <xf numFmtId="3" fontId="94" fillId="0" borderId="9" xfId="0" applyNumberFormat="1" applyFont="1" applyBorder="1"/>
    <xf numFmtId="3" fontId="94" fillId="0" borderId="10" xfId="0" applyNumberFormat="1" applyFont="1" applyBorder="1"/>
    <xf numFmtId="3" fontId="94" fillId="0" borderId="11" xfId="0" applyNumberFormat="1" applyFont="1" applyBorder="1" applyAlignment="1">
      <alignment vertical="center"/>
    </xf>
    <xf numFmtId="3" fontId="94" fillId="0" borderId="9" xfId="0" applyNumberFormat="1" applyFont="1" applyBorder="1" applyAlignment="1">
      <alignment vertical="center"/>
    </xf>
    <xf numFmtId="3" fontId="94" fillId="0" borderId="10" xfId="0" applyNumberFormat="1" applyFont="1" applyBorder="1" applyAlignment="1">
      <alignment vertical="center"/>
    </xf>
    <xf numFmtId="3" fontId="94" fillId="0" borderId="16" xfId="0" applyNumberFormat="1" applyFont="1" applyBorder="1" applyAlignment="1">
      <alignment vertical="center"/>
    </xf>
    <xf numFmtId="3" fontId="95" fillId="0" borderId="11" xfId="0" applyNumberFormat="1" applyFont="1" applyBorder="1" applyAlignment="1">
      <alignment vertical="center"/>
    </xf>
    <xf numFmtId="3" fontId="95" fillId="0" borderId="9" xfId="0" applyNumberFormat="1" applyFont="1" applyBorder="1" applyAlignment="1">
      <alignment vertical="center"/>
    </xf>
    <xf numFmtId="3" fontId="95" fillId="0" borderId="10" xfId="0" applyNumberFormat="1" applyFont="1" applyBorder="1" applyAlignment="1">
      <alignment vertical="center"/>
    </xf>
    <xf numFmtId="3" fontId="89" fillId="0" borderId="9" xfId="0" applyNumberFormat="1" applyFont="1" applyBorder="1"/>
    <xf numFmtId="1" fontId="89" fillId="0" borderId="11" xfId="0" applyNumberFormat="1" applyFont="1" applyBorder="1"/>
    <xf numFmtId="1" fontId="89" fillId="0" borderId="9" xfId="0" applyNumberFormat="1" applyFont="1" applyBorder="1"/>
    <xf numFmtId="164" fontId="86" fillId="0" borderId="9" xfId="0" applyNumberFormat="1" applyFont="1" applyBorder="1" applyAlignment="1">
      <alignment horizontal="center" vertical="center"/>
    </xf>
    <xf numFmtId="3" fontId="96" fillId="41" borderId="0" xfId="0" applyNumberFormat="1" applyFont="1" applyFill="1" applyAlignment="1">
      <alignment vertical="center"/>
    </xf>
    <xf numFmtId="3" fontId="96" fillId="41" borderId="7" xfId="0" applyNumberFormat="1" applyFont="1" applyFill="1" applyBorder="1" applyAlignment="1">
      <alignment vertical="center"/>
    </xf>
    <xf numFmtId="1" fontId="89" fillId="0" borderId="10" xfId="0" applyNumberFormat="1" applyFont="1" applyBorder="1"/>
    <xf numFmtId="0" fontId="89" fillId="0" borderId="11" xfId="0" applyFont="1" applyBorder="1"/>
    <xf numFmtId="0" fontId="89" fillId="0" borderId="10" xfId="0" applyFont="1" applyBorder="1"/>
    <xf numFmtId="9" fontId="78" fillId="41" borderId="0" xfId="0" applyNumberFormat="1" applyFont="1" applyFill="1" applyAlignment="1">
      <alignment horizontal="center" vertical="center"/>
    </xf>
    <xf numFmtId="9" fontId="41" fillId="0" borderId="0" xfId="0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9" fontId="36" fillId="0" borderId="0" xfId="16" applyNumberFormat="1" applyFont="1" applyBorder="1" applyAlignment="1">
      <alignment horizontal="center"/>
    </xf>
    <xf numFmtId="9" fontId="76" fillId="41" borderId="0" xfId="0" applyNumberFormat="1" applyFont="1" applyFill="1" applyAlignment="1">
      <alignment horizontal="center"/>
    </xf>
    <xf numFmtId="9" fontId="59" fillId="0" borderId="0" xfId="0" applyNumberFormat="1" applyFont="1" applyAlignment="1">
      <alignment horizontal="center"/>
    </xf>
    <xf numFmtId="9" fontId="62" fillId="41" borderId="0" xfId="0" applyNumberFormat="1" applyFont="1" applyFill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9" fontId="23" fillId="0" borderId="16" xfId="0" applyNumberFormat="1" applyFont="1" applyBorder="1" applyAlignment="1">
      <alignment horizontal="center"/>
    </xf>
    <xf numFmtId="9" fontId="23" fillId="0" borderId="16" xfId="0" applyNumberFormat="1" applyFont="1" applyBorder="1" applyAlignment="1">
      <alignment horizontal="center" vertical="center"/>
    </xf>
    <xf numFmtId="9" fontId="24" fillId="0" borderId="16" xfId="0" applyNumberFormat="1" applyFont="1" applyBorder="1" applyAlignment="1">
      <alignment horizontal="center" vertical="center"/>
    </xf>
    <xf numFmtId="9" fontId="83" fillId="0" borderId="16" xfId="0" applyNumberFormat="1" applyFont="1" applyBorder="1" applyAlignment="1">
      <alignment horizontal="center"/>
    </xf>
    <xf numFmtId="9" fontId="61" fillId="41" borderId="0" xfId="0" applyNumberFormat="1" applyFont="1" applyFill="1" applyAlignment="1">
      <alignment horizontal="center" vertical="center"/>
    </xf>
    <xf numFmtId="9" fontId="0" fillId="0" borderId="16" xfId="0" applyNumberFormat="1" applyBorder="1" applyAlignment="1">
      <alignment horizontal="center"/>
    </xf>
    <xf numFmtId="1" fontId="41" fillId="0" borderId="0" xfId="0" applyNumberFormat="1" applyFont="1" applyAlignment="1">
      <alignment horizontal="center"/>
    </xf>
    <xf numFmtId="1" fontId="62" fillId="41" borderId="0" xfId="0" applyNumberFormat="1" applyFont="1" applyFill="1" applyAlignment="1">
      <alignment horizontal="center" vertical="center"/>
    </xf>
    <xf numFmtId="1" fontId="23" fillId="0" borderId="16" xfId="0" applyNumberFormat="1" applyFont="1" applyBorder="1" applyAlignment="1">
      <alignment horizontal="center"/>
    </xf>
    <xf numFmtId="1" fontId="23" fillId="0" borderId="16" xfId="0" applyNumberFormat="1" applyFont="1" applyBorder="1" applyAlignment="1">
      <alignment horizontal="center" vertical="center"/>
    </xf>
    <xf numFmtId="1" fontId="24" fillId="0" borderId="16" xfId="0" applyNumberFormat="1" applyFont="1" applyBorder="1" applyAlignment="1">
      <alignment horizontal="center" vertical="center"/>
    </xf>
    <xf numFmtId="1" fontId="61" fillId="41" borderId="0" xfId="0" applyNumberFormat="1" applyFont="1" applyFill="1" applyAlignment="1">
      <alignment horizontal="center" vertical="center"/>
    </xf>
    <xf numFmtId="9" fontId="22" fillId="42" borderId="0" xfId="0" applyNumberFormat="1" applyFont="1" applyFill="1" applyAlignment="1">
      <alignment horizontal="center" vertical="center"/>
    </xf>
    <xf numFmtId="9" fontId="0" fillId="42" borderId="0" xfId="0" applyNumberFormat="1" applyFill="1" applyAlignment="1">
      <alignment horizontal="center"/>
    </xf>
    <xf numFmtId="9" fontId="24" fillId="42" borderId="0" xfId="0" applyNumberFormat="1" applyFont="1" applyFill="1" applyAlignment="1">
      <alignment horizontal="center" vertical="center"/>
    </xf>
    <xf numFmtId="0" fontId="97" fillId="41" borderId="0" xfId="0" applyFont="1" applyFill="1" applyAlignment="1">
      <alignment horizontal="left" vertical="center" wrapText="1"/>
    </xf>
    <xf numFmtId="3" fontId="98" fillId="46" borderId="9" xfId="0" applyNumberFormat="1" applyFont="1" applyFill="1" applyBorder="1" applyAlignment="1">
      <alignment vertical="center"/>
    </xf>
    <xf numFmtId="3" fontId="97" fillId="41" borderId="0" xfId="0" applyNumberFormat="1" applyFont="1" applyFill="1" applyAlignment="1">
      <alignment vertical="center"/>
    </xf>
    <xf numFmtId="3" fontId="97" fillId="41" borderId="19" xfId="0" applyNumberFormat="1" applyFont="1" applyFill="1" applyBorder="1" applyAlignment="1">
      <alignment horizontal="center" vertical="center"/>
    </xf>
    <xf numFmtId="9" fontId="97" fillId="41" borderId="0" xfId="0" applyNumberFormat="1" applyFont="1" applyFill="1" applyAlignment="1">
      <alignment horizontal="center" vertical="center"/>
    </xf>
    <xf numFmtId="0" fontId="99" fillId="0" borderId="0" xfId="0" applyFont="1"/>
    <xf numFmtId="1" fontId="97" fillId="41" borderId="0" xfId="0" applyNumberFormat="1" applyFont="1" applyFill="1" applyAlignment="1">
      <alignment horizontal="center" vertical="center"/>
    </xf>
    <xf numFmtId="1" fontId="22" fillId="42" borderId="0" xfId="0" applyNumberFormat="1" applyFont="1" applyFill="1" applyAlignment="1">
      <alignment horizontal="center" vertical="center"/>
    </xf>
    <xf numFmtId="1" fontId="24" fillId="42" borderId="0" xfId="0" applyNumberFormat="1" applyFont="1" applyFill="1" applyAlignment="1">
      <alignment horizontal="center" vertical="center"/>
    </xf>
    <xf numFmtId="1" fontId="78" fillId="41" borderId="9" xfId="0" applyNumberFormat="1" applyFont="1" applyFill="1" applyBorder="1" applyAlignment="1">
      <alignment horizontal="center" vertical="center"/>
    </xf>
    <xf numFmtId="1" fontId="75" fillId="41" borderId="9" xfId="0" applyNumberFormat="1" applyFont="1" applyFill="1" applyBorder="1" applyAlignment="1">
      <alignment horizontal="center" vertical="center"/>
    </xf>
    <xf numFmtId="0" fontId="0" fillId="0" borderId="12" xfId="0" applyBorder="1" applyAlignment="1">
      <alignment horizontal="center"/>
    </xf>
    <xf numFmtId="1" fontId="76" fillId="41" borderId="9" xfId="0" applyNumberFormat="1" applyFont="1" applyFill="1" applyBorder="1" applyAlignment="1">
      <alignment horizontal="center"/>
    </xf>
    <xf numFmtId="3" fontId="62" fillId="41" borderId="9" xfId="0" applyNumberFormat="1" applyFont="1" applyFill="1" applyBorder="1" applyAlignment="1">
      <alignment horizontal="center" vertical="center"/>
    </xf>
    <xf numFmtId="166" fontId="37" fillId="0" borderId="0" xfId="16" applyNumberFormat="1" applyFont="1"/>
    <xf numFmtId="0" fontId="41" fillId="0" borderId="0" xfId="6" applyFont="1" applyAlignment="1">
      <alignment horizontal="center" vertical="center"/>
    </xf>
    <xf numFmtId="43" fontId="37" fillId="0" borderId="0" xfId="16" applyFont="1" applyBorder="1"/>
    <xf numFmtId="43" fontId="37" fillId="0" borderId="2" xfId="16" applyFont="1" applyBorder="1"/>
    <xf numFmtId="0" fontId="54" fillId="0" borderId="0" xfId="0" applyFont="1"/>
    <xf numFmtId="0" fontId="57" fillId="0" borderId="0" xfId="0" applyFont="1"/>
    <xf numFmtId="2" fontId="0" fillId="0" borderId="0" xfId="0" applyNumberFormat="1"/>
    <xf numFmtId="0" fontId="0" fillId="0" borderId="0" xfId="0" applyAlignment="1">
      <alignment wrapText="1"/>
    </xf>
    <xf numFmtId="2" fontId="36" fillId="0" borderId="9" xfId="16" applyNumberFormat="1" applyFont="1" applyBorder="1" applyAlignment="1">
      <alignment horizontal="center" vertical="center"/>
    </xf>
    <xf numFmtId="9" fontId="0" fillId="0" borderId="9" xfId="0" applyNumberFormat="1" applyBorder="1" applyAlignment="1">
      <alignment horizontal="center"/>
    </xf>
    <xf numFmtId="166" fontId="0" fillId="0" borderId="0" xfId="0" applyNumberFormat="1"/>
    <xf numFmtId="2" fontId="0" fillId="0" borderId="8" xfId="0" applyNumberFormat="1" applyBorder="1"/>
    <xf numFmtId="0" fontId="41" fillId="45" borderId="0" xfId="0" applyFont="1" applyFill="1" applyAlignment="1">
      <alignment horizontal="center" vertical="center"/>
    </xf>
    <xf numFmtId="0" fontId="41" fillId="54" borderId="0" xfId="0" applyFont="1" applyFill="1" applyAlignment="1">
      <alignment horizontal="center" vertical="center"/>
    </xf>
    <xf numFmtId="9" fontId="36" fillId="45" borderId="0" xfId="5" applyFont="1" applyFill="1" applyAlignment="1">
      <alignment horizontal="center" vertical="center" wrapText="1"/>
    </xf>
    <xf numFmtId="9" fontId="36" fillId="54" borderId="0" xfId="5" applyFont="1" applyFill="1" applyAlignment="1">
      <alignment horizontal="center" vertical="center" wrapText="1"/>
    </xf>
    <xf numFmtId="0" fontId="100" fillId="0" borderId="0" xfId="0" applyFont="1" applyAlignment="1">
      <alignment horizontal="center" vertical="center" wrapText="1"/>
    </xf>
    <xf numFmtId="2" fontId="36" fillId="0" borderId="11" xfId="16" applyNumberFormat="1" applyFont="1" applyFill="1" applyBorder="1" applyAlignment="1">
      <alignment horizontal="center" vertical="center"/>
    </xf>
    <xf numFmtId="0" fontId="101" fillId="50" borderId="9" xfId="6" applyFont="1" applyFill="1" applyBorder="1" applyAlignment="1">
      <alignment horizontal="center" vertical="center" wrapText="1"/>
    </xf>
    <xf numFmtId="43" fontId="101" fillId="50" borderId="9" xfId="16" applyFont="1" applyFill="1" applyBorder="1"/>
    <xf numFmtId="0" fontId="101" fillId="0" borderId="9" xfId="6" applyFont="1" applyBorder="1" applyAlignment="1">
      <alignment horizontal="center" vertical="center" wrapText="1"/>
    </xf>
    <xf numFmtId="43" fontId="101" fillId="0" borderId="9" xfId="16" applyFont="1" applyFill="1" applyBorder="1"/>
    <xf numFmtId="0" fontId="102" fillId="50" borderId="9" xfId="6" applyFont="1" applyFill="1" applyBorder="1" applyAlignment="1">
      <alignment horizontal="center" vertical="center" wrapText="1"/>
    </xf>
    <xf numFmtId="43" fontId="102" fillId="50" borderId="9" xfId="16" applyFont="1" applyFill="1" applyBorder="1"/>
    <xf numFmtId="0" fontId="103" fillId="55" borderId="9" xfId="6" applyFont="1" applyFill="1" applyBorder="1" applyAlignment="1">
      <alignment horizontal="center" vertical="center"/>
    </xf>
    <xf numFmtId="0" fontId="103" fillId="55" borderId="9" xfId="6" applyFont="1" applyFill="1" applyBorder="1" applyAlignment="1">
      <alignment horizontal="center"/>
    </xf>
    <xf numFmtId="1" fontId="0" fillId="0" borderId="9" xfId="0" applyNumberFormat="1" applyBorder="1" applyAlignment="1">
      <alignment horizontal="center" vertical="center"/>
    </xf>
    <xf numFmtId="3" fontId="104" fillId="0" borderId="9" xfId="0" applyNumberFormat="1" applyFont="1" applyBorder="1" applyAlignment="1">
      <alignment horizontal="center"/>
    </xf>
    <xf numFmtId="3" fontId="105" fillId="0" borderId="9" xfId="0" applyNumberFormat="1" applyFont="1" applyBorder="1" applyAlignment="1">
      <alignment horizontal="center"/>
    </xf>
    <xf numFmtId="1" fontId="105" fillId="0" borderId="9" xfId="16" applyNumberFormat="1" applyFont="1" applyBorder="1" applyAlignment="1">
      <alignment horizontal="center" vertical="center"/>
    </xf>
    <xf numFmtId="3" fontId="28" fillId="0" borderId="9" xfId="0" applyNumberFormat="1" applyFont="1" applyBorder="1" applyAlignment="1">
      <alignment horizontal="center" vertical="center"/>
    </xf>
    <xf numFmtId="0" fontId="78" fillId="41" borderId="9" xfId="0" applyFont="1" applyFill="1" applyBorder="1" applyAlignment="1">
      <alignment horizontal="center" vertical="center" wrapText="1"/>
    </xf>
    <xf numFmtId="1" fontId="106" fillId="0" borderId="9" xfId="0" applyNumberFormat="1" applyFont="1" applyBorder="1" applyAlignment="1">
      <alignment horizontal="center"/>
    </xf>
    <xf numFmtId="0" fontId="0" fillId="0" borderId="13" xfId="0" applyBorder="1"/>
    <xf numFmtId="0" fontId="0" fillId="0" borderId="9" xfId="0" applyBorder="1" applyAlignment="1">
      <alignment vertical="center"/>
    </xf>
    <xf numFmtId="0" fontId="0" fillId="0" borderId="9" xfId="0" applyBorder="1" applyAlignment="1">
      <alignment horizontal="center" vertical="center" wrapText="1"/>
    </xf>
    <xf numFmtId="0" fontId="61" fillId="41" borderId="9" xfId="0" applyFont="1" applyFill="1" applyBorder="1" applyAlignment="1">
      <alignment horizontal="left" vertical="center" wrapText="1"/>
    </xf>
    <xf numFmtId="0" fontId="17" fillId="0" borderId="9" xfId="0" applyFont="1" applyBorder="1" applyAlignment="1">
      <alignment horizontal="left" vertical="center" wrapText="1" indent="1"/>
    </xf>
    <xf numFmtId="0" fontId="21" fillId="0" borderId="9" xfId="0" applyFont="1" applyBorder="1" applyAlignment="1">
      <alignment horizontal="left" vertical="center" wrapText="1" indent="2"/>
    </xf>
    <xf numFmtId="0" fontId="16" fillId="0" borderId="9" xfId="0" applyFont="1" applyBorder="1" applyAlignment="1">
      <alignment horizontal="left" vertical="center" wrapText="1" indent="3"/>
    </xf>
    <xf numFmtId="0" fontId="17" fillId="0" borderId="9" xfId="0" applyFont="1" applyBorder="1" applyAlignment="1">
      <alignment horizontal="left" vertical="center" wrapText="1" indent="2"/>
    </xf>
    <xf numFmtId="0" fontId="61" fillId="41" borderId="9" xfId="0" applyFont="1" applyFill="1" applyBorder="1" applyAlignment="1">
      <alignment horizontal="left" vertical="center" wrapText="1" indent="1"/>
    </xf>
    <xf numFmtId="0" fontId="16" fillId="0" borderId="9" xfId="0" applyFont="1" applyBorder="1" applyAlignment="1">
      <alignment horizontal="left" vertical="center" wrapText="1" indent="2"/>
    </xf>
    <xf numFmtId="0" fontId="21" fillId="0" borderId="9" xfId="0" applyFont="1" applyBorder="1" applyAlignment="1">
      <alignment horizontal="left" vertical="center" wrapText="1"/>
    </xf>
    <xf numFmtId="0" fontId="27" fillId="0" borderId="9" xfId="0" applyFont="1" applyBorder="1" applyAlignment="1">
      <alignment horizontal="left" vertical="center" wrapText="1" indent="1"/>
    </xf>
    <xf numFmtId="0" fontId="26" fillId="0" borderId="9" xfId="0" applyFont="1" applyBorder="1" applyAlignment="1">
      <alignment horizontal="left" vertical="center" wrapText="1" indent="2"/>
    </xf>
    <xf numFmtId="2" fontId="16" fillId="0" borderId="9" xfId="0" applyNumberFormat="1" applyFont="1" applyBorder="1" applyAlignment="1">
      <alignment horizontal="left" vertical="center" wrapText="1" indent="5"/>
    </xf>
    <xf numFmtId="3" fontId="61" fillId="41" borderId="9" xfId="0" applyNumberFormat="1" applyFont="1" applyFill="1" applyBorder="1" applyAlignment="1">
      <alignment horizontal="center" vertical="center"/>
    </xf>
    <xf numFmtId="2" fontId="16" fillId="0" borderId="9" xfId="0" applyNumberFormat="1" applyFont="1" applyBorder="1" applyAlignment="1">
      <alignment horizontal="left" vertical="center" wrapText="1" indent="4"/>
    </xf>
    <xf numFmtId="0" fontId="67" fillId="0" borderId="9" xfId="0" applyFont="1" applyBorder="1" applyAlignment="1">
      <alignment horizontal="right" vertical="center" wrapText="1" readingOrder="1"/>
    </xf>
    <xf numFmtId="0" fontId="66" fillId="0" borderId="43" xfId="0" applyFont="1" applyBorder="1" applyAlignment="1">
      <alignment horizontal="right" vertical="center" wrapText="1" readingOrder="1"/>
    </xf>
    <xf numFmtId="0" fontId="66" fillId="0" borderId="24" xfId="0" applyFont="1" applyBorder="1" applyAlignment="1">
      <alignment horizontal="right" vertical="center" wrapText="1" readingOrder="1"/>
    </xf>
    <xf numFmtId="0" fontId="107" fillId="0" borderId="0" xfId="0" applyFont="1" applyAlignment="1">
      <alignment vertical="center"/>
    </xf>
    <xf numFmtId="166" fontId="36" fillId="0" borderId="19" xfId="16" applyNumberFormat="1" applyFont="1" applyBorder="1"/>
    <xf numFmtId="1" fontId="38" fillId="41" borderId="23" xfId="0" applyNumberFormat="1" applyFont="1" applyFill="1" applyBorder="1" applyAlignment="1">
      <alignment horizontal="center" vertical="center"/>
    </xf>
    <xf numFmtId="1" fontId="38" fillId="41" borderId="17" xfId="0" applyNumberFormat="1" applyFont="1" applyFill="1" applyBorder="1" applyAlignment="1">
      <alignment horizontal="center" vertical="center"/>
    </xf>
    <xf numFmtId="1" fontId="38" fillId="56" borderId="23" xfId="0" applyNumberFormat="1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164" fontId="0" fillId="0" borderId="0" xfId="0" applyNumberFormat="1"/>
    <xf numFmtId="0" fontId="108" fillId="0" borderId="0" xfId="0" applyFont="1" applyAlignment="1">
      <alignment vertical="center"/>
    </xf>
    <xf numFmtId="0" fontId="108" fillId="0" borderId="0" xfId="0" applyFont="1"/>
    <xf numFmtId="0" fontId="109" fillId="57" borderId="9" xfId="0" applyFont="1" applyFill="1" applyBorder="1" applyAlignment="1">
      <alignment horizontal="center" vertical="center" wrapText="1"/>
    </xf>
    <xf numFmtId="0" fontId="109" fillId="57" borderId="16" xfId="0" applyFont="1" applyFill="1" applyBorder="1" applyAlignment="1">
      <alignment horizontal="center" vertical="center" wrapText="1"/>
    </xf>
    <xf numFmtId="0" fontId="110" fillId="0" borderId="16" xfId="0" applyFont="1" applyBorder="1" applyAlignment="1">
      <alignment horizontal="right" vertical="center" wrapText="1"/>
    </xf>
    <xf numFmtId="2" fontId="109" fillId="57" borderId="16" xfId="16" applyNumberFormat="1" applyFont="1" applyFill="1" applyBorder="1" applyAlignment="1">
      <alignment horizontal="center" vertical="center" wrapText="1"/>
    </xf>
    <xf numFmtId="2" fontId="110" fillId="0" borderId="16" xfId="16" applyNumberFormat="1" applyFont="1" applyBorder="1" applyAlignment="1">
      <alignment horizontal="center" vertical="center" wrapText="1"/>
    </xf>
    <xf numFmtId="0" fontId="109" fillId="57" borderId="44" xfId="0" applyFont="1" applyFill="1" applyBorder="1" applyAlignment="1">
      <alignment horizontal="center" vertical="center" wrapText="1"/>
    </xf>
    <xf numFmtId="0" fontId="111" fillId="57" borderId="45" xfId="0" applyFont="1" applyFill="1" applyBorder="1" applyAlignment="1">
      <alignment horizontal="center" vertical="center" wrapText="1"/>
    </xf>
    <xf numFmtId="0" fontId="111" fillId="57" borderId="45" xfId="0" applyFont="1" applyFill="1" applyBorder="1" applyAlignment="1">
      <alignment horizontal="left" vertical="center" wrapText="1"/>
    </xf>
    <xf numFmtId="0" fontId="109" fillId="57" borderId="46" xfId="0" applyFont="1" applyFill="1" applyBorder="1" applyAlignment="1">
      <alignment horizontal="right" vertical="center" wrapText="1"/>
    </xf>
    <xf numFmtId="0" fontId="110" fillId="0" borderId="46" xfId="0" applyFont="1" applyBorder="1" applyAlignment="1">
      <alignment horizontal="right" vertical="center" wrapText="1"/>
    </xf>
    <xf numFmtId="0" fontId="109" fillId="57" borderId="47" xfId="0" applyFont="1" applyFill="1" applyBorder="1" applyAlignment="1">
      <alignment horizontal="right" vertical="center" wrapText="1"/>
    </xf>
    <xf numFmtId="0" fontId="109" fillId="57" borderId="47" xfId="0" applyFont="1" applyFill="1" applyBorder="1" applyAlignment="1">
      <alignment vertical="center" wrapText="1"/>
    </xf>
    <xf numFmtId="1" fontId="109" fillId="57" borderId="46" xfId="0" applyNumberFormat="1" applyFont="1" applyFill="1" applyBorder="1" applyAlignment="1">
      <alignment horizontal="center" vertical="center" wrapText="1"/>
    </xf>
    <xf numFmtId="1" fontId="110" fillId="0" borderId="46" xfId="16" applyNumberFormat="1" applyFont="1" applyBorder="1" applyAlignment="1">
      <alignment horizontal="center" vertical="center" wrapText="1"/>
    </xf>
    <xf numFmtId="1" fontId="110" fillId="0" borderId="46" xfId="0" applyNumberFormat="1" applyFont="1" applyBorder="1" applyAlignment="1">
      <alignment horizontal="center" vertical="center" wrapText="1"/>
    </xf>
    <xf numFmtId="1" fontId="109" fillId="57" borderId="46" xfId="16" applyNumberFormat="1" applyFont="1" applyFill="1" applyBorder="1" applyAlignment="1">
      <alignment horizontal="center" vertical="center" wrapText="1"/>
    </xf>
    <xf numFmtId="1" fontId="109" fillId="57" borderId="47" xfId="16" applyNumberFormat="1" applyFont="1" applyFill="1" applyBorder="1" applyAlignment="1">
      <alignment horizontal="center" vertical="center" wrapText="1"/>
    </xf>
    <xf numFmtId="1" fontId="110" fillId="0" borderId="48" xfId="16" applyNumberFormat="1" applyFont="1" applyBorder="1" applyAlignment="1">
      <alignment horizontal="center" vertical="center" wrapText="1"/>
    </xf>
    <xf numFmtId="1" fontId="110" fillId="0" borderId="48" xfId="0" applyNumberFormat="1" applyFont="1" applyBorder="1" applyAlignment="1">
      <alignment horizontal="center" vertical="center" wrapText="1"/>
    </xf>
    <xf numFmtId="1" fontId="110" fillId="0" borderId="47" xfId="16" applyNumberFormat="1" applyFont="1" applyBorder="1" applyAlignment="1">
      <alignment horizontal="center" vertical="center" wrapText="1"/>
    </xf>
    <xf numFmtId="0" fontId="109" fillId="57" borderId="45" xfId="0" applyFont="1" applyFill="1" applyBorder="1" applyAlignment="1">
      <alignment horizontal="center" vertical="center" wrapText="1"/>
    </xf>
    <xf numFmtId="176" fontId="36" fillId="0" borderId="0" xfId="16" applyNumberFormat="1" applyFont="1"/>
    <xf numFmtId="3" fontId="105" fillId="0" borderId="9" xfId="16" applyNumberFormat="1" applyFont="1" applyBorder="1" applyAlignment="1">
      <alignment horizontal="center" vertical="center"/>
    </xf>
    <xf numFmtId="171" fontId="0" fillId="0" borderId="0" xfId="0" applyNumberFormat="1"/>
    <xf numFmtId="164" fontId="36" fillId="42" borderId="9" xfId="16" applyNumberFormat="1" applyFont="1" applyFill="1" applyBorder="1" applyAlignment="1">
      <alignment horizontal="right"/>
    </xf>
    <xf numFmtId="164" fontId="0" fillId="0" borderId="0" xfId="0" applyNumberFormat="1" applyAlignment="1">
      <alignment horizontal="right"/>
    </xf>
    <xf numFmtId="164" fontId="36" fillId="0" borderId="0" xfId="16" applyNumberFormat="1" applyFont="1" applyAlignment="1">
      <alignment horizontal="right"/>
    </xf>
    <xf numFmtId="174" fontId="36" fillId="0" borderId="11" xfId="16" applyNumberFormat="1" applyFont="1" applyBorder="1" applyAlignment="1">
      <alignment horizontal="center" vertical="center"/>
    </xf>
    <xf numFmtId="2" fontId="36" fillId="0" borderId="11" xfId="16" applyNumberFormat="1" applyFont="1" applyBorder="1" applyAlignment="1">
      <alignment horizontal="center" vertical="center"/>
    </xf>
    <xf numFmtId="170" fontId="29" fillId="0" borderId="13" xfId="8" applyNumberFormat="1" applyFont="1" applyBorder="1" applyAlignment="1">
      <alignment horizontal="center" vertical="center" wrapText="1"/>
    </xf>
    <xf numFmtId="2" fontId="0" fillId="58" borderId="9" xfId="0" applyNumberFormat="1" applyFill="1" applyBorder="1" applyAlignment="1">
      <alignment horizontal="center"/>
    </xf>
    <xf numFmtId="2" fontId="112" fillId="0" borderId="9" xfId="0" applyNumberFormat="1" applyFont="1" applyBorder="1" applyAlignment="1">
      <alignment horizontal="center" wrapText="1"/>
    </xf>
    <xf numFmtId="2" fontId="41" fillId="58" borderId="9" xfId="0" applyNumberFormat="1" applyFont="1" applyFill="1" applyBorder="1" applyAlignment="1">
      <alignment horizontal="center"/>
    </xf>
    <xf numFmtId="2" fontId="108" fillId="59" borderId="9" xfId="0" applyNumberFormat="1" applyFont="1" applyFill="1" applyBorder="1" applyAlignment="1">
      <alignment horizontal="center"/>
    </xf>
    <xf numFmtId="2" fontId="64" fillId="0" borderId="9" xfId="0" applyNumberFormat="1" applyFont="1" applyBorder="1" applyAlignment="1">
      <alignment horizontal="center" wrapText="1"/>
    </xf>
    <xf numFmtId="2" fontId="0" fillId="0" borderId="9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70" fontId="0" fillId="0" borderId="0" xfId="0" applyNumberFormat="1"/>
    <xf numFmtId="14" fontId="0" fillId="0" borderId="0" xfId="0" applyNumberFormat="1"/>
    <xf numFmtId="170" fontId="29" fillId="0" borderId="10" xfId="8" applyNumberFormat="1" applyFont="1" applyBorder="1" applyAlignment="1">
      <alignment horizontal="center" vertical="center" wrapText="1"/>
    </xf>
    <xf numFmtId="170" fontId="29" fillId="58" borderId="10" xfId="8" applyNumberFormat="1" applyFont="1" applyFill="1" applyBorder="1" applyAlignment="1">
      <alignment horizontal="center" vertical="center" wrapText="1"/>
    </xf>
    <xf numFmtId="175" fontId="0" fillId="0" borderId="0" xfId="0" applyNumberFormat="1" applyAlignment="1">
      <alignment horizontal="center"/>
    </xf>
    <xf numFmtId="3" fontId="104" fillId="0" borderId="9" xfId="0" applyNumberFormat="1" applyFont="1" applyBorder="1" applyAlignment="1">
      <alignment horizontal="center" vertical="center"/>
    </xf>
    <xf numFmtId="1" fontId="108" fillId="0" borderId="9" xfId="0" applyNumberFormat="1" applyFont="1" applyBorder="1" applyAlignment="1">
      <alignment horizontal="center"/>
    </xf>
    <xf numFmtId="9" fontId="108" fillId="0" borderId="9" xfId="0" applyNumberFormat="1" applyFont="1" applyBorder="1" applyAlignment="1">
      <alignment horizontal="center"/>
    </xf>
    <xf numFmtId="0" fontId="113" fillId="0" borderId="0" xfId="0" applyFont="1" applyAlignment="1">
      <alignment vertical="center" wrapText="1"/>
    </xf>
    <xf numFmtId="164" fontId="0" fillId="0" borderId="15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70" fontId="29" fillId="49" borderId="15" xfId="8" applyNumberFormat="1" applyFont="1" applyFill="1" applyBorder="1" applyAlignment="1">
      <alignment horizontal="center" vertical="center" wrapText="1"/>
    </xf>
    <xf numFmtId="2" fontId="0" fillId="0" borderId="11" xfId="0" applyNumberFormat="1" applyBorder="1" applyAlignment="1">
      <alignment horizontal="center"/>
    </xf>
    <xf numFmtId="2" fontId="41" fillId="58" borderId="11" xfId="0" applyNumberFormat="1" applyFont="1" applyFill="1" applyBorder="1" applyAlignment="1">
      <alignment horizontal="center"/>
    </xf>
    <xf numFmtId="2" fontId="108" fillId="59" borderId="11" xfId="0" applyNumberFormat="1" applyFont="1" applyFill="1" applyBorder="1" applyAlignment="1">
      <alignment horizontal="center"/>
    </xf>
    <xf numFmtId="2" fontId="64" fillId="0" borderId="11" xfId="0" applyNumberFormat="1" applyFont="1" applyBorder="1" applyAlignment="1">
      <alignment horizontal="center" wrapText="1"/>
    </xf>
    <xf numFmtId="2" fontId="112" fillId="0" borderId="11" xfId="0" applyNumberFormat="1" applyFont="1" applyBorder="1" applyAlignment="1">
      <alignment horizontal="center" wrapText="1"/>
    </xf>
    <xf numFmtId="2" fontId="0" fillId="0" borderId="11" xfId="0" applyNumberFormat="1" applyBorder="1" applyAlignment="1">
      <alignment horizontal="center" vertical="center"/>
    </xf>
    <xf numFmtId="2" fontId="0" fillId="0" borderId="9" xfId="0" applyNumberFormat="1" applyBorder="1"/>
    <xf numFmtId="175" fontId="0" fillId="0" borderId="9" xfId="0" applyNumberFormat="1" applyBorder="1" applyAlignment="1">
      <alignment horizontal="center"/>
    </xf>
    <xf numFmtId="14" fontId="0" fillId="0" borderId="9" xfId="0" applyNumberFormat="1" applyBorder="1" applyAlignment="1">
      <alignment horizontal="left"/>
    </xf>
    <xf numFmtId="3" fontId="105" fillId="0" borderId="9" xfId="0" applyNumberFormat="1" applyFont="1" applyBorder="1" applyAlignment="1">
      <alignment horizontal="center" vertical="center"/>
    </xf>
    <xf numFmtId="3" fontId="105" fillId="0" borderId="9" xfId="17" applyNumberFormat="1" applyFont="1" applyBorder="1" applyAlignment="1">
      <alignment horizontal="center" vertical="center"/>
    </xf>
    <xf numFmtId="0" fontId="0" fillId="0" borderId="23" xfId="0" applyBorder="1"/>
    <xf numFmtId="2" fontId="0" fillId="0" borderId="7" xfId="0" applyNumberFormat="1" applyBorder="1"/>
    <xf numFmtId="170" fontId="0" fillId="0" borderId="9" xfId="0" applyNumberFormat="1" applyBorder="1" applyAlignment="1">
      <alignment horizontal="center"/>
    </xf>
    <xf numFmtId="2" fontId="0" fillId="0" borderId="23" xfId="0" applyNumberFormat="1" applyBorder="1"/>
    <xf numFmtId="0" fontId="0" fillId="0" borderId="25" xfId="0" applyBorder="1"/>
    <xf numFmtId="0" fontId="0" fillId="0" borderId="26" xfId="0" applyBorder="1"/>
    <xf numFmtId="2" fontId="0" fillId="0" borderId="6" xfId="0" applyNumberFormat="1" applyBorder="1"/>
    <xf numFmtId="2" fontId="36" fillId="42" borderId="9" xfId="16" applyNumberFormat="1" applyFont="1" applyFill="1" applyBorder="1" applyAlignment="1">
      <alignment horizontal="center"/>
    </xf>
    <xf numFmtId="2" fontId="0" fillId="0" borderId="24" xfId="0" applyNumberFormat="1" applyBorder="1"/>
    <xf numFmtId="2" fontId="36" fillId="0" borderId="0" xfId="16" applyNumberFormat="1" applyFont="1"/>
    <xf numFmtId="0" fontId="0" fillId="0" borderId="6" xfId="0" applyBorder="1"/>
    <xf numFmtId="170" fontId="0" fillId="0" borderId="0" xfId="0" applyNumberFormat="1" applyAlignment="1">
      <alignment horizontal="center"/>
    </xf>
    <xf numFmtId="0" fontId="113" fillId="0" borderId="0" xfId="0" applyFont="1" applyAlignment="1">
      <alignment vertical="center"/>
    </xf>
    <xf numFmtId="0" fontId="113" fillId="0" borderId="0" xfId="0" applyFont="1"/>
    <xf numFmtId="0" fontId="113" fillId="0" borderId="9" xfId="0" applyFont="1" applyBorder="1"/>
    <xf numFmtId="3" fontId="113" fillId="0" borderId="11" xfId="0" applyNumberFormat="1" applyFont="1" applyBorder="1" applyAlignment="1">
      <alignment horizontal="center" vertical="center"/>
    </xf>
    <xf numFmtId="3" fontId="113" fillId="0" borderId="0" xfId="0" applyNumberFormat="1" applyFont="1"/>
    <xf numFmtId="3" fontId="113" fillId="0" borderId="0" xfId="0" applyNumberFormat="1" applyFont="1" applyAlignment="1">
      <alignment vertical="center"/>
    </xf>
    <xf numFmtId="10" fontId="114" fillId="44" borderId="12" xfId="0" applyNumberFormat="1" applyFont="1" applyFill="1" applyBorder="1" applyAlignment="1">
      <alignment horizontal="center" vertical="center"/>
    </xf>
    <xf numFmtId="3" fontId="115" fillId="0" borderId="9" xfId="0" applyNumberFormat="1" applyFont="1" applyBorder="1" applyAlignment="1">
      <alignment horizontal="left" vertical="center" wrapText="1"/>
    </xf>
    <xf numFmtId="3" fontId="115" fillId="0" borderId="10" xfId="0" applyNumberFormat="1" applyFont="1" applyBorder="1" applyAlignment="1">
      <alignment horizontal="center" vertical="center"/>
    </xf>
    <xf numFmtId="3" fontId="115" fillId="0" borderId="20" xfId="0" applyNumberFormat="1" applyFont="1" applyBorder="1" applyAlignment="1">
      <alignment horizontal="center" vertical="center"/>
    </xf>
    <xf numFmtId="3" fontId="115" fillId="0" borderId="11" xfId="0" applyNumberFormat="1" applyFont="1" applyBorder="1" applyAlignment="1">
      <alignment horizontal="center" vertical="center"/>
    </xf>
    <xf numFmtId="3" fontId="113" fillId="0" borderId="9" xfId="0" applyNumberFormat="1" applyFont="1" applyBorder="1" applyAlignment="1">
      <alignment horizontal="right" vertical="center" wrapText="1"/>
    </xf>
    <xf numFmtId="3" fontId="113" fillId="0" borderId="9" xfId="0" applyNumberFormat="1" applyFont="1" applyBorder="1" applyAlignment="1">
      <alignment horizontal="left" vertical="center" wrapText="1"/>
    </xf>
    <xf numFmtId="3" fontId="113" fillId="0" borderId="9" xfId="0" applyNumberFormat="1" applyFont="1" applyBorder="1" applyAlignment="1">
      <alignment horizontal="center" vertical="center"/>
    </xf>
    <xf numFmtId="3" fontId="113" fillId="0" borderId="10" xfId="0" applyNumberFormat="1" applyFont="1" applyBorder="1" applyAlignment="1">
      <alignment horizontal="center" vertical="center"/>
    </xf>
    <xf numFmtId="3" fontId="113" fillId="0" borderId="20" xfId="0" applyNumberFormat="1" applyFont="1" applyBorder="1" applyAlignment="1">
      <alignment horizontal="center" vertical="center"/>
    </xf>
    <xf numFmtId="168" fontId="113" fillId="0" borderId="9" xfId="0" applyNumberFormat="1" applyFont="1" applyBorder="1" applyAlignment="1">
      <alignment horizontal="right"/>
    </xf>
    <xf numFmtId="168" fontId="113" fillId="0" borderId="9" xfId="0" applyNumberFormat="1" applyFont="1" applyBorder="1"/>
    <xf numFmtId="3" fontId="113" fillId="0" borderId="9" xfId="0" applyNumberFormat="1" applyFont="1" applyBorder="1" applyAlignment="1">
      <alignment vertical="center"/>
    </xf>
    <xf numFmtId="168" fontId="113" fillId="0" borderId="9" xfId="0" applyNumberFormat="1" applyFont="1" applyBorder="1" applyAlignment="1">
      <alignment horizontal="center" vertical="center"/>
    </xf>
    <xf numFmtId="168" fontId="113" fillId="0" borderId="10" xfId="0" applyNumberFormat="1" applyFont="1" applyBorder="1" applyAlignment="1">
      <alignment horizontal="center" vertical="center"/>
    </xf>
    <xf numFmtId="168" fontId="113" fillId="0" borderId="20" xfId="0" applyNumberFormat="1" applyFont="1" applyBorder="1" applyAlignment="1">
      <alignment horizontal="center" vertical="center"/>
    </xf>
    <xf numFmtId="168" fontId="113" fillId="0" borderId="11" xfId="0" applyNumberFormat="1" applyFont="1" applyBorder="1" applyAlignment="1">
      <alignment horizontal="center" vertical="center"/>
    </xf>
    <xf numFmtId="3" fontId="116" fillId="44" borderId="9" xfId="0" applyNumberFormat="1" applyFont="1" applyFill="1" applyBorder="1" applyAlignment="1">
      <alignment horizontal="left" vertical="center" wrapText="1"/>
    </xf>
    <xf numFmtId="3" fontId="116" fillId="44" borderId="9" xfId="0" applyNumberFormat="1" applyFont="1" applyFill="1" applyBorder="1" applyAlignment="1">
      <alignment vertical="center"/>
    </xf>
    <xf numFmtId="3" fontId="116" fillId="44" borderId="9" xfId="0" applyNumberFormat="1" applyFont="1" applyFill="1" applyBorder="1" applyAlignment="1">
      <alignment horizontal="center" vertical="center"/>
    </xf>
    <xf numFmtId="3" fontId="116" fillId="44" borderId="10" xfId="0" applyNumberFormat="1" applyFont="1" applyFill="1" applyBorder="1" applyAlignment="1">
      <alignment horizontal="center" vertical="center"/>
    </xf>
    <xf numFmtId="3" fontId="116" fillId="44" borderId="20" xfId="0" applyNumberFormat="1" applyFont="1" applyFill="1" applyBorder="1" applyAlignment="1">
      <alignment horizontal="center" vertical="center"/>
    </xf>
    <xf numFmtId="3" fontId="116" fillId="44" borderId="11" xfId="0" applyNumberFormat="1" applyFont="1" applyFill="1" applyBorder="1" applyAlignment="1">
      <alignment horizontal="center" vertical="center"/>
    </xf>
    <xf numFmtId="3" fontId="113" fillId="0" borderId="0" xfId="0" applyNumberFormat="1" applyFont="1" applyAlignment="1">
      <alignment horizontal="left" vertical="center" wrapText="1"/>
    </xf>
    <xf numFmtId="3" fontId="113" fillId="0" borderId="0" xfId="0" applyNumberFormat="1" applyFont="1" applyAlignment="1">
      <alignment horizontal="center" vertical="center"/>
    </xf>
    <xf numFmtId="3" fontId="113" fillId="0" borderId="19" xfId="0" applyNumberFormat="1" applyFont="1" applyBorder="1" applyAlignment="1">
      <alignment horizontal="center" vertical="center"/>
    </xf>
    <xf numFmtId="3" fontId="113" fillId="54" borderId="9" xfId="0" applyNumberFormat="1" applyFont="1" applyFill="1" applyBorder="1" applyAlignment="1">
      <alignment vertical="center"/>
    </xf>
    <xf numFmtId="3" fontId="113" fillId="54" borderId="9" xfId="0" applyNumberFormat="1" applyFont="1" applyFill="1" applyBorder="1" applyAlignment="1">
      <alignment horizontal="center" vertical="center" wrapText="1"/>
    </xf>
    <xf numFmtId="3" fontId="115" fillId="54" borderId="9" xfId="0" applyNumberFormat="1" applyFont="1" applyFill="1" applyBorder="1" applyAlignment="1">
      <alignment horizontal="center" vertical="center"/>
    </xf>
    <xf numFmtId="3" fontId="115" fillId="54" borderId="10" xfId="0" applyNumberFormat="1" applyFont="1" applyFill="1" applyBorder="1" applyAlignment="1">
      <alignment horizontal="center" vertical="center"/>
    </xf>
    <xf numFmtId="3" fontId="115" fillId="54" borderId="20" xfId="0" applyNumberFormat="1" applyFont="1" applyFill="1" applyBorder="1" applyAlignment="1">
      <alignment horizontal="center" vertical="center"/>
    </xf>
    <xf numFmtId="3" fontId="115" fillId="54" borderId="11" xfId="0" applyNumberFormat="1" applyFont="1" applyFill="1" applyBorder="1" applyAlignment="1">
      <alignment horizontal="center" vertical="center"/>
    </xf>
    <xf numFmtId="3" fontId="113" fillId="0" borderId="0" xfId="0" applyNumberFormat="1" applyFont="1" applyAlignment="1">
      <alignment horizontal="center" vertical="center" wrapText="1"/>
    </xf>
    <xf numFmtId="10" fontId="113" fillId="0" borderId="0" xfId="0" applyNumberFormat="1" applyFont="1" applyAlignment="1">
      <alignment horizontal="center" vertical="center"/>
    </xf>
    <xf numFmtId="2" fontId="113" fillId="0" borderId="0" xfId="0" applyNumberFormat="1" applyFont="1" applyAlignment="1">
      <alignment horizontal="center" vertical="center"/>
    </xf>
    <xf numFmtId="0" fontId="115" fillId="43" borderId="9" xfId="0" applyFont="1" applyFill="1" applyBorder="1" applyAlignment="1">
      <alignment horizontal="center" vertical="center"/>
    </xf>
    <xf numFmtId="0" fontId="115" fillId="43" borderId="10" xfId="0" applyFont="1" applyFill="1" applyBorder="1" applyAlignment="1">
      <alignment horizontal="center" vertical="center"/>
    </xf>
    <xf numFmtId="2" fontId="115" fillId="43" borderId="19" xfId="0" applyNumberFormat="1" applyFont="1" applyFill="1" applyBorder="1" applyAlignment="1">
      <alignment horizontal="center" vertical="center"/>
    </xf>
    <xf numFmtId="10" fontId="115" fillId="43" borderId="0" xfId="0" applyNumberFormat="1" applyFont="1" applyFill="1" applyAlignment="1">
      <alignment horizontal="center" vertical="center"/>
    </xf>
    <xf numFmtId="0" fontId="115" fillId="48" borderId="9" xfId="0" applyFont="1" applyFill="1" applyBorder="1" applyAlignment="1">
      <alignment vertical="center"/>
    </xf>
    <xf numFmtId="1" fontId="113" fillId="48" borderId="9" xfId="0" applyNumberFormat="1" applyFont="1" applyFill="1" applyBorder="1" applyAlignment="1">
      <alignment vertical="center"/>
    </xf>
    <xf numFmtId="164" fontId="113" fillId="48" borderId="9" xfId="0" applyNumberFormat="1" applyFont="1" applyFill="1" applyBorder="1" applyAlignment="1">
      <alignment horizontal="center" vertical="center"/>
    </xf>
    <xf numFmtId="171" fontId="113" fillId="48" borderId="9" xfId="0" applyNumberFormat="1" applyFont="1" applyFill="1" applyBorder="1" applyAlignment="1">
      <alignment horizontal="center" vertical="center"/>
    </xf>
    <xf numFmtId="9" fontId="113" fillId="48" borderId="9" xfId="0" applyNumberFormat="1" applyFont="1" applyFill="1" applyBorder="1" applyAlignment="1">
      <alignment horizontal="center" vertical="center"/>
    </xf>
    <xf numFmtId="1" fontId="113" fillId="48" borderId="9" xfId="0" applyNumberFormat="1" applyFont="1" applyFill="1" applyBorder="1" applyAlignment="1">
      <alignment horizontal="center"/>
    </xf>
    <xf numFmtId="1" fontId="113" fillId="48" borderId="10" xfId="0" applyNumberFormat="1" applyFont="1" applyFill="1" applyBorder="1" applyAlignment="1">
      <alignment horizontal="center"/>
    </xf>
    <xf numFmtId="1" fontId="113" fillId="48" borderId="19" xfId="0" applyNumberFormat="1" applyFont="1" applyFill="1" applyBorder="1" applyAlignment="1">
      <alignment horizontal="center"/>
    </xf>
    <xf numFmtId="1" fontId="113" fillId="48" borderId="0" xfId="0" applyNumberFormat="1" applyFont="1" applyFill="1" applyAlignment="1">
      <alignment horizontal="center"/>
    </xf>
    <xf numFmtId="10" fontId="115" fillId="48" borderId="0" xfId="0" applyNumberFormat="1" applyFont="1" applyFill="1" applyAlignment="1">
      <alignment horizontal="center" vertical="center"/>
    </xf>
    <xf numFmtId="0" fontId="115" fillId="48" borderId="9" xfId="0" applyFont="1" applyFill="1" applyBorder="1" applyAlignment="1">
      <alignment vertical="center" wrapText="1"/>
    </xf>
    <xf numFmtId="1" fontId="113" fillId="48" borderId="9" xfId="0" applyNumberFormat="1" applyFont="1" applyFill="1" applyBorder="1" applyAlignment="1">
      <alignment horizontal="center" vertical="center"/>
    </xf>
    <xf numFmtId="164" fontId="113" fillId="48" borderId="10" xfId="0" applyNumberFormat="1" applyFont="1" applyFill="1" applyBorder="1" applyAlignment="1">
      <alignment horizontal="center" vertical="center"/>
    </xf>
    <xf numFmtId="164" fontId="113" fillId="48" borderId="20" xfId="0" applyNumberFormat="1" applyFont="1" applyFill="1" applyBorder="1" applyAlignment="1">
      <alignment horizontal="center" vertical="center"/>
    </xf>
    <xf numFmtId="164" fontId="113" fillId="48" borderId="11" xfId="0" applyNumberFormat="1" applyFont="1" applyFill="1" applyBorder="1" applyAlignment="1">
      <alignment horizontal="center" vertical="center"/>
    </xf>
    <xf numFmtId="0" fontId="113" fillId="48" borderId="9" xfId="0" applyFont="1" applyFill="1" applyBorder="1"/>
    <xf numFmtId="9" fontId="113" fillId="48" borderId="9" xfId="0" applyNumberFormat="1" applyFont="1" applyFill="1" applyBorder="1" applyAlignment="1">
      <alignment horizontal="center"/>
    </xf>
    <xf numFmtId="0" fontId="113" fillId="48" borderId="10" xfId="0" applyFont="1" applyFill="1" applyBorder="1"/>
    <xf numFmtId="0" fontId="113" fillId="48" borderId="19" xfId="0" applyFont="1" applyFill="1" applyBorder="1"/>
    <xf numFmtId="0" fontId="113" fillId="48" borderId="0" xfId="0" applyFont="1" applyFill="1"/>
    <xf numFmtId="3" fontId="113" fillId="48" borderId="9" xfId="0" applyNumberFormat="1" applyFont="1" applyFill="1" applyBorder="1" applyAlignment="1">
      <alignment horizontal="center"/>
    </xf>
    <xf numFmtId="3" fontId="113" fillId="48" borderId="10" xfId="0" applyNumberFormat="1" applyFont="1" applyFill="1" applyBorder="1" applyAlignment="1">
      <alignment horizontal="center"/>
    </xf>
    <xf numFmtId="3" fontId="113" fillId="48" borderId="19" xfId="0" applyNumberFormat="1" applyFont="1" applyFill="1" applyBorder="1" applyAlignment="1">
      <alignment horizontal="center"/>
    </xf>
    <xf numFmtId="3" fontId="113" fillId="48" borderId="0" xfId="0" applyNumberFormat="1" applyFont="1" applyFill="1" applyAlignment="1">
      <alignment horizontal="center"/>
    </xf>
    <xf numFmtId="0" fontId="113" fillId="48" borderId="9" xfId="0" applyFont="1" applyFill="1" applyBorder="1" applyAlignment="1">
      <alignment horizontal="center"/>
    </xf>
    <xf numFmtId="164" fontId="113" fillId="48" borderId="9" xfId="0" applyNumberFormat="1" applyFont="1" applyFill="1" applyBorder="1" applyAlignment="1">
      <alignment horizontal="center"/>
    </xf>
    <xf numFmtId="164" fontId="113" fillId="48" borderId="10" xfId="0" applyNumberFormat="1" applyFont="1" applyFill="1" applyBorder="1" applyAlignment="1">
      <alignment horizontal="center"/>
    </xf>
    <xf numFmtId="164" fontId="113" fillId="48" borderId="19" xfId="0" applyNumberFormat="1" applyFont="1" applyFill="1" applyBorder="1" applyAlignment="1">
      <alignment horizontal="center"/>
    </xf>
    <xf numFmtId="164" fontId="113" fillId="48" borderId="0" xfId="0" applyNumberFormat="1" applyFont="1" applyFill="1" applyAlignment="1">
      <alignment horizontal="center"/>
    </xf>
    <xf numFmtId="0" fontId="113" fillId="0" borderId="19" xfId="0" applyFont="1" applyBorder="1"/>
    <xf numFmtId="177" fontId="113" fillId="0" borderId="19" xfId="5" applyNumberFormat="1" applyFont="1" applyBorder="1"/>
    <xf numFmtId="0" fontId="114" fillId="44" borderId="9" xfId="0" applyFont="1" applyFill="1" applyBorder="1" applyAlignment="1">
      <alignment horizontal="center" vertical="center"/>
    </xf>
    <xf numFmtId="0" fontId="115" fillId="54" borderId="9" xfId="0" applyFont="1" applyFill="1" applyBorder="1" applyAlignment="1">
      <alignment vertical="center"/>
    </xf>
    <xf numFmtId="0" fontId="115" fillId="0" borderId="0" xfId="0" applyFont="1" applyAlignment="1">
      <alignment vertical="center"/>
    </xf>
    <xf numFmtId="2" fontId="115" fillId="0" borderId="19" xfId="0" applyNumberFormat="1" applyFont="1" applyBorder="1" applyAlignment="1">
      <alignment horizontal="center" vertical="center"/>
    </xf>
    <xf numFmtId="171" fontId="114" fillId="53" borderId="19" xfId="0" applyNumberFormat="1" applyFont="1" applyFill="1" applyBorder="1" applyAlignment="1">
      <alignment horizontal="center" vertical="center"/>
    </xf>
    <xf numFmtId="0" fontId="115" fillId="0" borderId="9" xfId="0" applyFont="1" applyBorder="1" applyAlignment="1">
      <alignment horizontal="right" vertical="center" wrapText="1"/>
    </xf>
    <xf numFmtId="164" fontId="115" fillId="45" borderId="9" xfId="0" applyNumberFormat="1" applyFont="1" applyFill="1" applyBorder="1" applyAlignment="1">
      <alignment horizontal="center" vertical="center"/>
    </xf>
    <xf numFmtId="168" fontId="115" fillId="45" borderId="9" xfId="0" applyNumberFormat="1" applyFont="1" applyFill="1" applyBorder="1" applyAlignment="1">
      <alignment horizontal="center" vertical="center"/>
    </xf>
    <xf numFmtId="2" fontId="115" fillId="45" borderId="9" xfId="0" applyNumberFormat="1" applyFont="1" applyFill="1" applyBorder="1" applyAlignment="1">
      <alignment horizontal="center" vertical="center"/>
    </xf>
    <xf numFmtId="2" fontId="115" fillId="45" borderId="10" xfId="0" applyNumberFormat="1" applyFont="1" applyFill="1" applyBorder="1" applyAlignment="1">
      <alignment horizontal="center" vertical="center"/>
    </xf>
    <xf numFmtId="2" fontId="115" fillId="58" borderId="20" xfId="0" applyNumberFormat="1" applyFont="1" applyFill="1" applyBorder="1" applyAlignment="1">
      <alignment horizontal="center" vertical="center"/>
    </xf>
    <xf numFmtId="2" fontId="115" fillId="58" borderId="11" xfId="0" applyNumberFormat="1" applyFont="1" applyFill="1" applyBorder="1" applyAlignment="1">
      <alignment horizontal="center" vertical="center"/>
    </xf>
    <xf numFmtId="2" fontId="115" fillId="58" borderId="9" xfId="0" applyNumberFormat="1" applyFont="1" applyFill="1" applyBorder="1" applyAlignment="1">
      <alignment horizontal="center" vertical="center"/>
    </xf>
    <xf numFmtId="2" fontId="115" fillId="42" borderId="11" xfId="0" applyNumberFormat="1" applyFont="1" applyFill="1" applyBorder="1" applyAlignment="1">
      <alignment horizontal="center" vertical="center"/>
    </xf>
    <xf numFmtId="171" fontId="115" fillId="45" borderId="9" xfId="0" applyNumberFormat="1" applyFont="1" applyFill="1" applyBorder="1" applyAlignment="1">
      <alignment horizontal="center" vertical="center"/>
    </xf>
    <xf numFmtId="168" fontId="115" fillId="45" borderId="10" xfId="0" applyNumberFormat="1" applyFont="1" applyFill="1" applyBorder="1" applyAlignment="1">
      <alignment horizontal="center" vertical="center"/>
    </xf>
    <xf numFmtId="2" fontId="115" fillId="42" borderId="0" xfId="0" applyNumberFormat="1" applyFont="1" applyFill="1" applyAlignment="1">
      <alignment horizontal="center" vertical="center"/>
    </xf>
    <xf numFmtId="171" fontId="115" fillId="45" borderId="0" xfId="0" applyNumberFormat="1" applyFont="1" applyFill="1" applyAlignment="1">
      <alignment horizontal="center" vertical="center"/>
    </xf>
    <xf numFmtId="2" fontId="115" fillId="45" borderId="10" xfId="0" applyNumberFormat="1" applyFont="1" applyFill="1" applyBorder="1" applyAlignment="1">
      <alignment horizontal="center" vertical="center" wrapText="1"/>
    </xf>
    <xf numFmtId="2" fontId="115" fillId="45" borderId="20" xfId="0" applyNumberFormat="1" applyFont="1" applyFill="1" applyBorder="1" applyAlignment="1">
      <alignment horizontal="center" vertical="center"/>
    </xf>
    <xf numFmtId="2" fontId="115" fillId="45" borderId="11" xfId="0" applyNumberFormat="1" applyFont="1" applyFill="1" applyBorder="1" applyAlignment="1">
      <alignment horizontal="center" vertical="center"/>
    </xf>
    <xf numFmtId="171" fontId="115" fillId="48" borderId="9" xfId="0" applyNumberFormat="1" applyFont="1" applyFill="1" applyBorder="1" applyAlignment="1">
      <alignment horizontal="center"/>
    </xf>
    <xf numFmtId="3" fontId="114" fillId="44" borderId="7" xfId="0" applyNumberFormat="1" applyFont="1" applyFill="1" applyBorder="1" applyAlignment="1">
      <alignment horizontal="left" vertical="center" wrapText="1"/>
    </xf>
    <xf numFmtId="3" fontId="114" fillId="44" borderId="15" xfId="0" applyNumberFormat="1" applyFont="1" applyFill="1" applyBorder="1" applyAlignment="1">
      <alignment horizontal="center" vertical="center"/>
    </xf>
    <xf numFmtId="3" fontId="114" fillId="44" borderId="24" xfId="0" applyNumberFormat="1" applyFont="1" applyFill="1" applyBorder="1" applyAlignment="1">
      <alignment horizontal="center" vertical="center"/>
    </xf>
    <xf numFmtId="3" fontId="114" fillId="44" borderId="25" xfId="0" applyNumberFormat="1" applyFont="1" applyFill="1" applyBorder="1" applyAlignment="1">
      <alignment horizontal="center" vertical="center"/>
    </xf>
    <xf numFmtId="0" fontId="113" fillId="0" borderId="49" xfId="0" applyFont="1" applyBorder="1"/>
    <xf numFmtId="1" fontId="116" fillId="41" borderId="49" xfId="0" applyNumberFormat="1" applyFont="1" applyFill="1" applyBorder="1" applyAlignment="1">
      <alignment horizontal="center" vertical="center" wrapText="1"/>
    </xf>
    <xf numFmtId="1" fontId="113" fillId="46" borderId="49" xfId="0" applyNumberFormat="1" applyFont="1" applyFill="1" applyBorder="1" applyAlignment="1">
      <alignment horizontal="center" vertical="center"/>
    </xf>
    <xf numFmtId="1" fontId="116" fillId="41" borderId="49" xfId="0" applyNumberFormat="1" applyFont="1" applyFill="1" applyBorder="1" applyAlignment="1">
      <alignment horizontal="center" vertical="center"/>
    </xf>
    <xf numFmtId="1" fontId="113" fillId="46" borderId="49" xfId="0" applyNumberFormat="1" applyFont="1" applyFill="1" applyBorder="1" applyAlignment="1">
      <alignment horizontal="center"/>
    </xf>
    <xf numFmtId="1" fontId="15" fillId="0" borderId="49" xfId="0" applyNumberFormat="1" applyFont="1" applyBorder="1" applyAlignment="1">
      <alignment horizontal="center" vertical="center"/>
    </xf>
    <xf numFmtId="1" fontId="113" fillId="0" borderId="49" xfId="0" applyNumberFormat="1" applyFont="1" applyBorder="1" applyAlignment="1">
      <alignment horizontal="center" vertical="center"/>
    </xf>
    <xf numFmtId="1" fontId="116" fillId="41" borderId="49" xfId="0" applyNumberFormat="1" applyFont="1" applyFill="1" applyBorder="1" applyAlignment="1">
      <alignment horizontal="center"/>
    </xf>
    <xf numFmtId="3" fontId="115" fillId="0" borderId="49" xfId="0" applyNumberFormat="1" applyFont="1" applyBorder="1" applyAlignment="1">
      <alignment horizontal="center" vertical="center"/>
    </xf>
    <xf numFmtId="1" fontId="115" fillId="0" borderId="49" xfId="0" applyNumberFormat="1" applyFont="1" applyBorder="1" applyAlignment="1">
      <alignment horizontal="center" vertical="center"/>
    </xf>
    <xf numFmtId="3" fontId="113" fillId="0" borderId="49" xfId="0" applyNumberFormat="1" applyFont="1" applyBorder="1"/>
    <xf numFmtId="164" fontId="115" fillId="0" borderId="49" xfId="0" applyNumberFormat="1" applyFont="1" applyBorder="1" applyAlignment="1">
      <alignment horizontal="center" vertical="center"/>
    </xf>
    <xf numFmtId="1" fontId="15" fillId="42" borderId="49" xfId="0" applyNumberFormat="1" applyFont="1" applyFill="1" applyBorder="1" applyAlignment="1">
      <alignment horizontal="center" vertical="center"/>
    </xf>
    <xf numFmtId="1" fontId="113" fillId="42" borderId="49" xfId="0" applyNumberFormat="1" applyFont="1" applyFill="1" applyBorder="1" applyAlignment="1">
      <alignment horizontal="center" vertical="center"/>
    </xf>
    <xf numFmtId="3" fontId="15" fillId="0" borderId="49" xfId="0" applyNumberFormat="1" applyFont="1" applyBorder="1" applyAlignment="1">
      <alignment vertical="center"/>
    </xf>
    <xf numFmtId="0" fontId="33" fillId="42" borderId="49" xfId="0" applyFont="1" applyFill="1" applyBorder="1" applyAlignment="1">
      <alignment horizontal="left" vertical="center" wrapText="1"/>
    </xf>
    <xf numFmtId="3" fontId="117" fillId="46" borderId="49" xfId="0" applyNumberFormat="1" applyFont="1" applyFill="1" applyBorder="1" applyAlignment="1">
      <alignment vertical="center"/>
    </xf>
    <xf numFmtId="3" fontId="34" fillId="42" borderId="49" xfId="0" applyNumberFormat="1" applyFont="1" applyFill="1" applyBorder="1" applyAlignment="1">
      <alignment vertical="center"/>
    </xf>
    <xf numFmtId="0" fontId="32" fillId="42" borderId="49" xfId="0" applyFont="1" applyFill="1" applyBorder="1" applyAlignment="1">
      <alignment horizontal="left" vertical="center" wrapText="1" indent="2"/>
    </xf>
    <xf numFmtId="3" fontId="113" fillId="46" borderId="49" xfId="0" applyNumberFormat="1" applyFont="1" applyFill="1" applyBorder="1" applyAlignment="1">
      <alignment vertical="center"/>
    </xf>
    <xf numFmtId="1" fontId="113" fillId="42" borderId="49" xfId="0" applyNumberFormat="1" applyFont="1" applyFill="1" applyBorder="1"/>
    <xf numFmtId="10" fontId="113" fillId="42" borderId="49" xfId="0" applyNumberFormat="1" applyFont="1" applyFill="1" applyBorder="1"/>
    <xf numFmtId="3" fontId="15" fillId="42" borderId="49" xfId="0" applyNumberFormat="1" applyFont="1" applyFill="1" applyBorder="1" applyAlignment="1">
      <alignment vertical="center"/>
    </xf>
    <xf numFmtId="3" fontId="33" fillId="0" borderId="49" xfId="0" applyNumberFormat="1" applyFont="1" applyBorder="1" applyAlignment="1">
      <alignment vertical="center"/>
    </xf>
    <xf numFmtId="1" fontId="113" fillId="60" borderId="49" xfId="0" applyNumberFormat="1" applyFont="1" applyFill="1" applyBorder="1" applyAlignment="1">
      <alignment horizontal="center" vertical="center"/>
    </xf>
    <xf numFmtId="0" fontId="113" fillId="41" borderId="49" xfId="0" applyFont="1" applyFill="1" applyBorder="1" applyAlignment="1">
      <alignment vertical="center"/>
    </xf>
    <xf numFmtId="1" fontId="113" fillId="41" borderId="49" xfId="0" applyNumberFormat="1" applyFont="1" applyFill="1" applyBorder="1" applyAlignment="1">
      <alignment horizontal="center" vertical="center"/>
    </xf>
    <xf numFmtId="1" fontId="32" fillId="0" borderId="49" xfId="0" applyNumberFormat="1" applyFont="1" applyBorder="1" applyAlignment="1">
      <alignment horizontal="left" vertical="center" wrapText="1" indent="23"/>
    </xf>
    <xf numFmtId="1" fontId="115" fillId="46" borderId="49" xfId="0" applyNumberFormat="1" applyFont="1" applyFill="1" applyBorder="1" applyAlignment="1">
      <alignment horizontal="center" vertical="center"/>
    </xf>
    <xf numFmtId="1" fontId="115" fillId="46" borderId="49" xfId="0" applyNumberFormat="1" applyFont="1" applyFill="1" applyBorder="1" applyAlignment="1">
      <alignment horizontal="center"/>
    </xf>
    <xf numFmtId="0" fontId="115" fillId="0" borderId="49" xfId="0" applyFont="1" applyBorder="1"/>
    <xf numFmtId="0" fontId="118" fillId="0" borderId="0" xfId="0" applyFont="1"/>
    <xf numFmtId="1" fontId="31" fillId="0" borderId="49" xfId="0" applyNumberFormat="1" applyFont="1" applyBorder="1" applyAlignment="1">
      <alignment horizontal="center" vertical="center"/>
    </xf>
    <xf numFmtId="1" fontId="46" fillId="0" borderId="49" xfId="0" applyNumberFormat="1" applyFont="1" applyBorder="1" applyAlignment="1">
      <alignment horizontal="left" vertical="center" wrapText="1" indent="6"/>
    </xf>
    <xf numFmtId="3" fontId="115" fillId="0" borderId="49" xfId="0" applyNumberFormat="1" applyFont="1" applyBorder="1"/>
    <xf numFmtId="1" fontId="35" fillId="61" borderId="49" xfId="0" applyNumberFormat="1" applyFont="1" applyFill="1" applyBorder="1" applyAlignment="1">
      <alignment horizontal="left" vertical="center" wrapText="1" indent="5"/>
    </xf>
    <xf numFmtId="1" fontId="115" fillId="61" borderId="49" xfId="0" applyNumberFormat="1" applyFont="1" applyFill="1" applyBorder="1" applyAlignment="1">
      <alignment horizontal="center" vertical="center"/>
    </xf>
    <xf numFmtId="1" fontId="115" fillId="61" borderId="49" xfId="0" applyNumberFormat="1" applyFont="1" applyFill="1" applyBorder="1" applyAlignment="1">
      <alignment horizontal="center"/>
    </xf>
    <xf numFmtId="0" fontId="115" fillId="61" borderId="49" xfId="0" applyFont="1" applyFill="1" applyBorder="1"/>
    <xf numFmtId="0" fontId="118" fillId="61" borderId="0" xfId="0" applyFont="1" applyFill="1"/>
    <xf numFmtId="1" fontId="31" fillId="61" borderId="49" xfId="0" applyNumberFormat="1" applyFont="1" applyFill="1" applyBorder="1" applyAlignment="1">
      <alignment horizontal="center" vertical="center"/>
    </xf>
    <xf numFmtId="1" fontId="35" fillId="61" borderId="49" xfId="0" applyNumberFormat="1" applyFont="1" applyFill="1" applyBorder="1" applyAlignment="1">
      <alignment horizontal="left" vertical="center" wrapText="1" indent="7"/>
    </xf>
    <xf numFmtId="164" fontId="115" fillId="61" borderId="49" xfId="0" applyNumberFormat="1" applyFont="1" applyFill="1" applyBorder="1" applyAlignment="1">
      <alignment horizontal="center" vertical="center"/>
    </xf>
    <xf numFmtId="3" fontId="23" fillId="61" borderId="0" xfId="0" applyNumberFormat="1" applyFont="1" applyFill="1" applyAlignment="1">
      <alignment vertical="center"/>
    </xf>
    <xf numFmtId="1" fontId="32" fillId="42" borderId="49" xfId="0" applyNumberFormat="1" applyFont="1" applyFill="1" applyBorder="1" applyAlignment="1">
      <alignment horizontal="left" vertical="center" wrapText="1" indent="11"/>
    </xf>
    <xf numFmtId="1" fontId="113" fillId="42" borderId="49" xfId="0" applyNumberFormat="1" applyFont="1" applyFill="1" applyBorder="1" applyAlignment="1">
      <alignment horizontal="center"/>
    </xf>
    <xf numFmtId="0" fontId="0" fillId="42" borderId="0" xfId="0" applyFill="1"/>
    <xf numFmtId="1" fontId="32" fillId="42" borderId="49" xfId="0" applyNumberFormat="1" applyFont="1" applyFill="1" applyBorder="1" applyAlignment="1">
      <alignment horizontal="center" vertical="center" wrapText="1"/>
    </xf>
    <xf numFmtId="0" fontId="113" fillId="42" borderId="49" xfId="0" applyFont="1" applyFill="1" applyBorder="1"/>
    <xf numFmtId="164" fontId="115" fillId="42" borderId="49" xfId="0" applyNumberFormat="1" applyFont="1" applyFill="1" applyBorder="1" applyAlignment="1">
      <alignment horizontal="center" vertical="center"/>
    </xf>
    <xf numFmtId="1" fontId="32" fillId="50" borderId="49" xfId="0" applyNumberFormat="1" applyFont="1" applyFill="1" applyBorder="1" applyAlignment="1">
      <alignment horizontal="center" vertical="center" wrapText="1"/>
    </xf>
    <xf numFmtId="1" fontId="113" fillId="50" borderId="49" xfId="0" applyNumberFormat="1" applyFont="1" applyFill="1" applyBorder="1" applyAlignment="1">
      <alignment horizontal="center" vertical="center"/>
    </xf>
    <xf numFmtId="1" fontId="113" fillId="50" borderId="49" xfId="0" applyNumberFormat="1" applyFont="1" applyFill="1" applyBorder="1" applyAlignment="1">
      <alignment horizontal="center"/>
    </xf>
    <xf numFmtId="1" fontId="15" fillId="50" borderId="49" xfId="0" applyNumberFormat="1" applyFont="1" applyFill="1" applyBorder="1" applyAlignment="1">
      <alignment horizontal="center" vertical="center"/>
    </xf>
    <xf numFmtId="0" fontId="0" fillId="50" borderId="0" xfId="0" applyFill="1"/>
    <xf numFmtId="1" fontId="113" fillId="50" borderId="49" xfId="16" applyNumberFormat="1" applyFont="1" applyFill="1" applyBorder="1" applyAlignment="1">
      <alignment horizontal="center" vertical="center"/>
    </xf>
    <xf numFmtId="1" fontId="32" fillId="50" borderId="49" xfId="0" applyNumberFormat="1" applyFont="1" applyFill="1" applyBorder="1" applyAlignment="1">
      <alignment horizontal="center" vertical="center"/>
    </xf>
    <xf numFmtId="1" fontId="32" fillId="50" borderId="49" xfId="0" applyNumberFormat="1" applyFont="1" applyFill="1" applyBorder="1" applyAlignment="1">
      <alignment horizontal="left" vertical="center" wrapText="1" indent="17"/>
    </xf>
    <xf numFmtId="0" fontId="113" fillId="50" borderId="49" xfId="0" applyFont="1" applyFill="1" applyBorder="1"/>
    <xf numFmtId="164" fontId="115" fillId="50" borderId="49" xfId="0" applyNumberFormat="1" applyFont="1" applyFill="1" applyBorder="1" applyAlignment="1">
      <alignment horizontal="center" vertical="center"/>
    </xf>
    <xf numFmtId="1" fontId="35" fillId="60" borderId="49" xfId="0" applyNumberFormat="1" applyFont="1" applyFill="1" applyBorder="1" applyAlignment="1">
      <alignment horizontal="left" vertical="center" wrapText="1" indent="9"/>
    </xf>
    <xf numFmtId="1" fontId="115" fillId="60" borderId="49" xfId="0" applyNumberFormat="1" applyFont="1" applyFill="1" applyBorder="1" applyAlignment="1">
      <alignment horizontal="center" vertical="center"/>
    </xf>
    <xf numFmtId="1" fontId="31" fillId="60" borderId="49" xfId="0" applyNumberFormat="1" applyFont="1" applyFill="1" applyBorder="1" applyAlignment="1">
      <alignment horizontal="center"/>
    </xf>
    <xf numFmtId="1" fontId="31" fillId="60" borderId="49" xfId="0" applyNumberFormat="1" applyFont="1" applyFill="1" applyBorder="1" applyAlignment="1">
      <alignment horizontal="center" vertical="center"/>
    </xf>
    <xf numFmtId="3" fontId="118" fillId="60" borderId="0" xfId="0" applyNumberFormat="1" applyFont="1" applyFill="1"/>
    <xf numFmtId="0" fontId="118" fillId="60" borderId="0" xfId="0" applyFont="1" applyFill="1"/>
    <xf numFmtId="1" fontId="32" fillId="50" borderId="49" xfId="0" applyNumberFormat="1" applyFont="1" applyFill="1" applyBorder="1" applyAlignment="1">
      <alignment horizontal="left" vertical="center" wrapText="1" indent="15"/>
    </xf>
    <xf numFmtId="1" fontId="115" fillId="50" borderId="49" xfId="0" applyNumberFormat="1" applyFont="1" applyFill="1" applyBorder="1" applyAlignment="1">
      <alignment horizontal="center" vertical="center"/>
    </xf>
    <xf numFmtId="1" fontId="15" fillId="50" borderId="49" xfId="0" applyNumberFormat="1" applyFont="1" applyFill="1" applyBorder="1" applyAlignment="1">
      <alignment horizontal="center"/>
    </xf>
    <xf numFmtId="1" fontId="35" fillId="60" borderId="49" xfId="0" applyNumberFormat="1" applyFont="1" applyFill="1" applyBorder="1" applyAlignment="1">
      <alignment horizontal="left" vertical="center" wrapText="1" indent="6"/>
    </xf>
    <xf numFmtId="1" fontId="15" fillId="60" borderId="49" xfId="0" applyNumberFormat="1" applyFont="1" applyFill="1" applyBorder="1" applyAlignment="1">
      <alignment horizontal="center" vertical="center"/>
    </xf>
    <xf numFmtId="0" fontId="113" fillId="60" borderId="49" xfId="0" applyFont="1" applyFill="1" applyBorder="1"/>
    <xf numFmtId="0" fontId="0" fillId="60" borderId="0" xfId="0" applyFill="1"/>
    <xf numFmtId="1" fontId="116" fillId="41" borderId="50" xfId="0" applyNumberFormat="1" applyFont="1" applyFill="1" applyBorder="1" applyAlignment="1">
      <alignment horizontal="center" vertical="center"/>
    </xf>
    <xf numFmtId="1" fontId="115" fillId="61" borderId="50" xfId="0" applyNumberFormat="1" applyFont="1" applyFill="1" applyBorder="1" applyAlignment="1">
      <alignment horizontal="center"/>
    </xf>
    <xf numFmtId="1" fontId="113" fillId="50" borderId="50" xfId="0" applyNumberFormat="1" applyFont="1" applyFill="1" applyBorder="1" applyAlignment="1">
      <alignment horizontal="center" vertical="center"/>
    </xf>
    <xf numFmtId="1" fontId="113" fillId="50" borderId="50" xfId="16" applyNumberFormat="1" applyFont="1" applyFill="1" applyBorder="1" applyAlignment="1">
      <alignment horizontal="center" vertical="center"/>
    </xf>
    <xf numFmtId="1" fontId="113" fillId="50" borderId="50" xfId="0" applyNumberFormat="1" applyFont="1" applyFill="1" applyBorder="1" applyAlignment="1">
      <alignment horizontal="center"/>
    </xf>
    <xf numFmtId="1" fontId="115" fillId="61" borderId="50" xfId="0" applyNumberFormat="1" applyFont="1" applyFill="1" applyBorder="1" applyAlignment="1">
      <alignment horizontal="center" vertical="center"/>
    </xf>
    <xf numFmtId="1" fontId="116" fillId="41" borderId="50" xfId="0" applyNumberFormat="1" applyFont="1" applyFill="1" applyBorder="1" applyAlignment="1">
      <alignment horizontal="center"/>
    </xf>
    <xf numFmtId="1" fontId="31" fillId="60" borderId="50" xfId="0" applyNumberFormat="1" applyFont="1" applyFill="1" applyBorder="1" applyAlignment="1">
      <alignment horizontal="center" vertical="center"/>
    </xf>
    <xf numFmtId="1" fontId="15" fillId="42" borderId="50" xfId="0" applyNumberFormat="1" applyFont="1" applyFill="1" applyBorder="1" applyAlignment="1">
      <alignment horizontal="center" vertical="center"/>
    </xf>
    <xf numFmtId="1" fontId="15" fillId="50" borderId="50" xfId="0" applyNumberFormat="1" applyFont="1" applyFill="1" applyBorder="1" applyAlignment="1">
      <alignment horizontal="center" vertical="center"/>
    </xf>
    <xf numFmtId="1" fontId="15" fillId="0" borderId="50" xfId="0" applyNumberFormat="1" applyFont="1" applyBorder="1" applyAlignment="1">
      <alignment horizontal="center" vertical="center"/>
    </xf>
    <xf numFmtId="1" fontId="31" fillId="61" borderId="50" xfId="0" applyNumberFormat="1" applyFont="1" applyFill="1" applyBorder="1" applyAlignment="1">
      <alignment horizontal="center" vertical="center"/>
    </xf>
    <xf numFmtId="1" fontId="113" fillId="42" borderId="50" xfId="0" applyNumberFormat="1" applyFont="1" applyFill="1" applyBorder="1" applyAlignment="1">
      <alignment horizontal="center" vertical="center"/>
    </xf>
    <xf numFmtId="1" fontId="31" fillId="0" borderId="50" xfId="0" applyNumberFormat="1" applyFont="1" applyBorder="1" applyAlignment="1">
      <alignment horizontal="center" vertical="center"/>
    </xf>
    <xf numFmtId="1" fontId="113" fillId="42" borderId="50" xfId="0" applyNumberFormat="1" applyFont="1" applyFill="1" applyBorder="1"/>
    <xf numFmtId="3" fontId="15" fillId="42" borderId="50" xfId="0" applyNumberFormat="1" applyFont="1" applyFill="1" applyBorder="1" applyAlignment="1">
      <alignment vertical="center"/>
    </xf>
    <xf numFmtId="171" fontId="114" fillId="53" borderId="3" xfId="0" applyNumberFormat="1" applyFont="1" applyFill="1" applyBorder="1" applyAlignment="1">
      <alignment horizontal="center" vertical="center"/>
    </xf>
    <xf numFmtId="3" fontId="114" fillId="41" borderId="51" xfId="0" applyNumberFormat="1" applyFont="1" applyFill="1" applyBorder="1" applyAlignment="1">
      <alignment horizontal="center" vertical="center"/>
    </xf>
    <xf numFmtId="3" fontId="115" fillId="0" borderId="51" xfId="0" applyNumberFormat="1" applyFont="1" applyBorder="1" applyAlignment="1">
      <alignment horizontal="center" vertical="center"/>
    </xf>
    <xf numFmtId="3" fontId="115" fillId="61" borderId="51" xfId="0" applyNumberFormat="1" applyFont="1" applyFill="1" applyBorder="1" applyAlignment="1">
      <alignment horizontal="center"/>
    </xf>
    <xf numFmtId="3" fontId="113" fillId="42" borderId="51" xfId="0" applyNumberFormat="1" applyFont="1" applyFill="1" applyBorder="1" applyAlignment="1">
      <alignment horizontal="center"/>
    </xf>
    <xf numFmtId="3" fontId="113" fillId="50" borderId="51" xfId="0" applyNumberFormat="1" applyFont="1" applyFill="1" applyBorder="1" applyAlignment="1">
      <alignment horizontal="center"/>
    </xf>
    <xf numFmtId="3" fontId="113" fillId="0" borderId="51" xfId="0" applyNumberFormat="1" applyFont="1" applyBorder="1" applyAlignment="1">
      <alignment horizontal="center"/>
    </xf>
    <xf numFmtId="3" fontId="115" fillId="61" borderId="51" xfId="0" applyNumberFormat="1" applyFont="1" applyFill="1" applyBorder="1" applyAlignment="1">
      <alignment horizontal="center" vertical="center"/>
    </xf>
    <xf numFmtId="3" fontId="115" fillId="0" borderId="51" xfId="0" applyNumberFormat="1" applyFont="1" applyBorder="1" applyAlignment="1">
      <alignment horizontal="center"/>
    </xf>
    <xf numFmtId="3" fontId="115" fillId="60" borderId="51" xfId="0" applyNumberFormat="1" applyFont="1" applyFill="1" applyBorder="1" applyAlignment="1">
      <alignment horizontal="center" vertical="center"/>
    </xf>
    <xf numFmtId="3" fontId="113" fillId="42" borderId="51" xfId="0" applyNumberFormat="1" applyFont="1" applyFill="1" applyBorder="1"/>
    <xf numFmtId="3" fontId="113" fillId="50" borderId="51" xfId="0" applyNumberFormat="1" applyFont="1" applyFill="1" applyBorder="1"/>
    <xf numFmtId="3" fontId="115" fillId="50" borderId="51" xfId="0" applyNumberFormat="1" applyFont="1" applyFill="1" applyBorder="1" applyAlignment="1">
      <alignment horizontal="center" vertical="center"/>
    </xf>
    <xf numFmtId="3" fontId="115" fillId="42" borderId="51" xfId="0" applyNumberFormat="1" applyFont="1" applyFill="1" applyBorder="1" applyAlignment="1">
      <alignment horizontal="center" vertical="center"/>
    </xf>
    <xf numFmtId="3" fontId="115" fillId="0" borderId="51" xfId="0" applyNumberFormat="1" applyFont="1" applyBorder="1"/>
    <xf numFmtId="3" fontId="113" fillId="0" borderId="51" xfId="0" applyNumberFormat="1" applyFont="1" applyBorder="1" applyAlignment="1">
      <alignment horizontal="center" vertical="center"/>
    </xf>
    <xf numFmtId="3" fontId="15" fillId="0" borderId="51" xfId="0" applyNumberFormat="1" applyFont="1" applyBorder="1" applyAlignment="1">
      <alignment horizontal="center" vertical="center"/>
    </xf>
    <xf numFmtId="3" fontId="113" fillId="0" borderId="51" xfId="0" applyNumberFormat="1" applyFont="1" applyBorder="1"/>
    <xf numFmtId="3" fontId="114" fillId="44" borderId="25" xfId="0" applyNumberFormat="1" applyFont="1" applyFill="1" applyBorder="1" applyAlignment="1">
      <alignment horizontal="center" vertical="center" wrapText="1"/>
    </xf>
    <xf numFmtId="0" fontId="83" fillId="0" borderId="52" xfId="0" applyFont="1" applyBorder="1"/>
    <xf numFmtId="0" fontId="115" fillId="41" borderId="52" xfId="0" applyFont="1" applyFill="1" applyBorder="1" applyAlignment="1">
      <alignment horizontal="center" vertical="center"/>
    </xf>
    <xf numFmtId="3" fontId="114" fillId="41" borderId="52" xfId="0" applyNumberFormat="1" applyFont="1" applyFill="1" applyBorder="1" applyAlignment="1">
      <alignment horizontal="center" vertical="center"/>
    </xf>
    <xf numFmtId="1" fontId="116" fillId="41" borderId="52" xfId="0" applyNumberFormat="1" applyFont="1" applyFill="1" applyBorder="1" applyAlignment="1">
      <alignment horizontal="center" vertical="center"/>
    </xf>
    <xf numFmtId="1" fontId="119" fillId="42" borderId="52" xfId="0" applyNumberFormat="1" applyFont="1" applyFill="1" applyBorder="1"/>
    <xf numFmtId="3" fontId="119" fillId="42" borderId="52" xfId="0" applyNumberFormat="1" applyFont="1" applyFill="1" applyBorder="1" applyAlignment="1">
      <alignment horizontal="center" vertical="center"/>
    </xf>
    <xf numFmtId="3" fontId="15" fillId="42" borderId="52" xfId="0" applyNumberFormat="1" applyFont="1" applyFill="1" applyBorder="1" applyAlignment="1">
      <alignment vertical="center"/>
    </xf>
    <xf numFmtId="3" fontId="119" fillId="42" borderId="52" xfId="0" applyNumberFormat="1" applyFont="1" applyFill="1" applyBorder="1" applyAlignment="1">
      <alignment vertical="center"/>
    </xf>
    <xf numFmtId="3" fontId="120" fillId="0" borderId="52" xfId="0" applyNumberFormat="1" applyFont="1" applyBorder="1" applyAlignment="1">
      <alignment horizontal="center" vertical="center"/>
    </xf>
    <xf numFmtId="3" fontId="119" fillId="0" borderId="52" xfId="0" applyNumberFormat="1" applyFont="1" applyBorder="1" applyAlignment="1">
      <alignment horizontal="center" vertical="center"/>
    </xf>
    <xf numFmtId="168" fontId="119" fillId="0" borderId="52" xfId="0" applyNumberFormat="1" applyFont="1" applyBorder="1" applyAlignment="1">
      <alignment horizontal="center" vertical="center"/>
    </xf>
    <xf numFmtId="3" fontId="119" fillId="44" borderId="52" xfId="0" applyNumberFormat="1" applyFont="1" applyFill="1" applyBorder="1" applyAlignment="1">
      <alignment horizontal="center" vertical="center"/>
    </xf>
    <xf numFmtId="3" fontId="119" fillId="54" borderId="52" xfId="0" applyNumberFormat="1" applyFont="1" applyFill="1" applyBorder="1" applyAlignment="1">
      <alignment horizontal="center" vertical="center"/>
    </xf>
    <xf numFmtId="3" fontId="120" fillId="53" borderId="52" xfId="0" applyNumberFormat="1" applyFont="1" applyFill="1" applyBorder="1" applyAlignment="1">
      <alignment horizontal="center" vertical="center"/>
    </xf>
    <xf numFmtId="0" fontId="120" fillId="43" borderId="52" xfId="0" applyFont="1" applyFill="1" applyBorder="1" applyAlignment="1">
      <alignment horizontal="center" vertical="center"/>
    </xf>
    <xf numFmtId="164" fontId="119" fillId="48" borderId="52" xfId="0" applyNumberFormat="1" applyFont="1" applyFill="1" applyBorder="1" applyAlignment="1">
      <alignment horizontal="center" vertical="center"/>
    </xf>
    <xf numFmtId="0" fontId="119" fillId="48" borderId="52" xfId="0" applyFont="1" applyFill="1" applyBorder="1"/>
    <xf numFmtId="3" fontId="119" fillId="48" borderId="52" xfId="0" applyNumberFormat="1" applyFont="1" applyFill="1" applyBorder="1" applyAlignment="1">
      <alignment horizontal="center"/>
    </xf>
    <xf numFmtId="164" fontId="119" fillId="48" borderId="52" xfId="0" applyNumberFormat="1" applyFont="1" applyFill="1" applyBorder="1" applyAlignment="1">
      <alignment horizontal="center"/>
    </xf>
    <xf numFmtId="0" fontId="119" fillId="0" borderId="52" xfId="0" applyFont="1" applyBorder="1"/>
    <xf numFmtId="3" fontId="113" fillId="0" borderId="52" xfId="0" applyNumberFormat="1" applyFont="1" applyBorder="1"/>
    <xf numFmtId="177" fontId="113" fillId="0" borderId="52" xfId="5" applyNumberFormat="1" applyFont="1" applyBorder="1"/>
    <xf numFmtId="166" fontId="83" fillId="0" borderId="52" xfId="0" applyNumberFormat="1" applyFont="1" applyBorder="1"/>
    <xf numFmtId="3" fontId="15" fillId="42" borderId="49" xfId="0" applyNumberFormat="1" applyFont="1" applyFill="1" applyBorder="1" applyAlignment="1">
      <alignment horizontal="center" vertical="center"/>
    </xf>
    <xf numFmtId="3" fontId="15" fillId="42" borderId="50" xfId="0" applyNumberFormat="1" applyFont="1" applyFill="1" applyBorder="1" applyAlignment="1">
      <alignment horizontal="center" vertical="center"/>
    </xf>
    <xf numFmtId="1" fontId="113" fillId="42" borderId="53" xfId="0" applyNumberFormat="1" applyFont="1" applyFill="1" applyBorder="1" applyAlignment="1">
      <alignment horizontal="center" vertical="center"/>
    </xf>
    <xf numFmtId="1" fontId="113" fillId="42" borderId="53" xfId="0" applyNumberFormat="1" applyFont="1" applyFill="1" applyBorder="1" applyAlignment="1">
      <alignment horizontal="center"/>
    </xf>
    <xf numFmtId="1" fontId="113" fillId="50" borderId="53" xfId="16" applyNumberFormat="1" applyFont="1" applyFill="1" applyBorder="1" applyAlignment="1">
      <alignment horizontal="center" vertical="center"/>
    </xf>
    <xf numFmtId="1" fontId="113" fillId="50" borderId="53" xfId="0" applyNumberFormat="1" applyFont="1" applyFill="1" applyBorder="1" applyAlignment="1">
      <alignment horizontal="center"/>
    </xf>
    <xf numFmtId="1" fontId="116" fillId="41" borderId="53" xfId="0" applyNumberFormat="1" applyFont="1" applyFill="1" applyBorder="1" applyAlignment="1">
      <alignment horizontal="center" vertical="center"/>
    </xf>
    <xf numFmtId="1" fontId="115" fillId="61" borderId="53" xfId="0" applyNumberFormat="1" applyFont="1" applyFill="1" applyBorder="1" applyAlignment="1">
      <alignment horizontal="center" vertical="center"/>
    </xf>
    <xf numFmtId="1" fontId="115" fillId="61" borderId="53" xfId="0" applyNumberFormat="1" applyFont="1" applyFill="1" applyBorder="1" applyAlignment="1">
      <alignment horizontal="center"/>
    </xf>
    <xf numFmtId="1" fontId="113" fillId="50" borderId="53" xfId="0" applyNumberFormat="1" applyFont="1" applyFill="1" applyBorder="1" applyAlignment="1">
      <alignment horizontal="center" vertical="center"/>
    </xf>
    <xf numFmtId="1" fontId="115" fillId="60" borderId="53" xfId="0" applyNumberFormat="1" applyFont="1" applyFill="1" applyBorder="1" applyAlignment="1">
      <alignment horizontal="center"/>
    </xf>
    <xf numFmtId="1" fontId="115" fillId="60" borderId="53" xfId="0" applyNumberFormat="1" applyFont="1" applyFill="1" applyBorder="1" applyAlignment="1">
      <alignment horizontal="center" vertical="center"/>
    </xf>
    <xf numFmtId="1" fontId="113" fillId="0" borderId="53" xfId="0" applyNumberFormat="1" applyFont="1" applyBorder="1" applyAlignment="1">
      <alignment horizontal="center" vertical="center"/>
    </xf>
    <xf numFmtId="1" fontId="121" fillId="41" borderId="53" xfId="0" applyNumberFormat="1" applyFont="1" applyFill="1" applyBorder="1" applyAlignment="1">
      <alignment horizontal="center" vertical="center"/>
    </xf>
    <xf numFmtId="1" fontId="115" fillId="0" borderId="53" xfId="0" applyNumberFormat="1" applyFont="1" applyBorder="1" applyAlignment="1">
      <alignment horizontal="center" vertical="center"/>
    </xf>
    <xf numFmtId="1" fontId="113" fillId="50" borderId="9" xfId="16" applyNumberFormat="1" applyFont="1" applyFill="1" applyBorder="1" applyAlignment="1">
      <alignment horizontal="center" vertical="center"/>
    </xf>
    <xf numFmtId="1" fontId="113" fillId="42" borderId="9" xfId="0" applyNumberFormat="1" applyFont="1" applyFill="1" applyBorder="1" applyAlignment="1">
      <alignment horizontal="center" vertical="center"/>
    </xf>
    <xf numFmtId="1" fontId="113" fillId="50" borderId="9" xfId="0" applyNumberFormat="1" applyFont="1" applyFill="1" applyBorder="1" applyAlignment="1">
      <alignment horizontal="center" vertical="center"/>
    </xf>
    <xf numFmtId="1" fontId="113" fillId="42" borderId="9" xfId="0" applyNumberFormat="1" applyFont="1" applyFill="1" applyBorder="1" applyAlignment="1">
      <alignment horizontal="center"/>
    </xf>
    <xf numFmtId="1" fontId="115" fillId="61" borderId="9" xfId="0" applyNumberFormat="1" applyFont="1" applyFill="1" applyBorder="1" applyAlignment="1">
      <alignment horizontal="center" vertical="center"/>
    </xf>
    <xf numFmtId="1" fontId="113" fillId="50" borderId="9" xfId="0" applyNumberFormat="1" applyFont="1" applyFill="1" applyBorder="1" applyAlignment="1">
      <alignment horizontal="center"/>
    </xf>
    <xf numFmtId="1" fontId="113" fillId="60" borderId="9" xfId="0" applyNumberFormat="1" applyFont="1" applyFill="1" applyBorder="1" applyAlignment="1">
      <alignment horizontal="center"/>
    </xf>
    <xf numFmtId="1" fontId="116" fillId="41" borderId="54" xfId="0" applyNumberFormat="1" applyFont="1" applyFill="1" applyBorder="1" applyAlignment="1">
      <alignment horizontal="center" vertical="center"/>
    </xf>
    <xf numFmtId="1" fontId="116" fillId="41" borderId="55" xfId="0" applyNumberFormat="1" applyFont="1" applyFill="1" applyBorder="1" applyAlignment="1">
      <alignment horizontal="center" vertical="center"/>
    </xf>
    <xf numFmtId="1" fontId="116" fillId="41" borderId="56" xfId="0" applyNumberFormat="1" applyFont="1" applyFill="1" applyBorder="1" applyAlignment="1">
      <alignment horizontal="center" vertical="center"/>
    </xf>
    <xf numFmtId="1" fontId="116" fillId="41" borderId="15" xfId="0" applyNumberFormat="1" applyFont="1" applyFill="1" applyBorder="1" applyAlignment="1">
      <alignment horizontal="center" vertical="center"/>
    </xf>
    <xf numFmtId="1" fontId="113" fillId="0" borderId="9" xfId="0" applyNumberFormat="1" applyFont="1" applyBorder="1" applyAlignment="1">
      <alignment horizontal="center" vertical="center"/>
    </xf>
    <xf numFmtId="1" fontId="113" fillId="0" borderId="0" xfId="0" applyNumberFormat="1" applyFont="1" applyAlignment="1">
      <alignment horizontal="center" vertical="center"/>
    </xf>
    <xf numFmtId="1" fontId="38" fillId="62" borderId="23" xfId="0" applyNumberFormat="1" applyFont="1" applyFill="1" applyBorder="1" applyAlignment="1">
      <alignment horizontal="center" vertical="center"/>
    </xf>
    <xf numFmtId="0" fontId="108" fillId="0" borderId="0" xfId="0" applyFont="1" applyAlignment="1">
      <alignment horizontal="center" vertical="center"/>
    </xf>
    <xf numFmtId="178" fontId="0" fillId="0" borderId="0" xfId="0" applyNumberFormat="1"/>
    <xf numFmtId="1" fontId="116" fillId="41" borderId="57" xfId="0" applyNumberFormat="1" applyFont="1" applyFill="1" applyBorder="1" applyAlignment="1">
      <alignment horizontal="center" vertical="center"/>
    </xf>
    <xf numFmtId="1" fontId="116" fillId="41" borderId="58" xfId="0" applyNumberFormat="1" applyFont="1" applyFill="1" applyBorder="1" applyAlignment="1">
      <alignment horizontal="center" vertical="center"/>
    </xf>
    <xf numFmtId="1" fontId="115" fillId="42" borderId="9" xfId="0" applyNumberFormat="1" applyFont="1" applyFill="1" applyBorder="1" applyAlignment="1">
      <alignment horizontal="center" vertical="center"/>
    </xf>
    <xf numFmtId="1" fontId="115" fillId="60" borderId="9" xfId="0" applyNumberFormat="1" applyFont="1" applyFill="1" applyBorder="1" applyAlignment="1">
      <alignment horizontal="center" vertical="center"/>
    </xf>
    <xf numFmtId="1" fontId="15" fillId="0" borderId="55" xfId="0" applyNumberFormat="1" applyFont="1" applyBorder="1" applyAlignment="1">
      <alignment horizontal="center" vertical="center"/>
    </xf>
    <xf numFmtId="1" fontId="113" fillId="0" borderId="58" xfId="0" applyNumberFormat="1" applyFont="1" applyBorder="1" applyAlignment="1">
      <alignment horizontal="center" vertical="center"/>
    </xf>
    <xf numFmtId="1" fontId="115" fillId="0" borderId="57" xfId="0" applyNumberFormat="1" applyFont="1" applyBorder="1" applyAlignment="1">
      <alignment horizontal="center" vertical="center"/>
    </xf>
    <xf numFmtId="1" fontId="15" fillId="0" borderId="9" xfId="0" applyNumberFormat="1" applyFont="1" applyBorder="1" applyAlignment="1">
      <alignment horizontal="center" vertical="center"/>
    </xf>
    <xf numFmtId="1" fontId="15" fillId="42" borderId="9" xfId="0" applyNumberFormat="1" applyFont="1" applyFill="1" applyBorder="1" applyAlignment="1">
      <alignment horizontal="center" vertical="center"/>
    </xf>
    <xf numFmtId="166" fontId="36" fillId="0" borderId="0" xfId="16" applyNumberFormat="1" applyFont="1" applyAlignment="1">
      <alignment horizontal="center"/>
    </xf>
    <xf numFmtId="178" fontId="0" fillId="0" borderId="0" xfId="0" applyNumberFormat="1" applyAlignment="1">
      <alignment horizontal="center"/>
    </xf>
    <xf numFmtId="2" fontId="115" fillId="58" borderId="53" xfId="0" applyNumberFormat="1" applyFont="1" applyFill="1" applyBorder="1" applyAlignment="1">
      <alignment horizontal="center" vertical="center"/>
    </xf>
    <xf numFmtId="2" fontId="122" fillId="43" borderId="9" xfId="0" applyNumberFormat="1" applyFont="1" applyFill="1" applyBorder="1" applyAlignment="1">
      <alignment horizontal="center" vertical="center"/>
    </xf>
    <xf numFmtId="2" fontId="0" fillId="58" borderId="11" xfId="0" applyNumberFormat="1" applyFill="1" applyBorder="1" applyAlignment="1">
      <alignment horizontal="center"/>
    </xf>
    <xf numFmtId="2" fontId="0" fillId="58" borderId="0" xfId="0" applyNumberFormat="1" applyFill="1" applyAlignment="1">
      <alignment horizontal="center"/>
    </xf>
    <xf numFmtId="2" fontId="41" fillId="58" borderId="0" xfId="0" applyNumberFormat="1" applyFont="1" applyFill="1" applyAlignment="1">
      <alignment horizontal="center"/>
    </xf>
    <xf numFmtId="49" fontId="0" fillId="0" borderId="0" xfId="0" applyNumberFormat="1"/>
    <xf numFmtId="2" fontId="36" fillId="0" borderId="9" xfId="1" applyNumberFormat="1" applyFont="1" applyBorder="1"/>
    <xf numFmtId="164" fontId="0" fillId="0" borderId="12" xfId="0" applyNumberFormat="1" applyBorder="1" applyAlignment="1">
      <alignment horizontal="center"/>
    </xf>
    <xf numFmtId="170" fontId="29" fillId="0" borderId="12" xfId="8" applyNumberFormat="1" applyFont="1" applyBorder="1" applyAlignment="1">
      <alignment horizontal="center" vertical="center" wrapText="1"/>
    </xf>
    <xf numFmtId="164" fontId="0" fillId="0" borderId="23" xfId="0" applyNumberFormat="1" applyBorder="1" applyAlignment="1">
      <alignment horizontal="center"/>
    </xf>
    <xf numFmtId="0" fontId="37" fillId="0" borderId="0" xfId="1"/>
    <xf numFmtId="0" fontId="36" fillId="0" borderId="0" xfId="1" applyFont="1"/>
    <xf numFmtId="0" fontId="37" fillId="0" borderId="8" xfId="1" applyBorder="1"/>
    <xf numFmtId="0" fontId="123" fillId="63" borderId="44" xfId="0" applyFont="1" applyFill="1" applyBorder="1" applyAlignment="1">
      <alignment horizontal="center" vertical="center" wrapText="1"/>
    </xf>
    <xf numFmtId="0" fontId="123" fillId="63" borderId="59" xfId="0" applyFont="1" applyFill="1" applyBorder="1" applyAlignment="1">
      <alignment horizontal="center" vertical="center" wrapText="1"/>
    </xf>
    <xf numFmtId="0" fontId="123" fillId="63" borderId="60" xfId="0" applyFont="1" applyFill="1" applyBorder="1" applyAlignment="1">
      <alignment horizontal="center" vertical="center" wrapText="1"/>
    </xf>
    <xf numFmtId="0" fontId="123" fillId="63" borderId="61" xfId="0" applyFont="1" applyFill="1" applyBorder="1" applyAlignment="1">
      <alignment vertical="center" wrapText="1"/>
    </xf>
    <xf numFmtId="0" fontId="124" fillId="0" borderId="46" xfId="0" applyFont="1" applyBorder="1" applyAlignment="1">
      <alignment horizontal="right" vertical="center" wrapText="1"/>
    </xf>
    <xf numFmtId="3" fontId="124" fillId="0" borderId="46" xfId="0" applyNumberFormat="1" applyFont="1" applyBorder="1" applyAlignment="1">
      <alignment horizontal="center" vertical="center" wrapText="1"/>
    </xf>
    <xf numFmtId="3" fontId="124" fillId="0" borderId="47" xfId="0" applyNumberFormat="1" applyFont="1" applyBorder="1" applyAlignment="1">
      <alignment vertical="center" wrapText="1"/>
    </xf>
    <xf numFmtId="1" fontId="124" fillId="0" borderId="46" xfId="0" applyNumberFormat="1" applyFont="1" applyBorder="1" applyAlignment="1">
      <alignment horizontal="center" vertical="center" wrapText="1"/>
    </xf>
    <xf numFmtId="164" fontId="124" fillId="0" borderId="46" xfId="0" applyNumberFormat="1" applyFont="1" applyBorder="1" applyAlignment="1">
      <alignment horizontal="center" vertical="center" wrapText="1"/>
    </xf>
    <xf numFmtId="2" fontId="0" fillId="42" borderId="9" xfId="0" applyNumberFormat="1" applyFill="1" applyBorder="1" applyAlignment="1">
      <alignment horizontal="center"/>
    </xf>
    <xf numFmtId="2" fontId="0" fillId="60" borderId="9" xfId="0" applyNumberFormat="1" applyFill="1" applyBorder="1" applyAlignment="1">
      <alignment horizontal="center"/>
    </xf>
    <xf numFmtId="3" fontId="125" fillId="42" borderId="62" xfId="0" applyNumberFormat="1" applyFont="1" applyFill="1" applyBorder="1" applyAlignment="1">
      <alignment vertical="center"/>
    </xf>
    <xf numFmtId="1" fontId="116" fillId="41" borderId="9" xfId="0" applyNumberFormat="1" applyFont="1" applyFill="1" applyBorder="1" applyAlignment="1">
      <alignment horizontal="center" vertical="center"/>
    </xf>
    <xf numFmtId="3" fontId="15" fillId="42" borderId="55" xfId="0" applyNumberFormat="1" applyFont="1" applyFill="1" applyBorder="1" applyAlignment="1">
      <alignment vertical="center"/>
    </xf>
    <xf numFmtId="3" fontId="114" fillId="44" borderId="9" xfId="0" applyNumberFormat="1" applyFont="1" applyFill="1" applyBorder="1" applyAlignment="1">
      <alignment horizontal="center" vertical="center"/>
    </xf>
    <xf numFmtId="1" fontId="113" fillId="60" borderId="53" xfId="0" applyNumberFormat="1" applyFont="1" applyFill="1" applyBorder="1" applyAlignment="1">
      <alignment horizontal="center" vertical="center"/>
    </xf>
    <xf numFmtId="1" fontId="119" fillId="48" borderId="53" xfId="0" applyNumberFormat="1" applyFont="1" applyFill="1" applyBorder="1" applyAlignment="1">
      <alignment horizontal="center"/>
    </xf>
    <xf numFmtId="2" fontId="83" fillId="60" borderId="9" xfId="0" applyNumberFormat="1" applyFont="1" applyFill="1" applyBorder="1" applyAlignment="1">
      <alignment horizontal="center"/>
    </xf>
    <xf numFmtId="2" fontId="126" fillId="45" borderId="9" xfId="0" applyNumberFormat="1" applyFont="1" applyFill="1" applyBorder="1" applyAlignment="1">
      <alignment horizontal="center" vertical="center"/>
    </xf>
    <xf numFmtId="2" fontId="127" fillId="58" borderId="9" xfId="0" applyNumberFormat="1" applyFont="1" applyFill="1" applyBorder="1" applyAlignment="1">
      <alignment horizontal="center" vertical="center"/>
    </xf>
    <xf numFmtId="1" fontId="45" fillId="0" borderId="49" xfId="0" applyNumberFormat="1" applyFont="1" applyBorder="1" applyAlignment="1">
      <alignment horizontal="right" vertical="center" wrapText="1"/>
    </xf>
    <xf numFmtId="1" fontId="45" fillId="42" borderId="49" xfId="0" applyNumberFormat="1" applyFont="1" applyFill="1" applyBorder="1" applyAlignment="1">
      <alignment horizontal="right" vertical="center" wrapText="1" indent="6"/>
    </xf>
    <xf numFmtId="1" fontId="45" fillId="42" borderId="49" xfId="0" applyNumberFormat="1" applyFont="1" applyFill="1" applyBorder="1" applyAlignment="1">
      <alignment horizontal="right" vertical="center" wrapText="1"/>
    </xf>
    <xf numFmtId="1" fontId="115" fillId="0" borderId="9" xfId="0" applyNumberFormat="1" applyFont="1" applyBorder="1" applyAlignment="1">
      <alignment horizontal="center" vertical="center"/>
    </xf>
    <xf numFmtId="1" fontId="114" fillId="41" borderId="9" xfId="0" applyNumberFormat="1" applyFont="1" applyFill="1" applyBorder="1" applyAlignment="1">
      <alignment horizontal="center" vertical="center"/>
    </xf>
    <xf numFmtId="1" fontId="0" fillId="64" borderId="9" xfId="0" applyNumberFormat="1" applyFill="1" applyBorder="1" applyAlignment="1">
      <alignment horizontal="center" vertical="center"/>
    </xf>
    <xf numFmtId="2" fontId="128" fillId="65" borderId="9" xfId="0" applyNumberFormat="1" applyFont="1" applyFill="1" applyBorder="1" applyAlignment="1">
      <alignment horizontal="center" vertical="center"/>
    </xf>
    <xf numFmtId="2" fontId="129" fillId="65" borderId="9" xfId="0" applyNumberFormat="1" applyFont="1" applyFill="1" applyBorder="1" applyAlignment="1">
      <alignment horizontal="center" vertical="center"/>
    </xf>
    <xf numFmtId="1" fontId="113" fillId="0" borderId="49" xfId="0" applyNumberFormat="1" applyFont="1" applyBorder="1"/>
    <xf numFmtId="2" fontId="108" fillId="0" borderId="0" xfId="0" applyNumberFormat="1" applyFont="1"/>
    <xf numFmtId="1" fontId="116" fillId="41" borderId="51" xfId="0" applyNumberFormat="1" applyFont="1" applyFill="1" applyBorder="1" applyAlignment="1">
      <alignment horizontal="center" vertical="center"/>
    </xf>
    <xf numFmtId="1" fontId="116" fillId="41" borderId="63" xfId="0" applyNumberFormat="1" applyFont="1" applyFill="1" applyBorder="1" applyAlignment="1">
      <alignment horizontal="center" vertical="center"/>
    </xf>
    <xf numFmtId="1" fontId="113" fillId="42" borderId="11" xfId="0" applyNumberFormat="1" applyFont="1" applyFill="1" applyBorder="1" applyAlignment="1">
      <alignment horizontal="center" vertical="center"/>
    </xf>
    <xf numFmtId="1" fontId="113" fillId="50" borderId="11" xfId="0" applyNumberFormat="1" applyFont="1" applyFill="1" applyBorder="1" applyAlignment="1">
      <alignment horizontal="center" vertical="center"/>
    </xf>
    <xf numFmtId="1" fontId="113" fillId="50" borderId="64" xfId="0" applyNumberFormat="1" applyFont="1" applyFill="1" applyBorder="1" applyAlignment="1">
      <alignment horizontal="center"/>
    </xf>
    <xf numFmtId="1" fontId="115" fillId="60" borderId="11" xfId="0" applyNumberFormat="1" applyFont="1" applyFill="1" applyBorder="1" applyAlignment="1">
      <alignment horizontal="center" vertical="center"/>
    </xf>
    <xf numFmtId="1" fontId="15" fillId="42" borderId="64" xfId="0" applyNumberFormat="1" applyFont="1" applyFill="1" applyBorder="1" applyAlignment="1">
      <alignment horizontal="center" vertical="center"/>
    </xf>
    <xf numFmtId="1" fontId="113" fillId="0" borderId="11" xfId="0" applyNumberFormat="1" applyFont="1" applyBorder="1" applyAlignment="1">
      <alignment horizontal="center" vertical="center"/>
    </xf>
    <xf numFmtId="1" fontId="113" fillId="42" borderId="11" xfId="0" applyNumberFormat="1" applyFont="1" applyFill="1" applyBorder="1" applyAlignment="1">
      <alignment horizontal="center"/>
    </xf>
    <xf numFmtId="1" fontId="113" fillId="60" borderId="11" xfId="0" applyNumberFormat="1" applyFont="1" applyFill="1" applyBorder="1" applyAlignment="1">
      <alignment horizontal="center"/>
    </xf>
    <xf numFmtId="1" fontId="31" fillId="0" borderId="64" xfId="0" applyNumberFormat="1" applyFont="1" applyBorder="1" applyAlignment="1">
      <alignment horizontal="center" vertical="center"/>
    </xf>
    <xf numFmtId="1" fontId="15" fillId="0" borderId="64" xfId="0" applyNumberFormat="1" applyFont="1" applyBorder="1" applyAlignment="1">
      <alignment horizontal="center" vertical="center"/>
    </xf>
    <xf numFmtId="3" fontId="15" fillId="42" borderId="64" xfId="0" applyNumberFormat="1" applyFont="1" applyFill="1" applyBorder="1" applyAlignment="1">
      <alignment vertical="center"/>
    </xf>
    <xf numFmtId="3" fontId="15" fillId="42" borderId="64" xfId="0" applyNumberFormat="1" applyFont="1" applyFill="1" applyBorder="1" applyAlignment="1">
      <alignment horizontal="center" vertical="center"/>
    </xf>
    <xf numFmtId="3" fontId="15" fillId="42" borderId="65" xfId="0" applyNumberFormat="1" applyFont="1" applyFill="1" applyBorder="1" applyAlignment="1">
      <alignment vertical="center"/>
    </xf>
    <xf numFmtId="3" fontId="114" fillId="44" borderId="11" xfId="0" applyNumberFormat="1" applyFont="1" applyFill="1" applyBorder="1" applyAlignment="1">
      <alignment horizontal="center" vertical="center"/>
    </xf>
    <xf numFmtId="3" fontId="115" fillId="54" borderId="16" xfId="0" applyNumberFormat="1" applyFont="1" applyFill="1" applyBorder="1" applyAlignment="1">
      <alignment horizontal="center" vertical="center"/>
    </xf>
    <xf numFmtId="171" fontId="114" fillId="53" borderId="0" xfId="0" applyNumberFormat="1" applyFont="1" applyFill="1" applyAlignment="1">
      <alignment horizontal="center" vertical="center"/>
    </xf>
    <xf numFmtId="2" fontId="127" fillId="58" borderId="11" xfId="0" applyNumberFormat="1" applyFont="1" applyFill="1" applyBorder="1" applyAlignment="1">
      <alignment horizontal="center" vertical="center"/>
    </xf>
    <xf numFmtId="2" fontId="126" fillId="45" borderId="11" xfId="0" applyNumberFormat="1" applyFont="1" applyFill="1" applyBorder="1" applyAlignment="1">
      <alignment horizontal="center" vertical="center"/>
    </xf>
    <xf numFmtId="2" fontId="128" fillId="65" borderId="11" xfId="0" applyNumberFormat="1" applyFont="1" applyFill="1" applyBorder="1" applyAlignment="1">
      <alignment horizontal="center" vertical="center"/>
    </xf>
    <xf numFmtId="164" fontId="113" fillId="48" borderId="16" xfId="0" applyNumberFormat="1" applyFont="1" applyFill="1" applyBorder="1" applyAlignment="1">
      <alignment horizontal="center" vertical="center"/>
    </xf>
    <xf numFmtId="1" fontId="116" fillId="41" borderId="66" xfId="0" applyNumberFormat="1" applyFont="1" applyFill="1" applyBorder="1" applyAlignment="1">
      <alignment horizontal="center" vertical="center"/>
    </xf>
    <xf numFmtId="1" fontId="116" fillId="41" borderId="67" xfId="0" applyNumberFormat="1" applyFont="1" applyFill="1" applyBorder="1" applyAlignment="1">
      <alignment horizontal="center" vertical="center"/>
    </xf>
    <xf numFmtId="1" fontId="113" fillId="42" borderId="66" xfId="0" applyNumberFormat="1" applyFont="1" applyFill="1" applyBorder="1" applyAlignment="1">
      <alignment horizontal="center" vertical="center"/>
    </xf>
    <xf numFmtId="1" fontId="113" fillId="50" borderId="66" xfId="0" applyNumberFormat="1" applyFont="1" applyFill="1" applyBorder="1" applyAlignment="1">
      <alignment horizontal="center" vertical="center"/>
    </xf>
    <xf numFmtId="1" fontId="113" fillId="50" borderId="66" xfId="0" applyNumberFormat="1" applyFont="1" applyFill="1" applyBorder="1" applyAlignment="1">
      <alignment horizontal="center"/>
    </xf>
    <xf numFmtId="1" fontId="31" fillId="60" borderId="66" xfId="0" applyNumberFormat="1" applyFont="1" applyFill="1" applyBorder="1" applyAlignment="1">
      <alignment horizontal="center" vertical="center"/>
    </xf>
    <xf numFmtId="1" fontId="15" fillId="42" borderId="66" xfId="0" applyNumberFormat="1" applyFont="1" applyFill="1" applyBorder="1" applyAlignment="1">
      <alignment horizontal="center" vertical="center"/>
    </xf>
    <xf numFmtId="1" fontId="15" fillId="50" borderId="66" xfId="0" applyNumberFormat="1" applyFont="1" applyFill="1" applyBorder="1" applyAlignment="1">
      <alignment horizontal="center" vertical="center"/>
    </xf>
    <xf numFmtId="1" fontId="15" fillId="0" borderId="66" xfId="0" applyNumberFormat="1" applyFont="1" applyBorder="1" applyAlignment="1">
      <alignment horizontal="center" vertical="center"/>
    </xf>
    <xf numFmtId="1" fontId="113" fillId="0" borderId="66" xfId="0" applyNumberFormat="1" applyFont="1" applyBorder="1" applyAlignment="1">
      <alignment horizontal="center" vertical="center"/>
    </xf>
    <xf numFmtId="1" fontId="31" fillId="61" borderId="66" xfId="0" applyNumberFormat="1" applyFont="1" applyFill="1" applyBorder="1" applyAlignment="1">
      <alignment horizontal="center" vertical="center"/>
    </xf>
    <xf numFmtId="1" fontId="113" fillId="42" borderId="66" xfId="0" applyNumberFormat="1" applyFont="1" applyFill="1" applyBorder="1" applyAlignment="1">
      <alignment horizontal="center"/>
    </xf>
    <xf numFmtId="1" fontId="15" fillId="60" borderId="66" xfId="0" applyNumberFormat="1" applyFont="1" applyFill="1" applyBorder="1" applyAlignment="1">
      <alignment horizontal="center" vertical="center"/>
    </xf>
    <xf numFmtId="1" fontId="31" fillId="0" borderId="66" xfId="0" applyNumberFormat="1" applyFont="1" applyBorder="1" applyAlignment="1">
      <alignment horizontal="center" vertical="center"/>
    </xf>
    <xf numFmtId="3" fontId="15" fillId="42" borderId="66" xfId="0" applyNumberFormat="1" applyFont="1" applyFill="1" applyBorder="1" applyAlignment="1">
      <alignment vertical="center"/>
    </xf>
    <xf numFmtId="3" fontId="15" fillId="42" borderId="66" xfId="0" applyNumberFormat="1" applyFont="1" applyFill="1" applyBorder="1" applyAlignment="1">
      <alignment horizontal="center" vertical="center"/>
    </xf>
    <xf numFmtId="3" fontId="15" fillId="42" borderId="67" xfId="0" applyNumberFormat="1" applyFont="1" applyFill="1" applyBorder="1" applyAlignment="1">
      <alignment vertical="center"/>
    </xf>
    <xf numFmtId="3" fontId="114" fillId="44" borderId="68" xfId="0" applyNumberFormat="1" applyFont="1" applyFill="1" applyBorder="1" applyAlignment="1">
      <alignment horizontal="center" vertical="center"/>
    </xf>
    <xf numFmtId="3" fontId="115" fillId="0" borderId="69" xfId="0" applyNumberFormat="1" applyFont="1" applyBorder="1" applyAlignment="1">
      <alignment horizontal="center" vertical="center"/>
    </xf>
    <xf numFmtId="3" fontId="115" fillId="0" borderId="68" xfId="0" applyNumberFormat="1" applyFont="1" applyBorder="1" applyAlignment="1">
      <alignment horizontal="center" vertical="center"/>
    </xf>
    <xf numFmtId="3" fontId="113" fillId="0" borderId="68" xfId="0" applyNumberFormat="1" applyFont="1" applyBorder="1" applyAlignment="1">
      <alignment horizontal="center" vertical="center"/>
    </xf>
    <xf numFmtId="168" fontId="113" fillId="0" borderId="68" xfId="0" applyNumberFormat="1" applyFont="1" applyBorder="1" applyAlignment="1">
      <alignment horizontal="center" vertical="center"/>
    </xf>
    <xf numFmtId="3" fontId="116" fillId="44" borderId="68" xfId="0" applyNumberFormat="1" applyFont="1" applyFill="1" applyBorder="1" applyAlignment="1">
      <alignment horizontal="center" vertical="center"/>
    </xf>
    <xf numFmtId="3" fontId="113" fillId="0" borderId="70" xfId="0" applyNumberFormat="1" applyFont="1" applyBorder="1" applyAlignment="1">
      <alignment horizontal="center" vertical="center"/>
    </xf>
    <xf numFmtId="3" fontId="115" fillId="54" borderId="68" xfId="0" applyNumberFormat="1" applyFont="1" applyFill="1" applyBorder="1" applyAlignment="1">
      <alignment horizontal="center" vertical="center"/>
    </xf>
    <xf numFmtId="2" fontId="115" fillId="0" borderId="71" xfId="0" applyNumberFormat="1" applyFont="1" applyBorder="1" applyAlignment="1">
      <alignment horizontal="center" vertical="center"/>
    </xf>
    <xf numFmtId="171" fontId="114" fillId="53" borderId="71" xfId="0" applyNumberFormat="1" applyFont="1" applyFill="1" applyBorder="1" applyAlignment="1">
      <alignment horizontal="center" vertical="center"/>
    </xf>
    <xf numFmtId="2" fontId="115" fillId="58" borderId="68" xfId="0" applyNumberFormat="1" applyFont="1" applyFill="1" applyBorder="1" applyAlignment="1">
      <alignment horizontal="center" vertical="center"/>
    </xf>
    <xf numFmtId="2" fontId="115" fillId="45" borderId="68" xfId="0" applyNumberFormat="1" applyFont="1" applyFill="1" applyBorder="1" applyAlignment="1">
      <alignment horizontal="center" vertical="center"/>
    </xf>
    <xf numFmtId="2" fontId="122" fillId="43" borderId="68" xfId="0" applyNumberFormat="1" applyFont="1" applyFill="1" applyBorder="1" applyAlignment="1">
      <alignment horizontal="center" vertical="center"/>
    </xf>
    <xf numFmtId="1" fontId="113" fillId="48" borderId="70" xfId="0" applyNumberFormat="1" applyFont="1" applyFill="1" applyBorder="1" applyAlignment="1">
      <alignment horizontal="center"/>
    </xf>
    <xf numFmtId="164" fontId="113" fillId="48" borderId="68" xfId="0" applyNumberFormat="1" applyFont="1" applyFill="1" applyBorder="1" applyAlignment="1">
      <alignment horizontal="center" vertical="center"/>
    </xf>
    <xf numFmtId="0" fontId="113" fillId="48" borderId="70" xfId="0" applyFont="1" applyFill="1" applyBorder="1"/>
    <xf numFmtId="3" fontId="113" fillId="48" borderId="70" xfId="0" applyNumberFormat="1" applyFont="1" applyFill="1" applyBorder="1" applyAlignment="1">
      <alignment horizontal="center"/>
    </xf>
    <xf numFmtId="164" fontId="113" fillId="48" borderId="70" xfId="0" applyNumberFormat="1" applyFont="1" applyFill="1" applyBorder="1" applyAlignment="1">
      <alignment horizontal="center"/>
    </xf>
    <xf numFmtId="0" fontId="113" fillId="0" borderId="70" xfId="0" applyFont="1" applyBorder="1"/>
    <xf numFmtId="177" fontId="113" fillId="0" borderId="71" xfId="5" applyNumberFormat="1" applyFont="1" applyBorder="1"/>
    <xf numFmtId="0" fontId="0" fillId="0" borderId="70" xfId="0" applyBorder="1"/>
    <xf numFmtId="1" fontId="38" fillId="56" borderId="72" xfId="0" applyNumberFormat="1" applyFont="1" applyFill="1" applyBorder="1" applyAlignment="1">
      <alignment horizontal="center" vertical="center"/>
    </xf>
    <xf numFmtId="166" fontId="36" fillId="0" borderId="70" xfId="16" applyNumberFormat="1" applyFont="1" applyBorder="1"/>
    <xf numFmtId="178" fontId="0" fillId="0" borderId="70" xfId="0" applyNumberFormat="1" applyBorder="1"/>
    <xf numFmtId="164" fontId="0" fillId="0" borderId="70" xfId="0" applyNumberFormat="1" applyBorder="1" applyAlignment="1">
      <alignment horizontal="center"/>
    </xf>
    <xf numFmtId="164" fontId="0" fillId="0" borderId="70" xfId="0" applyNumberFormat="1" applyBorder="1"/>
    <xf numFmtId="171" fontId="0" fillId="0" borderId="70" xfId="0" applyNumberFormat="1" applyBorder="1"/>
    <xf numFmtId="1" fontId="108" fillId="0" borderId="0" xfId="0" applyNumberFormat="1" applyFont="1" applyAlignment="1">
      <alignment horizontal="center"/>
    </xf>
    <xf numFmtId="0" fontId="115" fillId="0" borderId="50" xfId="0" applyFont="1" applyBorder="1" applyAlignment="1">
      <alignment horizontal="center" vertical="center"/>
    </xf>
    <xf numFmtId="0" fontId="115" fillId="61" borderId="50" xfId="0" applyFont="1" applyFill="1" applyBorder="1"/>
    <xf numFmtId="1" fontId="115" fillId="42" borderId="50" xfId="0" applyNumberFormat="1" applyFont="1" applyFill="1" applyBorder="1" applyAlignment="1">
      <alignment horizontal="center"/>
    </xf>
    <xf numFmtId="1" fontId="115" fillId="50" borderId="50" xfId="0" applyNumberFormat="1" applyFont="1" applyFill="1" applyBorder="1" applyAlignment="1">
      <alignment horizontal="center"/>
    </xf>
    <xf numFmtId="1" fontId="115" fillId="0" borderId="50" xfId="0" applyNumberFormat="1" applyFont="1" applyBorder="1" applyAlignment="1">
      <alignment horizontal="center"/>
    </xf>
    <xf numFmtId="0" fontId="115" fillId="0" borderId="50" xfId="0" applyFont="1" applyBorder="1" applyAlignment="1">
      <alignment horizontal="center"/>
    </xf>
    <xf numFmtId="3" fontId="115" fillId="0" borderId="0" xfId="0" applyNumberFormat="1" applyFont="1" applyAlignment="1">
      <alignment horizontal="center" vertical="center"/>
    </xf>
    <xf numFmtId="0" fontId="115" fillId="0" borderId="0" xfId="0" applyFont="1" applyAlignment="1">
      <alignment horizontal="center" vertical="center"/>
    </xf>
    <xf numFmtId="0" fontId="118" fillId="0" borderId="0" xfId="0" applyFont="1" applyAlignment="1">
      <alignment horizontal="center"/>
    </xf>
    <xf numFmtId="1" fontId="118" fillId="0" borderId="0" xfId="0" applyNumberFormat="1" applyFont="1" applyAlignment="1">
      <alignment horizontal="center"/>
    </xf>
    <xf numFmtId="1" fontId="113" fillId="0" borderId="0" xfId="0" applyNumberFormat="1" applyFont="1" applyAlignment="1">
      <alignment horizontal="center"/>
    </xf>
    <xf numFmtId="171" fontId="36" fillId="0" borderId="0" xfId="5" applyNumberFormat="1" applyFont="1" applyFill="1" applyBorder="1" applyAlignment="1">
      <alignment horizontal="center"/>
    </xf>
    <xf numFmtId="1" fontId="113" fillId="0" borderId="0" xfId="16" applyNumberFormat="1" applyFont="1" applyFill="1" applyBorder="1" applyAlignment="1">
      <alignment horizontal="center" vertical="center"/>
    </xf>
    <xf numFmtId="171" fontId="118" fillId="0" borderId="0" xfId="0" applyNumberFormat="1" applyFont="1" applyAlignment="1">
      <alignment horizontal="center"/>
    </xf>
    <xf numFmtId="2" fontId="118" fillId="0" borderId="0" xfId="0" applyNumberFormat="1" applyFont="1" applyAlignment="1">
      <alignment horizontal="center"/>
    </xf>
    <xf numFmtId="9" fontId="113" fillId="0" borderId="0" xfId="0" applyNumberFormat="1" applyFont="1" applyAlignment="1">
      <alignment horizontal="center" vertical="center"/>
    </xf>
    <xf numFmtId="1" fontId="116" fillId="41" borderId="0" xfId="0" applyNumberFormat="1" applyFont="1" applyFill="1" applyAlignment="1">
      <alignment horizontal="center" vertical="center"/>
    </xf>
    <xf numFmtId="1" fontId="116" fillId="41" borderId="73" xfId="0" applyNumberFormat="1" applyFont="1" applyFill="1" applyBorder="1" applyAlignment="1">
      <alignment horizontal="center" vertical="center"/>
    </xf>
    <xf numFmtId="1" fontId="116" fillId="41" borderId="12" xfId="0" applyNumberFormat="1" applyFont="1" applyFill="1" applyBorder="1" applyAlignment="1">
      <alignment horizontal="center" vertical="center"/>
    </xf>
    <xf numFmtId="1" fontId="115" fillId="61" borderId="55" xfId="0" applyNumberFormat="1" applyFont="1" applyFill="1" applyBorder="1" applyAlignment="1">
      <alignment horizontal="center"/>
    </xf>
    <xf numFmtId="1" fontId="115" fillId="61" borderId="13" xfId="0" applyNumberFormat="1" applyFont="1" applyFill="1" applyBorder="1" applyAlignment="1">
      <alignment horizontal="center"/>
    </xf>
    <xf numFmtId="1" fontId="115" fillId="42" borderId="13" xfId="0" applyNumberFormat="1" applyFont="1" applyFill="1" applyBorder="1" applyAlignment="1">
      <alignment horizontal="center"/>
    </xf>
    <xf numFmtId="1" fontId="115" fillId="61" borderId="58" xfId="0" applyNumberFormat="1" applyFont="1" applyFill="1" applyBorder="1" applyAlignment="1">
      <alignment horizontal="center"/>
    </xf>
    <xf numFmtId="1" fontId="113" fillId="50" borderId="56" xfId="0" applyNumberFormat="1" applyFont="1" applyFill="1" applyBorder="1" applyAlignment="1">
      <alignment horizontal="center"/>
    </xf>
    <xf numFmtId="1" fontId="113" fillId="50" borderId="74" xfId="0" applyNumberFormat="1" applyFont="1" applyFill="1" applyBorder="1" applyAlignment="1">
      <alignment horizontal="center" vertical="center"/>
    </xf>
    <xf numFmtId="1" fontId="113" fillId="50" borderId="26" xfId="0" applyNumberFormat="1" applyFont="1" applyFill="1" applyBorder="1" applyAlignment="1">
      <alignment horizontal="center" vertical="center"/>
    </xf>
    <xf numFmtId="1" fontId="113" fillId="42" borderId="15" xfId="0" applyNumberFormat="1" applyFont="1" applyFill="1" applyBorder="1" applyAlignment="1">
      <alignment horizontal="center" vertical="center"/>
    </xf>
    <xf numFmtId="1" fontId="113" fillId="50" borderId="57" xfId="0" applyNumberFormat="1" applyFont="1" applyFill="1" applyBorder="1" applyAlignment="1">
      <alignment horizontal="center"/>
    </xf>
    <xf numFmtId="1" fontId="116" fillId="41" borderId="9" xfId="0" applyNumberFormat="1" applyFont="1" applyFill="1" applyBorder="1" applyAlignment="1">
      <alignment horizontal="center"/>
    </xf>
    <xf numFmtId="1" fontId="114" fillId="64" borderId="49" xfId="0" applyNumberFormat="1" applyFont="1" applyFill="1" applyBorder="1" applyAlignment="1">
      <alignment horizontal="right" vertical="center" wrapText="1"/>
    </xf>
    <xf numFmtId="1" fontId="116" fillId="41" borderId="64" xfId="0" applyNumberFormat="1" applyFont="1" applyFill="1" applyBorder="1" applyAlignment="1">
      <alignment horizontal="center" vertical="center"/>
    </xf>
    <xf numFmtId="1" fontId="31" fillId="60" borderId="64" xfId="0" applyNumberFormat="1" applyFont="1" applyFill="1" applyBorder="1" applyAlignment="1">
      <alignment horizontal="center" vertical="center"/>
    </xf>
    <xf numFmtId="1" fontId="31" fillId="61" borderId="64" xfId="0" applyNumberFormat="1" applyFont="1" applyFill="1" applyBorder="1" applyAlignment="1">
      <alignment horizontal="center" vertical="center"/>
    </xf>
    <xf numFmtId="168" fontId="36" fillId="0" borderId="0" xfId="5" applyNumberFormat="1" applyFont="1" applyFill="1" applyBorder="1" applyAlignment="1">
      <alignment horizontal="center"/>
    </xf>
    <xf numFmtId="1" fontId="113" fillId="50" borderId="8" xfId="0" applyNumberFormat="1" applyFont="1" applyFill="1" applyBorder="1" applyAlignment="1">
      <alignment horizontal="center" vertical="center"/>
    </xf>
    <xf numFmtId="1" fontId="113" fillId="50" borderId="0" xfId="0" applyNumberFormat="1" applyFont="1" applyFill="1" applyAlignment="1">
      <alignment horizontal="center"/>
    </xf>
    <xf numFmtId="1" fontId="15" fillId="0" borderId="65" xfId="0" applyNumberFormat="1" applyFont="1" applyBorder="1" applyAlignment="1">
      <alignment horizontal="center" vertical="center"/>
    </xf>
    <xf numFmtId="3" fontId="115" fillId="54" borderId="0" xfId="0" applyNumberFormat="1" applyFont="1" applyFill="1" applyAlignment="1">
      <alignment horizontal="center" vertical="center"/>
    </xf>
    <xf numFmtId="1" fontId="38" fillId="62" borderId="0" xfId="0" applyNumberFormat="1" applyFont="1" applyFill="1" applyAlignment="1">
      <alignment horizontal="center" vertical="center"/>
    </xf>
    <xf numFmtId="1" fontId="116" fillId="41" borderId="75" xfId="0" applyNumberFormat="1" applyFont="1" applyFill="1" applyBorder="1" applyAlignment="1">
      <alignment horizontal="center" vertical="center"/>
    </xf>
    <xf numFmtId="1" fontId="115" fillId="61" borderId="54" xfId="0" applyNumberFormat="1" applyFont="1" applyFill="1" applyBorder="1" applyAlignment="1">
      <alignment horizontal="center" vertical="center"/>
    </xf>
    <xf numFmtId="1" fontId="115" fillId="61" borderId="55" xfId="0" applyNumberFormat="1" applyFont="1" applyFill="1" applyBorder="1" applyAlignment="1">
      <alignment horizontal="center" vertical="center"/>
    </xf>
    <xf numFmtId="1" fontId="115" fillId="61" borderId="13" xfId="0" applyNumberFormat="1" applyFont="1" applyFill="1" applyBorder="1" applyAlignment="1">
      <alignment horizontal="center" vertical="center"/>
    </xf>
    <xf numFmtId="1" fontId="115" fillId="61" borderId="76" xfId="0" applyNumberFormat="1" applyFont="1" applyFill="1" applyBorder="1" applyAlignment="1">
      <alignment horizontal="center" vertical="center"/>
    </xf>
    <xf numFmtId="1" fontId="115" fillId="61" borderId="17" xfId="0" applyNumberFormat="1" applyFont="1" applyFill="1" applyBorder="1" applyAlignment="1">
      <alignment horizontal="center" vertical="center"/>
    </xf>
    <xf numFmtId="1" fontId="115" fillId="60" borderId="10" xfId="0" applyNumberFormat="1" applyFont="1" applyFill="1" applyBorder="1" applyAlignment="1">
      <alignment horizontal="center" vertical="center"/>
    </xf>
    <xf numFmtId="1" fontId="113" fillId="42" borderId="10" xfId="0" applyNumberFormat="1" applyFont="1" applyFill="1" applyBorder="1" applyAlignment="1">
      <alignment horizontal="center" vertical="center"/>
    </xf>
    <xf numFmtId="1" fontId="113" fillId="0" borderId="10" xfId="0" applyNumberFormat="1" applyFont="1" applyBorder="1" applyAlignment="1">
      <alignment horizontal="center" vertical="center"/>
    </xf>
    <xf numFmtId="1" fontId="116" fillId="41" borderId="77" xfId="0" applyNumberFormat="1" applyFont="1" applyFill="1" applyBorder="1" applyAlignment="1">
      <alignment horizontal="center" vertical="center"/>
    </xf>
    <xf numFmtId="1" fontId="31" fillId="60" borderId="9" xfId="0" applyNumberFormat="1" applyFont="1" applyFill="1" applyBorder="1" applyAlignment="1">
      <alignment horizontal="center" vertical="center"/>
    </xf>
    <xf numFmtId="1" fontId="15" fillId="50" borderId="9" xfId="0" applyNumberFormat="1" applyFont="1" applyFill="1" applyBorder="1" applyAlignment="1">
      <alignment horizontal="center" vertical="center"/>
    </xf>
    <xf numFmtId="1" fontId="113" fillId="42" borderId="10" xfId="0" applyNumberFormat="1" applyFont="1" applyFill="1" applyBorder="1" applyAlignment="1">
      <alignment horizontal="center"/>
    </xf>
    <xf numFmtId="1" fontId="113" fillId="50" borderId="10" xfId="0" applyNumberFormat="1" applyFont="1" applyFill="1" applyBorder="1" applyAlignment="1">
      <alignment horizontal="center" vertical="center"/>
    </xf>
    <xf numFmtId="1" fontId="113" fillId="60" borderId="10" xfId="0" applyNumberFormat="1" applyFont="1" applyFill="1" applyBorder="1" applyAlignment="1">
      <alignment horizontal="center"/>
    </xf>
    <xf numFmtId="1" fontId="113" fillId="50" borderId="11" xfId="0" applyNumberFormat="1" applyFont="1" applyFill="1" applyBorder="1" applyAlignment="1">
      <alignment horizontal="center"/>
    </xf>
    <xf numFmtId="1" fontId="113" fillId="50" borderId="10" xfId="0" applyNumberFormat="1" applyFont="1" applyFill="1" applyBorder="1" applyAlignment="1">
      <alignment horizontal="center"/>
    </xf>
    <xf numFmtId="1" fontId="15" fillId="42" borderId="10" xfId="0" applyNumberFormat="1" applyFont="1" applyFill="1" applyBorder="1" applyAlignment="1">
      <alignment horizontal="center" vertical="center"/>
    </xf>
    <xf numFmtId="1" fontId="15" fillId="42" borderId="11" xfId="0" applyNumberFormat="1" applyFont="1" applyFill="1" applyBorder="1" applyAlignment="1">
      <alignment horizontal="center" vertical="center"/>
    </xf>
    <xf numFmtId="1" fontId="115" fillId="0" borderId="26" xfId="0" applyNumberFormat="1" applyFont="1" applyBorder="1" applyAlignment="1">
      <alignment horizontal="center" vertical="center"/>
    </xf>
    <xf numFmtId="1" fontId="31" fillId="0" borderId="9" xfId="0" applyNumberFormat="1" applyFont="1" applyBorder="1" applyAlignment="1">
      <alignment horizontal="center" vertical="center"/>
    </xf>
    <xf numFmtId="1" fontId="15" fillId="0" borderId="10" xfId="0" applyNumberFormat="1" applyFont="1" applyBorder="1" applyAlignment="1">
      <alignment horizontal="center" vertical="center"/>
    </xf>
    <xf numFmtId="1" fontId="15" fillId="0" borderId="11" xfId="0" applyNumberFormat="1" applyFont="1" applyBorder="1" applyAlignment="1">
      <alignment horizontal="center" vertical="center"/>
    </xf>
    <xf numFmtId="3" fontId="34" fillId="42" borderId="50" xfId="0" applyNumberFormat="1" applyFont="1" applyFill="1" applyBorder="1" applyAlignment="1">
      <alignment vertical="center"/>
    </xf>
    <xf numFmtId="1" fontId="116" fillId="41" borderId="13" xfId="0" applyNumberFormat="1" applyFont="1" applyFill="1" applyBorder="1" applyAlignment="1">
      <alignment horizontal="center" vertical="center"/>
    </xf>
    <xf numFmtId="1" fontId="113" fillId="42" borderId="74" xfId="0" applyNumberFormat="1" applyFont="1" applyFill="1" applyBorder="1"/>
    <xf numFmtId="1" fontId="113" fillId="42" borderId="78" xfId="0" applyNumberFormat="1" applyFont="1" applyFill="1" applyBorder="1"/>
    <xf numFmtId="1" fontId="113" fillId="42" borderId="77" xfId="0" applyNumberFormat="1" applyFont="1" applyFill="1" applyBorder="1"/>
    <xf numFmtId="3" fontId="34" fillId="42" borderId="9" xfId="0" applyNumberFormat="1" applyFont="1" applyFill="1" applyBorder="1" applyAlignment="1">
      <alignment vertical="center"/>
    </xf>
    <xf numFmtId="1" fontId="0" fillId="42" borderId="9" xfId="0" applyNumberFormat="1" applyFill="1" applyBorder="1"/>
    <xf numFmtId="9" fontId="0" fillId="42" borderId="9" xfId="0" applyNumberFormat="1" applyFill="1" applyBorder="1"/>
    <xf numFmtId="3" fontId="113" fillId="42" borderId="77" xfId="0" applyNumberFormat="1" applyFont="1" applyFill="1" applyBorder="1" applyAlignment="1">
      <alignment horizontal="center"/>
    </xf>
    <xf numFmtId="9" fontId="15" fillId="42" borderId="50" xfId="0" applyNumberFormat="1" applyFont="1" applyFill="1" applyBorder="1" applyAlignment="1">
      <alignment horizontal="center" vertical="center"/>
    </xf>
    <xf numFmtId="3" fontId="116" fillId="41" borderId="9" xfId="0" applyNumberFormat="1" applyFont="1" applyFill="1" applyBorder="1" applyAlignment="1">
      <alignment horizontal="center" vertical="center"/>
    </xf>
    <xf numFmtId="9" fontId="113" fillId="42" borderId="77" xfId="0" applyNumberFormat="1" applyFont="1" applyFill="1" applyBorder="1"/>
    <xf numFmtId="3" fontId="113" fillId="41" borderId="51" xfId="0" applyNumberFormat="1" applyFont="1" applyFill="1" applyBorder="1"/>
    <xf numFmtId="0" fontId="113" fillId="41" borderId="50" xfId="0" applyFont="1" applyFill="1" applyBorder="1"/>
    <xf numFmtId="1" fontId="46" fillId="0" borderId="49" xfId="0" applyNumberFormat="1" applyFont="1" applyBorder="1" applyAlignment="1">
      <alignment horizontal="left" vertical="center" wrapText="1"/>
    </xf>
    <xf numFmtId="1" fontId="116" fillId="41" borderId="79" xfId="0" applyNumberFormat="1" applyFont="1" applyFill="1" applyBorder="1" applyAlignment="1">
      <alignment horizontal="center" vertical="center"/>
    </xf>
    <xf numFmtId="1" fontId="116" fillId="41" borderId="15" xfId="0" applyNumberFormat="1" applyFont="1" applyFill="1" applyBorder="1" applyAlignment="1">
      <alignment horizontal="center"/>
    </xf>
    <xf numFmtId="1" fontId="116" fillId="41" borderId="78" xfId="0" applyNumberFormat="1" applyFont="1" applyFill="1" applyBorder="1" applyAlignment="1">
      <alignment horizontal="center"/>
    </xf>
    <xf numFmtId="1" fontId="115" fillId="61" borderId="9" xfId="0" applyNumberFormat="1" applyFont="1" applyFill="1" applyBorder="1" applyAlignment="1">
      <alignment horizontal="center"/>
    </xf>
    <xf numFmtId="1" fontId="15" fillId="0" borderId="13" xfId="0" applyNumberFormat="1" applyFont="1" applyBorder="1" applyAlignment="1">
      <alignment horizontal="center" vertical="center"/>
    </xf>
    <xf numFmtId="1" fontId="113" fillId="50" borderId="55" xfId="0" applyNumberFormat="1" applyFont="1" applyFill="1" applyBorder="1" applyAlignment="1">
      <alignment horizontal="center" vertical="center"/>
    </xf>
    <xf numFmtId="1" fontId="113" fillId="50" borderId="13" xfId="0" applyNumberFormat="1" applyFont="1" applyFill="1" applyBorder="1" applyAlignment="1">
      <alignment horizontal="center" vertical="center"/>
    </xf>
    <xf numFmtId="0" fontId="115" fillId="41" borderId="49" xfId="0" applyFont="1" applyFill="1" applyBorder="1" applyAlignment="1">
      <alignment horizontal="center" vertical="center"/>
    </xf>
    <xf numFmtId="0" fontId="114" fillId="41" borderId="49" xfId="0" applyFont="1" applyFill="1" applyBorder="1" applyAlignment="1">
      <alignment horizontal="center" vertical="center"/>
    </xf>
    <xf numFmtId="0" fontId="114" fillId="41" borderId="66" xfId="0" applyFont="1" applyFill="1" applyBorder="1" applyAlignment="1">
      <alignment horizontal="center" vertical="center"/>
    </xf>
    <xf numFmtId="0" fontId="114" fillId="41" borderId="51" xfId="0" applyFont="1" applyFill="1" applyBorder="1" applyAlignment="1">
      <alignment horizontal="center" vertical="center"/>
    </xf>
    <xf numFmtId="0" fontId="114" fillId="41" borderId="50" xfId="0" applyFont="1" applyFill="1" applyBorder="1" applyAlignment="1">
      <alignment horizontal="center" vertical="center"/>
    </xf>
    <xf numFmtId="3" fontId="115" fillId="0" borderId="9" xfId="0" applyNumberFormat="1" applyFont="1" applyBorder="1" applyAlignment="1">
      <alignment horizontal="center" vertical="center"/>
    </xf>
    <xf numFmtId="0" fontId="114" fillId="41" borderId="9" xfId="0" applyFont="1" applyFill="1" applyBorder="1" applyAlignment="1">
      <alignment horizontal="center" vertical="center"/>
    </xf>
    <xf numFmtId="1" fontId="31" fillId="61" borderId="9" xfId="0" applyNumberFormat="1" applyFont="1" applyFill="1" applyBorder="1" applyAlignment="1">
      <alignment horizontal="center" vertical="center"/>
    </xf>
    <xf numFmtId="3" fontId="114" fillId="44" borderId="53" xfId="0" applyNumberFormat="1" applyFont="1" applyFill="1" applyBorder="1" applyAlignment="1">
      <alignment horizontal="center" vertical="center"/>
    </xf>
    <xf numFmtId="0" fontId="0" fillId="0" borderId="0" xfId="0" applyAlignment="1">
      <alignment horizontal="right" wrapText="1"/>
    </xf>
    <xf numFmtId="1" fontId="15" fillId="0" borderId="15" xfId="0" applyNumberFormat="1" applyFont="1" applyBorder="1" applyAlignment="1">
      <alignment horizontal="center" vertical="center"/>
    </xf>
    <xf numFmtId="1" fontId="15" fillId="0" borderId="78" xfId="0" applyNumberFormat="1" applyFont="1" applyBorder="1" applyAlignment="1">
      <alignment horizontal="center" vertical="center"/>
    </xf>
    <xf numFmtId="1" fontId="15" fillId="0" borderId="77" xfId="0" applyNumberFormat="1" applyFont="1" applyBorder="1" applyAlignment="1">
      <alignment horizontal="center" vertical="center"/>
    </xf>
    <xf numFmtId="0" fontId="0" fillId="0" borderId="0" xfId="0" applyAlignment="1">
      <alignment horizontal="right" vertical="center" wrapText="1"/>
    </xf>
    <xf numFmtId="1" fontId="116" fillId="41" borderId="50" xfId="0" applyNumberFormat="1" applyFont="1" applyFill="1" applyBorder="1" applyAlignment="1">
      <alignment horizontal="right" vertical="center" wrapText="1"/>
    </xf>
    <xf numFmtId="0" fontId="114" fillId="41" borderId="11" xfId="0" applyFont="1" applyFill="1" applyBorder="1" applyAlignment="1">
      <alignment horizontal="center" vertical="center"/>
    </xf>
    <xf numFmtId="9" fontId="0" fillId="0" borderId="9" xfId="0" applyNumberFormat="1" applyBorder="1" applyAlignment="1">
      <alignment horizontal="center" vertical="center"/>
    </xf>
    <xf numFmtId="2" fontId="0" fillId="0" borderId="9" xfId="0" applyNumberFormat="1" applyBorder="1" applyAlignment="1">
      <alignment vertical="center"/>
    </xf>
    <xf numFmtId="0" fontId="0" fillId="0" borderId="9" xfId="0" applyBorder="1" applyAlignment="1">
      <alignment horizontal="center" vertical="center"/>
    </xf>
    <xf numFmtId="0" fontId="114" fillId="41" borderId="0" xfId="0" applyFont="1" applyFill="1" applyAlignment="1">
      <alignment vertical="center"/>
    </xf>
    <xf numFmtId="2" fontId="130" fillId="58" borderId="9" xfId="0" applyNumberFormat="1" applyFont="1" applyFill="1" applyBorder="1" applyAlignment="1">
      <alignment horizontal="center" vertical="center"/>
    </xf>
    <xf numFmtId="2" fontId="130" fillId="45" borderId="9" xfId="0" applyNumberFormat="1" applyFont="1" applyFill="1" applyBorder="1" applyAlignment="1">
      <alignment horizontal="center" vertical="center"/>
    </xf>
    <xf numFmtId="3" fontId="15" fillId="0" borderId="9" xfId="0" applyNumberFormat="1" applyFont="1" applyBorder="1" applyAlignment="1">
      <alignment horizontal="center" vertical="center"/>
    </xf>
    <xf numFmtId="3" fontId="37" fillId="0" borderId="0" xfId="6" applyNumberFormat="1"/>
    <xf numFmtId="3" fontId="119" fillId="0" borderId="70" xfId="0" applyNumberFormat="1" applyFont="1" applyBorder="1"/>
    <xf numFmtId="1" fontId="110" fillId="0" borderId="48" xfId="0" applyNumberFormat="1" applyFont="1" applyBorder="1" applyAlignment="1">
      <alignment vertical="center" wrapText="1"/>
    </xf>
    <xf numFmtId="0" fontId="114" fillId="41" borderId="0" xfId="0" applyFont="1" applyFill="1" applyAlignment="1">
      <alignment horizontal="center" vertical="center"/>
    </xf>
    <xf numFmtId="1" fontId="115" fillId="61" borderId="0" xfId="0" applyNumberFormat="1" applyFont="1" applyFill="1" applyAlignment="1">
      <alignment horizontal="center" vertical="center"/>
    </xf>
    <xf numFmtId="1" fontId="113" fillId="42" borderId="0" xfId="0" applyNumberFormat="1" applyFont="1" applyFill="1" applyAlignment="1">
      <alignment horizontal="center" vertical="center"/>
    </xf>
    <xf numFmtId="1" fontId="115" fillId="42" borderId="0" xfId="0" applyNumberFormat="1" applyFont="1" applyFill="1" applyAlignment="1">
      <alignment horizontal="center" vertical="center"/>
    </xf>
    <xf numFmtId="1" fontId="115" fillId="42" borderId="0" xfId="0" applyNumberFormat="1" applyFont="1" applyFill="1" applyAlignment="1">
      <alignment horizontal="center"/>
    </xf>
    <xf numFmtId="1" fontId="113" fillId="42" borderId="0" xfId="0" applyNumberFormat="1" applyFont="1" applyFill="1" applyAlignment="1">
      <alignment horizontal="center"/>
    </xf>
    <xf numFmtId="1" fontId="116" fillId="41" borderId="65" xfId="0" applyNumberFormat="1" applyFont="1" applyFill="1" applyBorder="1" applyAlignment="1">
      <alignment horizontal="center" vertical="center"/>
    </xf>
    <xf numFmtId="1" fontId="116" fillId="41" borderId="78" xfId="0" applyNumberFormat="1" applyFont="1" applyFill="1" applyBorder="1" applyAlignment="1">
      <alignment horizontal="center" vertical="center"/>
    </xf>
    <xf numFmtId="1" fontId="115" fillId="60" borderId="0" xfId="0" applyNumberFormat="1" applyFont="1" applyFill="1" applyAlignment="1">
      <alignment horizontal="center" vertical="center"/>
    </xf>
    <xf numFmtId="1" fontId="31" fillId="61" borderId="0" xfId="0" applyNumberFormat="1" applyFont="1" applyFill="1" applyAlignment="1">
      <alignment horizontal="center" vertical="center"/>
    </xf>
    <xf numFmtId="1" fontId="113" fillId="50" borderId="0" xfId="0" applyNumberFormat="1" applyFont="1" applyFill="1" applyAlignment="1">
      <alignment horizontal="center" vertical="center"/>
    </xf>
    <xf numFmtId="1" fontId="113" fillId="60" borderId="0" xfId="0" applyNumberFormat="1" applyFont="1" applyFill="1" applyAlignment="1">
      <alignment horizontal="center"/>
    </xf>
    <xf numFmtId="1" fontId="115" fillId="0" borderId="0" xfId="0" applyNumberFormat="1" applyFont="1" applyAlignment="1">
      <alignment horizontal="center" vertical="center"/>
    </xf>
    <xf numFmtId="1" fontId="113" fillId="42" borderId="64" xfId="0" applyNumberFormat="1" applyFont="1" applyFill="1" applyBorder="1"/>
    <xf numFmtId="3" fontId="114" fillId="44" borderId="0" xfId="0" applyNumberFormat="1" applyFont="1" applyFill="1" applyAlignment="1">
      <alignment horizontal="center" vertical="center"/>
    </xf>
    <xf numFmtId="2" fontId="127" fillId="58" borderId="0" xfId="0" applyNumberFormat="1" applyFont="1" applyFill="1" applyAlignment="1">
      <alignment horizontal="center" vertical="center"/>
    </xf>
    <xf numFmtId="2" fontId="126" fillId="45" borderId="0" xfId="0" applyNumberFormat="1" applyFont="1" applyFill="1" applyAlignment="1">
      <alignment horizontal="center" vertical="center"/>
    </xf>
    <xf numFmtId="2" fontId="129" fillId="65" borderId="0" xfId="0" applyNumberFormat="1" applyFont="1" applyFill="1" applyAlignment="1">
      <alignment horizontal="center" vertical="center"/>
    </xf>
    <xf numFmtId="164" fontId="113" fillId="48" borderId="0" xfId="0" applyNumberFormat="1" applyFont="1" applyFill="1" applyAlignment="1">
      <alignment horizontal="center" vertical="center"/>
    </xf>
    <xf numFmtId="9" fontId="116" fillId="41" borderId="0" xfId="5" applyFont="1" applyFill="1" applyBorder="1" applyAlignment="1">
      <alignment horizontal="center" vertical="center"/>
    </xf>
    <xf numFmtId="9" fontId="115" fillId="61" borderId="0" xfId="5" applyFont="1" applyFill="1" applyBorder="1" applyAlignment="1">
      <alignment horizontal="center" vertical="center"/>
    </xf>
    <xf numFmtId="9" fontId="113" fillId="42" borderId="0" xfId="5" applyFont="1" applyFill="1" applyBorder="1" applyAlignment="1">
      <alignment horizontal="center" vertical="center"/>
    </xf>
    <xf numFmtId="9" fontId="115" fillId="42" borderId="0" xfId="5" applyFont="1" applyFill="1" applyBorder="1" applyAlignment="1">
      <alignment horizontal="center" vertical="center"/>
    </xf>
    <xf numFmtId="9" fontId="115" fillId="42" borderId="0" xfId="5" applyFont="1" applyFill="1" applyBorder="1" applyAlignment="1">
      <alignment horizontal="center"/>
    </xf>
    <xf numFmtId="9" fontId="113" fillId="42" borderId="9" xfId="5" applyFont="1" applyFill="1" applyBorder="1" applyAlignment="1">
      <alignment horizontal="center"/>
    </xf>
    <xf numFmtId="9" fontId="116" fillId="41" borderId="9" xfId="5" applyFont="1" applyFill="1" applyBorder="1" applyAlignment="1">
      <alignment horizontal="center"/>
    </xf>
    <xf numFmtId="9" fontId="113" fillId="42" borderId="0" xfId="5" applyFont="1" applyFill="1" applyBorder="1" applyAlignment="1">
      <alignment horizontal="center"/>
    </xf>
    <xf numFmtId="9" fontId="116" fillId="41" borderId="65" xfId="5" applyFont="1" applyFill="1" applyBorder="1" applyAlignment="1">
      <alignment horizontal="center" vertical="center"/>
    </xf>
    <xf numFmtId="9" fontId="113" fillId="50" borderId="9" xfId="5" applyFont="1" applyFill="1" applyBorder="1" applyAlignment="1">
      <alignment horizontal="center" vertical="center"/>
    </xf>
    <xf numFmtId="9" fontId="116" fillId="41" borderId="78" xfId="5" applyFont="1" applyFill="1" applyBorder="1" applyAlignment="1">
      <alignment horizontal="center" vertical="center"/>
    </xf>
    <xf numFmtId="9" fontId="116" fillId="41" borderId="64" xfId="5" applyFont="1" applyFill="1" applyBorder="1" applyAlignment="1">
      <alignment horizontal="center" vertical="center"/>
    </xf>
    <xf numFmtId="9" fontId="115" fillId="60" borderId="0" xfId="5" applyFont="1" applyFill="1" applyBorder="1" applyAlignment="1">
      <alignment horizontal="center" vertical="center"/>
    </xf>
    <xf numFmtId="9" fontId="31" fillId="61" borderId="0" xfId="5" applyFont="1" applyFill="1" applyBorder="1" applyAlignment="1">
      <alignment horizontal="center" vertical="center"/>
    </xf>
    <xf numFmtId="9" fontId="113" fillId="50" borderId="0" xfId="5" applyFont="1" applyFill="1" applyBorder="1" applyAlignment="1">
      <alignment horizontal="center" vertical="center"/>
    </xf>
    <xf numFmtId="9" fontId="113" fillId="60" borderId="0" xfId="5" applyFont="1" applyFill="1" applyBorder="1" applyAlignment="1">
      <alignment horizontal="center"/>
    </xf>
    <xf numFmtId="9" fontId="31" fillId="0" borderId="64" xfId="5" applyFont="1" applyBorder="1" applyAlignment="1">
      <alignment horizontal="center" vertical="center"/>
    </xf>
    <xf numFmtId="9" fontId="113" fillId="0" borderId="58" xfId="5" applyFont="1" applyBorder="1" applyAlignment="1">
      <alignment horizontal="center" vertical="center"/>
    </xf>
    <xf numFmtId="9" fontId="113" fillId="0" borderId="9" xfId="5" applyFont="1" applyBorder="1" applyAlignment="1">
      <alignment horizontal="center" vertical="center"/>
    </xf>
    <xf numFmtId="9" fontId="15" fillId="42" borderId="9" xfId="5" applyFont="1" applyFill="1" applyBorder="1" applyAlignment="1">
      <alignment horizontal="center" vertical="center"/>
    </xf>
    <xf numFmtId="9" fontId="15" fillId="42" borderId="11" xfId="5" applyFont="1" applyFill="1" applyBorder="1" applyAlignment="1">
      <alignment horizontal="center" vertical="center"/>
    </xf>
    <xf numFmtId="9" fontId="115" fillId="0" borderId="0" xfId="5" applyFont="1" applyBorder="1" applyAlignment="1">
      <alignment horizontal="center" vertical="center"/>
    </xf>
    <xf numFmtId="9" fontId="113" fillId="0" borderId="0" xfId="5" applyFont="1" applyBorder="1" applyAlignment="1">
      <alignment horizontal="center" vertical="center"/>
    </xf>
    <xf numFmtId="9" fontId="36" fillId="64" borderId="9" xfId="5" applyFont="1" applyFill="1" applyBorder="1" applyAlignment="1">
      <alignment horizontal="center" vertical="center"/>
    </xf>
    <xf numFmtId="9" fontId="114" fillId="41" borderId="9" xfId="5" applyFont="1" applyFill="1" applyBorder="1" applyAlignment="1">
      <alignment horizontal="center" vertical="center"/>
    </xf>
    <xf numFmtId="9" fontId="116" fillId="41" borderId="9" xfId="5" applyFont="1" applyFill="1" applyBorder="1" applyAlignment="1">
      <alignment horizontal="center" vertical="center"/>
    </xf>
    <xf numFmtId="1" fontId="116" fillId="41" borderId="0" xfId="5" applyNumberFormat="1" applyFont="1" applyFill="1" applyBorder="1" applyAlignment="1">
      <alignment horizontal="center" vertical="center"/>
    </xf>
    <xf numFmtId="1" fontId="115" fillId="61" borderId="0" xfId="5" applyNumberFormat="1" applyFont="1" applyFill="1" applyBorder="1" applyAlignment="1">
      <alignment horizontal="center" vertical="center"/>
    </xf>
    <xf numFmtId="1" fontId="113" fillId="42" borderId="0" xfId="5" applyNumberFormat="1" applyFont="1" applyFill="1" applyBorder="1" applyAlignment="1">
      <alignment horizontal="center" vertical="center"/>
    </xf>
    <xf numFmtId="1" fontId="115" fillId="42" borderId="0" xfId="5" applyNumberFormat="1" applyFont="1" applyFill="1" applyBorder="1" applyAlignment="1">
      <alignment horizontal="center" vertical="center"/>
    </xf>
    <xf numFmtId="1" fontId="115" fillId="42" borderId="0" xfId="5" applyNumberFormat="1" applyFont="1" applyFill="1" applyBorder="1" applyAlignment="1">
      <alignment horizontal="center"/>
    </xf>
    <xf numFmtId="1" fontId="113" fillId="42" borderId="9" xfId="5" applyNumberFormat="1" applyFont="1" applyFill="1" applyBorder="1" applyAlignment="1">
      <alignment horizontal="center"/>
    </xf>
    <xf numFmtId="1" fontId="116" fillId="41" borderId="9" xfId="5" applyNumberFormat="1" applyFont="1" applyFill="1" applyBorder="1" applyAlignment="1">
      <alignment horizontal="center"/>
    </xf>
    <xf numFmtId="1" fontId="113" fillId="42" borderId="0" xfId="5" applyNumberFormat="1" applyFont="1" applyFill="1" applyBorder="1" applyAlignment="1">
      <alignment horizontal="center"/>
    </xf>
    <xf numFmtId="1" fontId="116" fillId="41" borderId="65" xfId="5" applyNumberFormat="1" applyFont="1" applyFill="1" applyBorder="1" applyAlignment="1">
      <alignment horizontal="center" vertical="center"/>
    </xf>
    <xf numFmtId="1" fontId="113" fillId="50" borderId="9" xfId="5" applyNumberFormat="1" applyFont="1" applyFill="1" applyBorder="1" applyAlignment="1">
      <alignment horizontal="center" vertical="center"/>
    </xf>
    <xf numFmtId="1" fontId="116" fillId="41" borderId="78" xfId="5" applyNumberFormat="1" applyFont="1" applyFill="1" applyBorder="1" applyAlignment="1">
      <alignment horizontal="center" vertical="center"/>
    </xf>
    <xf numFmtId="1" fontId="116" fillId="41" borderId="64" xfId="5" applyNumberFormat="1" applyFont="1" applyFill="1" applyBorder="1" applyAlignment="1">
      <alignment horizontal="center" vertical="center"/>
    </xf>
    <xf numFmtId="1" fontId="115" fillId="60" borderId="0" xfId="5" applyNumberFormat="1" applyFont="1" applyFill="1" applyBorder="1" applyAlignment="1">
      <alignment horizontal="center" vertical="center"/>
    </xf>
    <xf numFmtId="1" fontId="31" fillId="61" borderId="0" xfId="5" applyNumberFormat="1" applyFont="1" applyFill="1" applyBorder="1" applyAlignment="1">
      <alignment horizontal="center" vertical="center"/>
    </xf>
    <xf numFmtId="1" fontId="113" fillId="50" borderId="0" xfId="5" applyNumberFormat="1" applyFont="1" applyFill="1" applyBorder="1" applyAlignment="1">
      <alignment horizontal="center" vertical="center"/>
    </xf>
    <xf numFmtId="1" fontId="113" fillId="60" borderId="0" xfId="5" applyNumberFormat="1" applyFont="1" applyFill="1" applyBorder="1" applyAlignment="1">
      <alignment horizontal="center"/>
    </xf>
    <xf numFmtId="1" fontId="31" fillId="0" borderId="64" xfId="5" applyNumberFormat="1" applyFont="1" applyBorder="1" applyAlignment="1">
      <alignment horizontal="center" vertical="center"/>
    </xf>
    <xf numFmtId="1" fontId="113" fillId="0" borderId="58" xfId="5" applyNumberFormat="1" applyFont="1" applyBorder="1" applyAlignment="1">
      <alignment horizontal="center" vertical="center"/>
    </xf>
    <xf numFmtId="1" fontId="113" fillId="0" borderId="9" xfId="5" applyNumberFormat="1" applyFont="1" applyBorder="1" applyAlignment="1">
      <alignment horizontal="center" vertical="center"/>
    </xf>
    <xf numFmtId="1" fontId="15" fillId="42" borderId="9" xfId="5" applyNumberFormat="1" applyFont="1" applyFill="1" applyBorder="1" applyAlignment="1">
      <alignment horizontal="center" vertical="center"/>
    </xf>
    <xf numFmtId="1" fontId="15" fillId="42" borderId="11" xfId="5" applyNumberFormat="1" applyFont="1" applyFill="1" applyBorder="1" applyAlignment="1">
      <alignment horizontal="center" vertical="center"/>
    </xf>
    <xf numFmtId="1" fontId="115" fillId="0" borderId="0" xfId="5" applyNumberFormat="1" applyFont="1" applyBorder="1" applyAlignment="1">
      <alignment horizontal="center" vertical="center"/>
    </xf>
    <xf numFmtId="1" fontId="113" fillId="0" borderId="0" xfId="5" applyNumberFormat="1" applyFont="1" applyBorder="1" applyAlignment="1">
      <alignment horizontal="center" vertical="center"/>
    </xf>
    <xf numFmtId="1" fontId="36" fillId="64" borderId="9" xfId="5" applyNumberFormat="1" applyFont="1" applyFill="1" applyBorder="1" applyAlignment="1">
      <alignment horizontal="center" vertical="center"/>
    </xf>
    <xf numFmtId="1" fontId="114" fillId="41" borderId="9" xfId="5" applyNumberFormat="1" applyFont="1" applyFill="1" applyBorder="1" applyAlignment="1">
      <alignment horizontal="center" vertical="center"/>
    </xf>
    <xf numFmtId="1" fontId="116" fillId="41" borderId="9" xfId="5" applyNumberFormat="1" applyFont="1" applyFill="1" applyBorder="1" applyAlignment="1">
      <alignment horizontal="center" vertical="center"/>
    </xf>
    <xf numFmtId="1" fontId="15" fillId="42" borderId="64" xfId="0" applyNumberFormat="1" applyFont="1" applyFill="1" applyBorder="1" applyAlignment="1">
      <alignment vertical="center"/>
    </xf>
    <xf numFmtId="1" fontId="15" fillId="42" borderId="65" xfId="0" applyNumberFormat="1" applyFont="1" applyFill="1" applyBorder="1" applyAlignment="1">
      <alignment vertical="center"/>
    </xf>
    <xf numFmtId="1" fontId="114" fillId="44" borderId="0" xfId="0" applyNumberFormat="1" applyFont="1" applyFill="1" applyAlignment="1">
      <alignment horizontal="center" vertical="center"/>
    </xf>
    <xf numFmtId="0" fontId="133" fillId="0" borderId="0" xfId="0" applyFont="1"/>
    <xf numFmtId="0" fontId="134" fillId="63" borderId="0" xfId="0" applyFont="1" applyFill="1" applyAlignment="1">
      <alignment vertical="center"/>
    </xf>
    <xf numFmtId="0" fontId="135" fillId="0" borderId="0" xfId="0" applyFont="1" applyAlignment="1">
      <alignment horizontal="left" vertical="center" readingOrder="1"/>
    </xf>
    <xf numFmtId="0" fontId="136" fillId="0" borderId="0" xfId="0" applyFont="1"/>
    <xf numFmtId="1" fontId="137" fillId="0" borderId="9" xfId="0" applyNumberFormat="1" applyFont="1" applyBorder="1" applyAlignment="1">
      <alignment horizontal="center" vertical="center"/>
    </xf>
    <xf numFmtId="0" fontId="114" fillId="41" borderId="9" xfId="19" applyFont="1" applyFill="1" applyBorder="1" applyAlignment="1">
      <alignment horizontal="center" vertical="center"/>
    </xf>
    <xf numFmtId="0" fontId="14" fillId="0" borderId="0" xfId="19"/>
    <xf numFmtId="0" fontId="14" fillId="0" borderId="9" xfId="19" applyBorder="1"/>
    <xf numFmtId="3" fontId="14" fillId="0" borderId="9" xfId="19" applyNumberFormat="1" applyBorder="1"/>
    <xf numFmtId="0" fontId="0" fillId="60" borderId="9" xfId="0" applyFill="1" applyBorder="1"/>
    <xf numFmtId="0" fontId="0" fillId="60" borderId="9" xfId="0" applyFill="1" applyBorder="1" applyAlignment="1">
      <alignment horizontal="center"/>
    </xf>
    <xf numFmtId="0" fontId="70" fillId="60" borderId="9" xfId="0" applyFont="1" applyFill="1" applyBorder="1" applyAlignment="1">
      <alignment horizontal="left" vertical="center" wrapText="1"/>
    </xf>
    <xf numFmtId="0" fontId="58" fillId="60" borderId="9" xfId="0" applyFont="1" applyFill="1" applyBorder="1" applyAlignment="1">
      <alignment vertical="center" wrapText="1"/>
    </xf>
    <xf numFmtId="0" fontId="138" fillId="67" borderId="9" xfId="0" applyFont="1" applyFill="1" applyBorder="1" applyAlignment="1">
      <alignment vertical="center"/>
    </xf>
    <xf numFmtId="0" fontId="0" fillId="0" borderId="5" xfId="0" applyBorder="1"/>
    <xf numFmtId="0" fontId="0" fillId="0" borderId="1" xfId="0" applyBorder="1"/>
    <xf numFmtId="0" fontId="0" fillId="0" borderId="14" xfId="0" applyBorder="1"/>
    <xf numFmtId="0" fontId="0" fillId="0" borderId="3" xfId="0" applyBorder="1"/>
    <xf numFmtId="0" fontId="0" fillId="0" borderId="80" xfId="0" applyBorder="1"/>
    <xf numFmtId="0" fontId="0" fillId="0" borderId="4" xfId="0" applyBorder="1"/>
    <xf numFmtId="0" fontId="0" fillId="0" borderId="2" xfId="0" applyBorder="1"/>
    <xf numFmtId="0" fontId="0" fillId="0" borderId="81" xfId="0" applyBorder="1"/>
    <xf numFmtId="0" fontId="83" fillId="0" borderId="0" xfId="0" applyFont="1"/>
    <xf numFmtId="0" fontId="134" fillId="55" borderId="0" xfId="0" applyFont="1" applyFill="1"/>
    <xf numFmtId="0" fontId="0" fillId="55" borderId="0" xfId="0" applyFill="1"/>
    <xf numFmtId="0" fontId="14" fillId="0" borderId="0" xfId="20"/>
    <xf numFmtId="0" fontId="139" fillId="0" borderId="0" xfId="0" applyFont="1" applyAlignment="1">
      <alignment horizontal="left" vertical="center" readingOrder="1"/>
    </xf>
    <xf numFmtId="0" fontId="140" fillId="0" borderId="0" xfId="0" applyFont="1" applyAlignment="1">
      <alignment horizontal="left" vertical="center" readingOrder="1"/>
    </xf>
    <xf numFmtId="0" fontId="0" fillId="0" borderId="0" xfId="0" applyAlignment="1">
      <alignment horizontal="left" vertical="center"/>
    </xf>
    <xf numFmtId="0" fontId="141" fillId="0" borderId="0" xfId="0" applyFont="1" applyAlignment="1">
      <alignment horizontal="left" vertical="center" readingOrder="1"/>
    </xf>
    <xf numFmtId="0" fontId="37" fillId="55" borderId="1" xfId="6" applyFill="1" applyBorder="1" applyAlignment="1">
      <alignment horizontal="center" vertical="center" wrapText="1"/>
    </xf>
    <xf numFmtId="0" fontId="41" fillId="55" borderId="0" xfId="6" applyFont="1" applyFill="1" applyAlignment="1">
      <alignment horizontal="center" vertical="center"/>
    </xf>
    <xf numFmtId="0" fontId="37" fillId="55" borderId="14" xfId="6" applyFill="1" applyBorder="1" applyAlignment="1">
      <alignment horizontal="center" vertical="center" wrapText="1"/>
    </xf>
    <xf numFmtId="0" fontId="14" fillId="0" borderId="0" xfId="6" applyFont="1"/>
    <xf numFmtId="0" fontId="142" fillId="0" borderId="0" xfId="0" applyFont="1" applyAlignment="1">
      <alignment horizontal="center" vertical="center"/>
    </xf>
    <xf numFmtId="0" fontId="143" fillId="0" borderId="0" xfId="0" applyFont="1" applyAlignment="1">
      <alignment horizontal="left" vertical="center" readingOrder="1"/>
    </xf>
    <xf numFmtId="0" fontId="144" fillId="68" borderId="9" xfId="0" applyFont="1" applyFill="1" applyBorder="1" applyAlignment="1">
      <alignment horizontal="center" vertical="center"/>
    </xf>
    <xf numFmtId="0" fontId="145" fillId="0" borderId="9" xfId="0" applyFont="1" applyBorder="1" applyAlignment="1">
      <alignment horizontal="center" vertical="center"/>
    </xf>
    <xf numFmtId="0" fontId="147" fillId="0" borderId="9" xfId="0" applyFont="1" applyBorder="1" applyAlignment="1">
      <alignment horizontal="right" vertical="center"/>
    </xf>
    <xf numFmtId="0" fontId="146" fillId="0" borderId="9" xfId="0" applyFont="1" applyBorder="1" applyAlignment="1">
      <alignment vertical="center"/>
    </xf>
    <xf numFmtId="0" fontId="145" fillId="77" borderId="9" xfId="0" applyFont="1" applyFill="1" applyBorder="1" applyAlignment="1">
      <alignment horizontal="center" vertical="center"/>
    </xf>
    <xf numFmtId="0" fontId="148" fillId="0" borderId="9" xfId="0" applyFont="1" applyBorder="1" applyAlignment="1">
      <alignment horizontal="center" vertical="center"/>
    </xf>
    <xf numFmtId="0" fontId="144" fillId="68" borderId="10" xfId="0" applyFont="1" applyFill="1" applyBorder="1" applyAlignment="1">
      <alignment vertical="center"/>
    </xf>
    <xf numFmtId="0" fontId="144" fillId="68" borderId="16" xfId="0" applyFont="1" applyFill="1" applyBorder="1" applyAlignment="1">
      <alignment vertical="center"/>
    </xf>
    <xf numFmtId="0" fontId="144" fillId="68" borderId="11" xfId="0" applyFont="1" applyFill="1" applyBorder="1" applyAlignment="1">
      <alignment vertical="center"/>
    </xf>
    <xf numFmtId="0" fontId="144" fillId="0" borderId="0" xfId="0" applyFont="1" applyAlignment="1">
      <alignment horizontal="center" vertical="center"/>
    </xf>
    <xf numFmtId="0" fontId="144" fillId="0" borderId="0" xfId="0" applyFont="1" applyAlignment="1">
      <alignment vertical="center"/>
    </xf>
    <xf numFmtId="9" fontId="146" fillId="0" borderId="0" xfId="0" applyNumberFormat="1" applyFont="1" applyAlignment="1">
      <alignment horizontal="right" vertical="center"/>
    </xf>
    <xf numFmtId="9" fontId="148" fillId="0" borderId="0" xfId="0" applyNumberFormat="1" applyFont="1" applyAlignment="1">
      <alignment horizontal="right" vertical="center"/>
    </xf>
    <xf numFmtId="0" fontId="60" fillId="0" borderId="16" xfId="0" applyFont="1" applyBorder="1" applyAlignment="1">
      <alignment horizontal="right"/>
    </xf>
    <xf numFmtId="168" fontId="0" fillId="0" borderId="16" xfId="0" applyNumberFormat="1" applyBorder="1" applyAlignment="1">
      <alignment horizontal="center"/>
    </xf>
    <xf numFmtId="0" fontId="131" fillId="55" borderId="9" xfId="0" applyFont="1" applyFill="1" applyBorder="1" applyAlignment="1">
      <alignment horizontal="center" vertical="center"/>
    </xf>
    <xf numFmtId="0" fontId="131" fillId="55" borderId="9" xfId="0" applyFont="1" applyFill="1" applyBorder="1" applyAlignment="1">
      <alignment horizontal="left" vertical="center" wrapText="1"/>
    </xf>
    <xf numFmtId="0" fontId="131" fillId="55" borderId="15" xfId="0" applyFont="1" applyFill="1" applyBorder="1" applyAlignment="1">
      <alignment vertical="center"/>
    </xf>
    <xf numFmtId="0" fontId="134" fillId="55" borderId="0" xfId="0" applyFont="1" applyFill="1" applyAlignment="1">
      <alignment vertical="center"/>
    </xf>
    <xf numFmtId="2" fontId="128" fillId="41" borderId="13" xfId="0" applyNumberFormat="1" applyFont="1" applyFill="1" applyBorder="1" applyAlignment="1">
      <alignment vertical="center" wrapText="1"/>
    </xf>
    <xf numFmtId="2" fontId="128" fillId="41" borderId="12" xfId="0" applyNumberFormat="1" applyFont="1" applyFill="1" applyBorder="1" applyAlignment="1">
      <alignment vertical="center" wrapText="1"/>
    </xf>
    <xf numFmtId="2" fontId="128" fillId="41" borderId="15" xfId="0" applyNumberFormat="1" applyFont="1" applyFill="1" applyBorder="1" applyAlignment="1">
      <alignment vertical="center" wrapText="1"/>
    </xf>
    <xf numFmtId="4" fontId="0" fillId="0" borderId="9" xfId="0" applyNumberFormat="1" applyBorder="1" applyAlignment="1">
      <alignment horizontal="center" vertical="center"/>
    </xf>
    <xf numFmtId="0" fontId="131" fillId="55" borderId="9" xfId="0" applyFont="1" applyFill="1" applyBorder="1" applyAlignment="1">
      <alignment vertical="center"/>
    </xf>
    <xf numFmtId="3" fontId="14" fillId="0" borderId="0" xfId="19" applyNumberFormat="1"/>
    <xf numFmtId="0" fontId="13" fillId="0" borderId="0" xfId="19" applyFont="1"/>
    <xf numFmtId="9" fontId="146" fillId="69" borderId="9" xfId="0" applyNumberFormat="1" applyFont="1" applyFill="1" applyBorder="1" applyAlignment="1">
      <alignment horizontal="center" vertical="center"/>
    </xf>
    <xf numFmtId="0" fontId="146" fillId="0" borderId="9" xfId="0" applyFont="1" applyBorder="1" applyAlignment="1">
      <alignment horizontal="center" vertical="center"/>
    </xf>
    <xf numFmtId="9" fontId="146" fillId="70" borderId="9" xfId="0" applyNumberFormat="1" applyFont="1" applyFill="1" applyBorder="1" applyAlignment="1">
      <alignment horizontal="center" vertical="center"/>
    </xf>
    <xf numFmtId="9" fontId="146" fillId="71" borderId="9" xfId="0" applyNumberFormat="1" applyFont="1" applyFill="1" applyBorder="1" applyAlignment="1">
      <alignment horizontal="center" vertical="center"/>
    </xf>
    <xf numFmtId="9" fontId="146" fillId="6" borderId="9" xfId="0" applyNumberFormat="1" applyFont="1" applyFill="1" applyBorder="1" applyAlignment="1">
      <alignment horizontal="center" vertical="center"/>
    </xf>
    <xf numFmtId="9" fontId="146" fillId="72" borderId="9" xfId="0" applyNumberFormat="1" applyFont="1" applyFill="1" applyBorder="1" applyAlignment="1">
      <alignment horizontal="center" vertical="center"/>
    </xf>
    <xf numFmtId="9" fontId="146" fillId="73" borderId="9" xfId="0" applyNumberFormat="1" applyFont="1" applyFill="1" applyBorder="1" applyAlignment="1">
      <alignment horizontal="center" vertical="center"/>
    </xf>
    <xf numFmtId="9" fontId="146" fillId="4" borderId="9" xfId="0" applyNumberFormat="1" applyFont="1" applyFill="1" applyBorder="1" applyAlignment="1">
      <alignment horizontal="center" vertical="center"/>
    </xf>
    <xf numFmtId="9" fontId="146" fillId="74" borderId="9" xfId="0" applyNumberFormat="1" applyFont="1" applyFill="1" applyBorder="1" applyAlignment="1">
      <alignment horizontal="center" vertical="center"/>
    </xf>
    <xf numFmtId="9" fontId="146" fillId="75" borderId="9" xfId="0" applyNumberFormat="1" applyFont="1" applyFill="1" applyBorder="1" applyAlignment="1">
      <alignment horizontal="center" vertical="center"/>
    </xf>
    <xf numFmtId="9" fontId="146" fillId="76" borderId="9" xfId="0" applyNumberFormat="1" applyFont="1" applyFill="1" applyBorder="1" applyAlignment="1">
      <alignment horizontal="center" vertical="center"/>
    </xf>
    <xf numFmtId="9" fontId="146" fillId="78" borderId="9" xfId="0" applyNumberFormat="1" applyFont="1" applyFill="1" applyBorder="1" applyAlignment="1">
      <alignment horizontal="center" vertical="center"/>
    </xf>
    <xf numFmtId="9" fontId="146" fillId="79" borderId="9" xfId="0" applyNumberFormat="1" applyFont="1" applyFill="1" applyBorder="1" applyAlignment="1">
      <alignment horizontal="center" vertical="center"/>
    </xf>
    <xf numFmtId="9" fontId="146" fillId="80" borderId="9" xfId="0" applyNumberFormat="1" applyFont="1" applyFill="1" applyBorder="1" applyAlignment="1">
      <alignment horizontal="center" vertical="center"/>
    </xf>
    <xf numFmtId="0" fontId="146" fillId="77" borderId="9" xfId="0" applyFont="1" applyFill="1" applyBorder="1" applyAlignment="1">
      <alignment horizontal="center" vertical="center"/>
    </xf>
    <xf numFmtId="9" fontId="148" fillId="0" borderId="9" xfId="0" applyNumberFormat="1" applyFont="1" applyBorder="1" applyAlignment="1">
      <alignment horizontal="center" vertical="center"/>
    </xf>
    <xf numFmtId="0" fontId="144" fillId="63" borderId="9" xfId="0" applyFont="1" applyFill="1" applyBorder="1" applyAlignment="1">
      <alignment horizontal="center" vertical="center"/>
    </xf>
    <xf numFmtId="0" fontId="145" fillId="81" borderId="9" xfId="0" applyFont="1" applyFill="1" applyBorder="1" applyAlignment="1">
      <alignment vertical="center"/>
    </xf>
    <xf numFmtId="0" fontId="146" fillId="81" borderId="9" xfId="0" applyFont="1" applyFill="1" applyBorder="1" applyAlignment="1">
      <alignment horizontal="center" vertical="center"/>
    </xf>
    <xf numFmtId="0" fontId="0" fillId="45" borderId="16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" fontId="0" fillId="0" borderId="16" xfId="0" applyNumberFormat="1" applyBorder="1" applyAlignment="1">
      <alignment horizontal="center" vertical="center"/>
    </xf>
    <xf numFmtId="171" fontId="0" fillId="0" borderId="16" xfId="5" applyNumberFormat="1" applyFont="1" applyBorder="1" applyAlignment="1">
      <alignment horizontal="center" vertical="center"/>
    </xf>
    <xf numFmtId="0" fontId="147" fillId="0" borderId="9" xfId="0" applyFont="1" applyBorder="1" applyAlignment="1">
      <alignment horizontal="right" vertical="center" wrapText="1"/>
    </xf>
    <xf numFmtId="0" fontId="145" fillId="82" borderId="9" xfId="0" applyFont="1" applyFill="1" applyBorder="1" applyAlignment="1">
      <alignment vertical="center" wrapText="1"/>
    </xf>
    <xf numFmtId="0" fontId="145" fillId="82" borderId="9" xfId="0" applyFont="1" applyFill="1" applyBorder="1" applyAlignment="1">
      <alignment horizontal="center" vertical="center"/>
    </xf>
    <xf numFmtId="0" fontId="134" fillId="42" borderId="16" xfId="0" applyFont="1" applyFill="1" applyBorder="1" applyAlignment="1">
      <alignment horizontal="center" vertical="center"/>
    </xf>
    <xf numFmtId="0" fontId="145" fillId="83" borderId="9" xfId="0" applyFont="1" applyFill="1" applyBorder="1" applyAlignment="1">
      <alignment vertical="center"/>
    </xf>
    <xf numFmtId="0" fontId="145" fillId="83" borderId="9" xfId="0" applyFont="1" applyFill="1" applyBorder="1" applyAlignment="1">
      <alignment horizontal="center" vertical="center"/>
    </xf>
    <xf numFmtId="1" fontId="134" fillId="84" borderId="16" xfId="0" applyNumberFormat="1" applyFont="1" applyFill="1" applyBorder="1" applyAlignment="1">
      <alignment horizontal="center" vertical="center"/>
    </xf>
    <xf numFmtId="0" fontId="12" fillId="0" borderId="0" xfId="6" applyFont="1"/>
    <xf numFmtId="0" fontId="11" fillId="0" borderId="0" xfId="6" applyFont="1"/>
    <xf numFmtId="0" fontId="10" fillId="0" borderId="0" xfId="19" applyFont="1"/>
    <xf numFmtId="164" fontId="14" fillId="0" borderId="0" xfId="19" applyNumberFormat="1"/>
    <xf numFmtId="0" fontId="9" fillId="0" borderId="0" xfId="6" applyFont="1"/>
    <xf numFmtId="0" fontId="114" fillId="41" borderId="9" xfId="0" applyFont="1" applyFill="1" applyBorder="1" applyAlignment="1">
      <alignment horizontal="center" vertical="center"/>
    </xf>
    <xf numFmtId="0" fontId="8" fillId="0" borderId="0" xfId="6" applyFont="1"/>
    <xf numFmtId="1" fontId="14" fillId="0" borderId="0" xfId="19" applyNumberFormat="1"/>
    <xf numFmtId="0" fontId="8" fillId="0" borderId="0" xfId="21"/>
    <xf numFmtId="1" fontId="8" fillId="0" borderId="0" xfId="21" applyNumberFormat="1"/>
    <xf numFmtId="164" fontId="8" fillId="0" borderId="0" xfId="21" applyNumberFormat="1"/>
    <xf numFmtId="3" fontId="8" fillId="0" borderId="0" xfId="21" applyNumberFormat="1"/>
    <xf numFmtId="0" fontId="149" fillId="0" borderId="0" xfId="0" applyFont="1" applyAlignment="1">
      <alignment horizontal="center" vertical="center"/>
    </xf>
    <xf numFmtId="0" fontId="38" fillId="65" borderId="0" xfId="21" applyFont="1" applyFill="1"/>
    <xf numFmtId="0" fontId="150" fillId="65" borderId="9" xfId="21" applyFont="1" applyFill="1" applyBorder="1" applyAlignment="1">
      <alignment horizontal="center" vertical="center"/>
    </xf>
    <xf numFmtId="0" fontId="150" fillId="65" borderId="9" xfId="21" applyFont="1" applyFill="1" applyBorder="1" applyAlignment="1">
      <alignment horizontal="center" vertical="center" wrapText="1"/>
    </xf>
    <xf numFmtId="0" fontId="8" fillId="0" borderId="9" xfId="21" applyBorder="1" applyAlignment="1">
      <alignment horizontal="center" vertical="center"/>
    </xf>
    <xf numFmtId="164" fontId="8" fillId="0" borderId="9" xfId="21" applyNumberFormat="1" applyBorder="1" applyAlignment="1">
      <alignment horizontal="center" vertical="center"/>
    </xf>
    <xf numFmtId="0" fontId="8" fillId="55" borderId="0" xfId="21" applyFill="1"/>
    <xf numFmtId="0" fontId="134" fillId="62" borderId="0" xfId="0" applyFont="1" applyFill="1" applyAlignment="1">
      <alignment vertical="center"/>
    </xf>
    <xf numFmtId="0" fontId="7" fillId="0" borderId="0" xfId="20" applyFont="1"/>
    <xf numFmtId="0" fontId="6" fillId="0" borderId="0" xfId="6" applyFont="1"/>
    <xf numFmtId="3" fontId="116" fillId="85" borderId="9" xfId="0" applyNumberFormat="1" applyFont="1" applyFill="1" applyBorder="1" applyAlignment="1">
      <alignment horizontal="center" vertical="center"/>
    </xf>
    <xf numFmtId="0" fontId="5" fillId="0" borderId="0" xfId="6" applyFont="1"/>
    <xf numFmtId="0" fontId="4" fillId="0" borderId="0" xfId="22"/>
    <xf numFmtId="0" fontId="114" fillId="41" borderId="0" xfId="22" applyFont="1" applyFill="1" applyAlignment="1">
      <alignment horizontal="center" vertical="center"/>
    </xf>
    <xf numFmtId="1" fontId="116" fillId="41" borderId="64" xfId="22" applyNumberFormat="1" applyFont="1" applyFill="1" applyBorder="1" applyAlignment="1">
      <alignment horizontal="center" vertical="center"/>
    </xf>
    <xf numFmtId="1" fontId="116" fillId="41" borderId="50" xfId="22" applyNumberFormat="1" applyFont="1" applyFill="1" applyBorder="1" applyAlignment="1">
      <alignment horizontal="center" vertical="center"/>
    </xf>
    <xf numFmtId="1" fontId="115" fillId="60" borderId="9" xfId="22" applyNumberFormat="1" applyFont="1" applyFill="1" applyBorder="1" applyAlignment="1">
      <alignment horizontal="center" vertical="center"/>
    </xf>
    <xf numFmtId="1" fontId="31" fillId="60" borderId="9" xfId="22" applyNumberFormat="1" applyFont="1" applyFill="1" applyBorder="1" applyAlignment="1">
      <alignment horizontal="center" vertical="center"/>
    </xf>
    <xf numFmtId="1" fontId="113" fillId="42" borderId="9" xfId="22" applyNumberFormat="1" applyFont="1" applyFill="1" applyBorder="1" applyAlignment="1">
      <alignment horizontal="center" vertical="center"/>
    </xf>
    <xf numFmtId="1" fontId="15" fillId="42" borderId="50" xfId="22" applyNumberFormat="1" applyFont="1" applyFill="1" applyBorder="1" applyAlignment="1">
      <alignment horizontal="center" vertical="center"/>
    </xf>
    <xf numFmtId="1" fontId="113" fillId="50" borderId="9" xfId="22" applyNumberFormat="1" applyFont="1" applyFill="1" applyBorder="1" applyAlignment="1">
      <alignment horizontal="center"/>
    </xf>
    <xf numFmtId="1" fontId="15" fillId="50" borderId="9" xfId="22" applyNumberFormat="1" applyFont="1" applyFill="1" applyBorder="1" applyAlignment="1">
      <alignment horizontal="center" vertical="center"/>
    </xf>
    <xf numFmtId="1" fontId="113" fillId="0" borderId="9" xfId="22" applyNumberFormat="1" applyFont="1" applyBorder="1" applyAlignment="1">
      <alignment horizontal="center" vertical="center"/>
    </xf>
    <xf numFmtId="1" fontId="116" fillId="41" borderId="77" xfId="22" applyNumberFormat="1" applyFont="1" applyFill="1" applyBorder="1" applyAlignment="1">
      <alignment horizontal="center" vertical="center"/>
    </xf>
    <xf numFmtId="1" fontId="116" fillId="41" borderId="9" xfId="22" applyNumberFormat="1" applyFont="1" applyFill="1" applyBorder="1" applyAlignment="1">
      <alignment horizontal="center" vertical="center"/>
    </xf>
    <xf numFmtId="1" fontId="31" fillId="61" borderId="50" xfId="22" applyNumberFormat="1" applyFont="1" applyFill="1" applyBorder="1" applyAlignment="1">
      <alignment horizontal="center" vertical="center"/>
    </xf>
    <xf numFmtId="1" fontId="31" fillId="61" borderId="9" xfId="22" applyNumberFormat="1" applyFont="1" applyFill="1" applyBorder="1" applyAlignment="1">
      <alignment horizontal="center" vertical="center"/>
    </xf>
    <xf numFmtId="1" fontId="113" fillId="42" borderId="10" xfId="22" applyNumberFormat="1" applyFont="1" applyFill="1" applyBorder="1" applyAlignment="1">
      <alignment horizontal="center" vertical="center"/>
    </xf>
    <xf numFmtId="1" fontId="113" fillId="42" borderId="50" xfId="22" applyNumberFormat="1" applyFont="1" applyFill="1" applyBorder="1" applyAlignment="1">
      <alignment horizontal="center" vertical="center"/>
    </xf>
    <xf numFmtId="1" fontId="113" fillId="50" borderId="9" xfId="22" applyNumberFormat="1" applyFont="1" applyFill="1" applyBorder="1" applyAlignment="1">
      <alignment horizontal="center" vertical="center"/>
    </xf>
    <xf numFmtId="1" fontId="113" fillId="50" borderId="10" xfId="22" applyNumberFormat="1" applyFont="1" applyFill="1" applyBorder="1" applyAlignment="1">
      <alignment horizontal="center" vertical="center"/>
    </xf>
    <xf numFmtId="1" fontId="113" fillId="42" borderId="9" xfId="22" applyNumberFormat="1" applyFont="1" applyFill="1" applyBorder="1" applyAlignment="1">
      <alignment horizontal="center"/>
    </xf>
    <xf numFmtId="1" fontId="113" fillId="42" borderId="10" xfId="22" applyNumberFormat="1" applyFont="1" applyFill="1" applyBorder="1" applyAlignment="1">
      <alignment horizontal="center"/>
    </xf>
    <xf numFmtId="1" fontId="15" fillId="42" borderId="9" xfId="22" applyNumberFormat="1" applyFont="1" applyFill="1" applyBorder="1" applyAlignment="1">
      <alignment horizontal="center" vertical="center"/>
    </xf>
    <xf numFmtId="1" fontId="113" fillId="60" borderId="9" xfId="22" applyNumberFormat="1" applyFont="1" applyFill="1" applyBorder="1" applyAlignment="1">
      <alignment horizontal="center"/>
    </xf>
    <xf numFmtId="1" fontId="113" fillId="60" borderId="10" xfId="22" applyNumberFormat="1" applyFont="1" applyFill="1" applyBorder="1" applyAlignment="1">
      <alignment horizontal="center"/>
    </xf>
    <xf numFmtId="1" fontId="4" fillId="0" borderId="0" xfId="22" applyNumberFormat="1"/>
    <xf numFmtId="168" fontId="4" fillId="0" borderId="0" xfId="22" applyNumberFormat="1"/>
    <xf numFmtId="0" fontId="0" fillId="86" borderId="0" xfId="0" applyFill="1"/>
    <xf numFmtId="0" fontId="3" fillId="0" borderId="0" xfId="21" applyFont="1"/>
    <xf numFmtId="4" fontId="0" fillId="0" borderId="0" xfId="0" applyNumberFormat="1"/>
    <xf numFmtId="0" fontId="133" fillId="0" borderId="0" xfId="23" applyFont="1"/>
    <xf numFmtId="0" fontId="3" fillId="0" borderId="0" xfId="23"/>
    <xf numFmtId="0" fontId="17" fillId="0" borderId="10" xfId="24" applyFont="1" applyBorder="1" applyAlignment="1">
      <alignment horizontal="centerContinuous"/>
    </xf>
    <xf numFmtId="0" fontId="17" fillId="0" borderId="16" xfId="24" applyFont="1" applyBorder="1" applyAlignment="1">
      <alignment horizontal="centerContinuous"/>
    </xf>
    <xf numFmtId="0" fontId="17" fillId="0" borderId="11" xfId="24" applyFont="1" applyBorder="1" applyAlignment="1">
      <alignment horizontal="centerContinuous"/>
    </xf>
    <xf numFmtId="0" fontId="17" fillId="0" borderId="9" xfId="24" applyFont="1" applyBorder="1" applyAlignment="1">
      <alignment horizontal="centerContinuous"/>
    </xf>
    <xf numFmtId="0" fontId="17" fillId="0" borderId="13" xfId="24" applyFont="1" applyBorder="1" applyAlignment="1">
      <alignment horizontal="centerContinuous"/>
    </xf>
    <xf numFmtId="0" fontId="17" fillId="0" borderId="6" xfId="24" applyFont="1" applyBorder="1" applyAlignment="1">
      <alignment horizontal="centerContinuous"/>
    </xf>
    <xf numFmtId="0" fontId="17" fillId="0" borderId="7" xfId="24" applyFont="1" applyBorder="1" applyAlignment="1">
      <alignment horizontal="centerContinuous"/>
    </xf>
    <xf numFmtId="0" fontId="17" fillId="0" borderId="0" xfId="24" applyFont="1" applyAlignment="1">
      <alignment horizontal="centerContinuous"/>
    </xf>
    <xf numFmtId="1" fontId="16" fillId="0" borderId="7" xfId="24" applyNumberFormat="1" applyFont="1" applyBorder="1"/>
    <xf numFmtId="1" fontId="16" fillId="0" borderId="0" xfId="24" applyNumberFormat="1" applyFont="1"/>
    <xf numFmtId="1" fontId="3" fillId="0" borderId="0" xfId="23" applyNumberFormat="1"/>
    <xf numFmtId="171" fontId="3" fillId="0" borderId="0" xfId="23" applyNumberFormat="1"/>
    <xf numFmtId="0" fontId="3" fillId="0" borderId="0" xfId="23" applyAlignment="1">
      <alignment horizontal="right"/>
    </xf>
    <xf numFmtId="0" fontId="3" fillId="0" borderId="0" xfId="23" applyAlignment="1">
      <alignment horizontal="left" vertical="center"/>
    </xf>
    <xf numFmtId="164" fontId="3" fillId="0" borderId="0" xfId="23" applyNumberFormat="1"/>
    <xf numFmtId="0" fontId="3" fillId="55" borderId="0" xfId="23" applyFill="1"/>
    <xf numFmtId="0" fontId="38" fillId="65" borderId="0" xfId="23" applyFont="1" applyFill="1"/>
    <xf numFmtId="0" fontId="150" fillId="65" borderId="9" xfId="23" applyFont="1" applyFill="1" applyBorder="1" applyAlignment="1">
      <alignment horizontal="center" vertical="center"/>
    </xf>
    <xf numFmtId="0" fontId="150" fillId="65" borderId="9" xfId="23" applyFont="1" applyFill="1" applyBorder="1" applyAlignment="1">
      <alignment horizontal="center" vertical="center" wrapText="1"/>
    </xf>
    <xf numFmtId="0" fontId="3" fillId="0" borderId="9" xfId="23" applyBorder="1" applyAlignment="1">
      <alignment horizontal="center" vertical="center"/>
    </xf>
    <xf numFmtId="164" fontId="3" fillId="0" borderId="9" xfId="23" applyNumberFormat="1" applyBorder="1" applyAlignment="1">
      <alignment horizontal="center" vertical="center"/>
    </xf>
    <xf numFmtId="164" fontId="3" fillId="0" borderId="0" xfId="23" applyNumberFormat="1" applyAlignment="1">
      <alignment horizontal="center"/>
    </xf>
    <xf numFmtId="0" fontId="3" fillId="0" borderId="12" xfId="23" applyBorder="1" applyAlignment="1">
      <alignment horizontal="center" vertical="center"/>
    </xf>
    <xf numFmtId="0" fontId="149" fillId="0" borderId="0" xfId="23" applyFont="1"/>
    <xf numFmtId="171" fontId="3" fillId="0" borderId="0" xfId="5" applyNumberFormat="1" applyFont="1"/>
    <xf numFmtId="180" fontId="0" fillId="0" borderId="0" xfId="0" applyNumberFormat="1"/>
    <xf numFmtId="0" fontId="2" fillId="0" borderId="0" xfId="6" applyFont="1"/>
    <xf numFmtId="0" fontId="1" fillId="0" borderId="0" xfId="23" applyFont="1"/>
    <xf numFmtId="0" fontId="134" fillId="63" borderId="0" xfId="0" applyFont="1" applyFill="1" applyAlignment="1">
      <alignment horizontal="center"/>
    </xf>
    <xf numFmtId="0" fontId="134" fillId="62" borderId="0" xfId="0" applyFont="1" applyFill="1" applyAlignment="1">
      <alignment horizontal="center"/>
    </xf>
    <xf numFmtId="0" fontId="17" fillId="0" borderId="6" xfId="23" applyFont="1" applyBorder="1" applyAlignment="1">
      <alignment horizontal="center"/>
    </xf>
    <xf numFmtId="0" fontId="17" fillId="0" borderId="23" xfId="23" applyFont="1" applyBorder="1" applyAlignment="1">
      <alignment horizontal="center"/>
    </xf>
    <xf numFmtId="0" fontId="17" fillId="0" borderId="17" xfId="23" applyFont="1" applyBorder="1" applyAlignment="1">
      <alignment horizontal="center"/>
    </xf>
    <xf numFmtId="0" fontId="17" fillId="0" borderId="7" xfId="23" applyFont="1" applyBorder="1" applyAlignment="1">
      <alignment horizontal="center"/>
    </xf>
    <xf numFmtId="0" fontId="17" fillId="0" borderId="0" xfId="23" applyFont="1" applyAlignment="1">
      <alignment horizontal="center"/>
    </xf>
    <xf numFmtId="0" fontId="3" fillId="0" borderId="0" xfId="23" applyAlignment="1">
      <alignment horizontal="center" wrapText="1"/>
    </xf>
    <xf numFmtId="0" fontId="150" fillId="65" borderId="0" xfId="23" applyFont="1" applyFill="1" applyAlignment="1">
      <alignment horizontal="center" vertical="center"/>
    </xf>
    <xf numFmtId="0" fontId="134" fillId="55" borderId="0" xfId="0" applyFont="1" applyFill="1" applyAlignment="1">
      <alignment horizontal="center"/>
    </xf>
    <xf numFmtId="0" fontId="144" fillId="68" borderId="9" xfId="0" applyFont="1" applyFill="1" applyBorder="1" applyAlignment="1">
      <alignment horizontal="center" vertical="center"/>
    </xf>
    <xf numFmtId="0" fontId="114" fillId="41" borderId="9" xfId="22" applyFont="1" applyFill="1" applyBorder="1" applyAlignment="1">
      <alignment horizontal="center" vertical="center"/>
    </xf>
    <xf numFmtId="0" fontId="150" fillId="65" borderId="0" xfId="21" applyFont="1" applyFill="1" applyAlignment="1">
      <alignment horizontal="center" vertical="center"/>
    </xf>
    <xf numFmtId="0" fontId="78" fillId="41" borderId="11" xfId="0" applyFont="1" applyFill="1" applyBorder="1" applyAlignment="1">
      <alignment horizontal="center" vertical="center"/>
    </xf>
    <xf numFmtId="0" fontId="78" fillId="41" borderId="9" xfId="0" applyFont="1" applyFill="1" applyBorder="1" applyAlignment="1">
      <alignment horizontal="center" vertical="center"/>
    </xf>
    <xf numFmtId="0" fontId="132" fillId="41" borderId="6" xfId="0" applyFont="1" applyFill="1" applyBorder="1" applyAlignment="1">
      <alignment horizontal="center" vertical="center" wrapText="1" readingOrder="1"/>
    </xf>
    <xf numFmtId="0" fontId="132" fillId="41" borderId="23" xfId="0" applyFont="1" applyFill="1" applyBorder="1" applyAlignment="1">
      <alignment horizontal="center" vertical="center" wrapText="1" readingOrder="1"/>
    </xf>
    <xf numFmtId="0" fontId="132" fillId="41" borderId="17" xfId="0" applyFont="1" applyFill="1" applyBorder="1" applyAlignment="1">
      <alignment horizontal="center" vertical="center" wrapText="1" readingOrder="1"/>
    </xf>
    <xf numFmtId="0" fontId="58" fillId="46" borderId="9" xfId="0" applyFont="1" applyFill="1" applyBorder="1" applyAlignment="1">
      <alignment horizontal="center" vertical="center"/>
    </xf>
    <xf numFmtId="0" fontId="86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left" vertical="center" wrapText="1"/>
    </xf>
    <xf numFmtId="0" fontId="123" fillId="63" borderId="61" xfId="0" applyFont="1" applyFill="1" applyBorder="1" applyAlignment="1">
      <alignment horizontal="center" vertical="center" wrapText="1"/>
    </xf>
    <xf numFmtId="0" fontId="123" fillId="63" borderId="47" xfId="0" applyFont="1" applyFill="1" applyBorder="1" applyAlignment="1">
      <alignment horizontal="center" vertical="center" wrapText="1"/>
    </xf>
    <xf numFmtId="0" fontId="123" fillId="63" borderId="45" xfId="0" applyFont="1" applyFill="1" applyBorder="1" applyAlignment="1">
      <alignment horizontal="center" vertical="center" wrapText="1"/>
    </xf>
    <xf numFmtId="3" fontId="115" fillId="0" borderId="9" xfId="0" applyNumberFormat="1" applyFont="1" applyBorder="1" applyAlignment="1">
      <alignment horizontal="center" vertical="center"/>
    </xf>
    <xf numFmtId="0" fontId="113" fillId="0" borderId="9" xfId="0" applyFont="1" applyBorder="1" applyAlignment="1">
      <alignment horizontal="left" vertical="center" wrapText="1"/>
    </xf>
    <xf numFmtId="3" fontId="114" fillId="53" borderId="9" xfId="0" applyNumberFormat="1" applyFont="1" applyFill="1" applyBorder="1" applyAlignment="1">
      <alignment horizontal="center" vertical="center"/>
    </xf>
    <xf numFmtId="0" fontId="115" fillId="41" borderId="49" xfId="0" applyFont="1" applyFill="1" applyBorder="1" applyAlignment="1">
      <alignment horizontal="center" vertical="center"/>
    </xf>
    <xf numFmtId="0" fontId="114" fillId="41" borderId="49" xfId="0" applyFont="1" applyFill="1" applyBorder="1" applyAlignment="1">
      <alignment horizontal="center" vertical="center"/>
    </xf>
    <xf numFmtId="0" fontId="114" fillId="41" borderId="66" xfId="0" applyFont="1" applyFill="1" applyBorder="1" applyAlignment="1">
      <alignment horizontal="center" vertical="center"/>
    </xf>
    <xf numFmtId="0" fontId="114" fillId="41" borderId="51" xfId="0" applyFont="1" applyFill="1" applyBorder="1" applyAlignment="1">
      <alignment horizontal="center" vertical="center"/>
    </xf>
    <xf numFmtId="0" fontId="114" fillId="41" borderId="50" xfId="0" applyFont="1" applyFill="1" applyBorder="1" applyAlignment="1">
      <alignment horizontal="center" vertical="center"/>
    </xf>
    <xf numFmtId="0" fontId="114" fillId="41" borderId="9" xfId="0" applyFont="1" applyFill="1" applyBorder="1" applyAlignment="1">
      <alignment horizontal="center" vertical="center"/>
    </xf>
    <xf numFmtId="0" fontId="115" fillId="50" borderId="51" xfId="0" applyFont="1" applyFill="1" applyBorder="1" applyAlignment="1">
      <alignment horizontal="center" vertical="center" wrapText="1"/>
    </xf>
    <xf numFmtId="0" fontId="115" fillId="50" borderId="49" xfId="0" applyFont="1" applyFill="1" applyBorder="1" applyAlignment="1">
      <alignment horizontal="center" vertical="center" wrapText="1"/>
    </xf>
    <xf numFmtId="0" fontId="114" fillId="41" borderId="11" xfId="0" applyFont="1" applyFill="1" applyBorder="1" applyAlignment="1">
      <alignment horizontal="center" vertical="center"/>
    </xf>
    <xf numFmtId="0" fontId="131" fillId="55" borderId="6" xfId="0" applyFont="1" applyFill="1" applyBorder="1" applyAlignment="1">
      <alignment horizontal="center" vertical="center"/>
    </xf>
    <xf numFmtId="0" fontId="131" fillId="55" borderId="16" xfId="0" applyFont="1" applyFill="1" applyBorder="1" applyAlignment="1">
      <alignment horizontal="center" vertical="center"/>
    </xf>
    <xf numFmtId="0" fontId="131" fillId="55" borderId="11" xfId="0" applyFont="1" applyFill="1" applyBorder="1" applyAlignment="1">
      <alignment horizontal="center" vertical="center"/>
    </xf>
    <xf numFmtId="0" fontId="41" fillId="43" borderId="7" xfId="0" applyFont="1" applyFill="1" applyBorder="1" applyAlignment="1">
      <alignment horizontal="center" vertical="center"/>
    </xf>
    <xf numFmtId="0" fontId="41" fillId="43" borderId="0" xfId="0" applyFont="1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1" fillId="66" borderId="0" xfId="0" applyFont="1" applyFill="1" applyAlignment="1">
      <alignment horizontal="center" vertical="center" wrapText="1"/>
    </xf>
    <xf numFmtId="0" fontId="40" fillId="41" borderId="0" xfId="0" applyFont="1" applyFill="1" applyAlignment="1">
      <alignment horizontal="center" vertical="center" wrapText="1"/>
    </xf>
    <xf numFmtId="0" fontId="114" fillId="41" borderId="9" xfId="19" applyFont="1" applyFill="1" applyBorder="1" applyAlignment="1">
      <alignment horizontal="center" vertical="center"/>
    </xf>
    <xf numFmtId="0" fontId="0" fillId="60" borderId="9" xfId="0" applyFill="1" applyBorder="1" applyAlignment="1">
      <alignment horizontal="center"/>
    </xf>
  </cellXfs>
  <cellStyles count="25">
    <cellStyle name="Normal 18" xfId="1" xr:uid="{00000000-0005-0000-0000-000000000000}"/>
    <cellStyle name="Normal 2" xfId="2" xr:uid="{00000000-0005-0000-0000-000001000000}"/>
    <cellStyle name="Normal 3" xfId="3" xr:uid="{00000000-0005-0000-0000-000002000000}"/>
    <cellStyle name="Normal 4" xfId="4" xr:uid="{00000000-0005-0000-0000-000003000000}"/>
    <cellStyle name="Відсотковий" xfId="5" builtinId="5"/>
    <cellStyle name="Звичайний" xfId="0" builtinId="0"/>
    <cellStyle name="Звичайний 2" xfId="19" xr:uid="{34DD580B-7C28-49E2-9110-96ED28649CB5}"/>
    <cellStyle name="Звичайний 3" xfId="21" xr:uid="{126B1CEE-A30A-4D31-96E6-5E31D0D3E95C}"/>
    <cellStyle name="Звичайний 4" xfId="6" xr:uid="{00000000-0005-0000-0000-000006000000}"/>
    <cellStyle name="Звичайний 4 2" xfId="7" xr:uid="{00000000-0005-0000-0000-000007000000}"/>
    <cellStyle name="Звичайний 5" xfId="22" xr:uid="{E1FE18AE-5D75-41F9-92B2-A9335DCE44E5}"/>
    <cellStyle name="Звичайний 6" xfId="23" xr:uid="{4DD42C12-51E3-41B9-B11F-5DE61C90BB3F}"/>
    <cellStyle name="Звичайний 7" xfId="20" xr:uid="{1628093B-068B-4DCB-9673-C97EE474F0DF}"/>
    <cellStyle name="Обычный 2" xfId="8" xr:uid="{00000000-0005-0000-0000-000008000000}"/>
    <cellStyle name="Обычный 3" xfId="9" xr:uid="{00000000-0005-0000-0000-000009000000}"/>
    <cellStyle name="Обычный 4" xfId="10" xr:uid="{00000000-0005-0000-0000-00000A000000}"/>
    <cellStyle name="Обычный 5" xfId="11" xr:uid="{00000000-0005-0000-0000-00000B000000}"/>
    <cellStyle name="Обычный 5 2" xfId="12" xr:uid="{00000000-0005-0000-0000-00000C000000}"/>
    <cellStyle name="Обычный 5 2 2" xfId="13" xr:uid="{00000000-0005-0000-0000-00000D000000}"/>
    <cellStyle name="Обычный 5 3" xfId="14" xr:uid="{00000000-0005-0000-0000-00000E000000}"/>
    <cellStyle name="Обычный_BoP_main table(BPM6)" xfId="24" xr:uid="{2F909D8E-810A-4095-A324-AE9BABB9BEF4}"/>
    <cellStyle name="Финансовый 2" xfId="15" xr:uid="{00000000-0005-0000-0000-00000F000000}"/>
    <cellStyle name="Фінансовий" xfId="16" builtinId="3"/>
    <cellStyle name="Фінансовий 2" xfId="17" xr:uid="{00000000-0005-0000-0000-000011000000}"/>
    <cellStyle name="Фінансовий 3" xfId="18" xr:uid="{67955006-C4A4-464C-AB25-758BB4B1369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4.xml"/><Relationship Id="rId26" Type="http://schemas.openxmlformats.org/officeDocument/2006/relationships/worksheet" Target="worksheets/sheet22.xml"/><Relationship Id="rId39" Type="http://schemas.openxmlformats.org/officeDocument/2006/relationships/externalLink" Target="externalLinks/externalLink6.xml"/><Relationship Id="rId21" Type="http://schemas.openxmlformats.org/officeDocument/2006/relationships/worksheet" Target="worksheets/sheet17.xml"/><Relationship Id="rId34" Type="http://schemas.openxmlformats.org/officeDocument/2006/relationships/externalLink" Target="externalLinks/externalLink1.xml"/><Relationship Id="rId42" Type="http://schemas.openxmlformats.org/officeDocument/2006/relationships/externalLink" Target="externalLinks/externalLink9.xml"/><Relationship Id="rId47" Type="http://schemas.openxmlformats.org/officeDocument/2006/relationships/styles" Target="styles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3.xml"/><Relationship Id="rId29" Type="http://schemas.openxmlformats.org/officeDocument/2006/relationships/worksheet" Target="worksheets/sheet25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0.xml"/><Relationship Id="rId32" Type="http://schemas.openxmlformats.org/officeDocument/2006/relationships/worksheet" Target="worksheets/sheet28.xml"/><Relationship Id="rId37" Type="http://schemas.openxmlformats.org/officeDocument/2006/relationships/externalLink" Target="externalLinks/externalLink4.xml"/><Relationship Id="rId40" Type="http://schemas.openxmlformats.org/officeDocument/2006/relationships/externalLink" Target="externalLinks/externalLink7.xml"/><Relationship Id="rId45" Type="http://schemas.openxmlformats.org/officeDocument/2006/relationships/externalLink" Target="externalLinks/externalLink12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2.xml"/><Relationship Id="rId23" Type="http://schemas.openxmlformats.org/officeDocument/2006/relationships/worksheet" Target="worksheets/sheet19.xml"/><Relationship Id="rId28" Type="http://schemas.openxmlformats.org/officeDocument/2006/relationships/worksheet" Target="worksheets/sheet24.xml"/><Relationship Id="rId36" Type="http://schemas.openxmlformats.org/officeDocument/2006/relationships/externalLink" Target="externalLinks/externalLink3.xml"/><Relationship Id="rId49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5.xml"/><Relationship Id="rId31" Type="http://schemas.openxmlformats.org/officeDocument/2006/relationships/worksheet" Target="worksheets/sheet27.xml"/><Relationship Id="rId44" Type="http://schemas.openxmlformats.org/officeDocument/2006/relationships/externalLink" Target="externalLinks/externalLink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Relationship Id="rId22" Type="http://schemas.openxmlformats.org/officeDocument/2006/relationships/worksheet" Target="worksheets/sheet18.xml"/><Relationship Id="rId27" Type="http://schemas.openxmlformats.org/officeDocument/2006/relationships/worksheet" Target="worksheets/sheet23.xml"/><Relationship Id="rId30" Type="http://schemas.openxmlformats.org/officeDocument/2006/relationships/worksheet" Target="worksheets/sheet26.xml"/><Relationship Id="rId35" Type="http://schemas.openxmlformats.org/officeDocument/2006/relationships/externalLink" Target="externalLinks/externalLink2.xml"/><Relationship Id="rId43" Type="http://schemas.openxmlformats.org/officeDocument/2006/relationships/externalLink" Target="externalLinks/externalLink10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chartsheet" Target="chartsheets/sheet4.xml"/><Relationship Id="rId25" Type="http://schemas.openxmlformats.org/officeDocument/2006/relationships/worksheet" Target="worksheets/sheet21.xml"/><Relationship Id="rId33" Type="http://schemas.openxmlformats.org/officeDocument/2006/relationships/worksheet" Target="worksheets/sheet29.xml"/><Relationship Id="rId38" Type="http://schemas.openxmlformats.org/officeDocument/2006/relationships/externalLink" Target="externalLinks/externalLink5.xml"/><Relationship Id="rId46" Type="http://schemas.openxmlformats.org/officeDocument/2006/relationships/theme" Target="theme/theme1.xml"/><Relationship Id="rId20" Type="http://schemas.openxmlformats.org/officeDocument/2006/relationships/worksheet" Target="worksheets/sheet16.xml"/><Relationship Id="rId41" Type="http://schemas.openxmlformats.org/officeDocument/2006/relationships/externalLink" Target="externalLinks/externalLink8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174693693882358E-2"/>
          <c:y val="0.20308333333333334"/>
          <c:w val="0.67672992056487202"/>
          <c:h val="0.7186460210210210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'ТБ 2023'!$A$8</c:f>
              <c:strCache>
                <c:ptCount val="1"/>
                <c:pt idx="0">
                  <c:v>Импорт услуг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-5.0010045509782331E-17"/>
                  <c:y val="4.17153962166114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5BB-44AE-AAC6-F5A96819EF45}"/>
                </c:ext>
              </c:extLst>
            </c:dLbl>
            <c:dLbl>
              <c:idx val="7"/>
              <c:layout>
                <c:manualLayout>
                  <c:x val="0"/>
                  <c:y val="8.343079243322129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5BB-44AE-AAC6-F5A96819EF4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2023'!$B$4:$M$4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2023'!$B$8:$M$8</c:f>
              <c:numCache>
                <c:formatCode>0</c:formatCode>
                <c:ptCount val="12"/>
                <c:pt idx="0">
                  <c:v>-2691</c:v>
                </c:pt>
                <c:pt idx="1">
                  <c:v>-2622</c:v>
                </c:pt>
                <c:pt idx="2">
                  <c:v>-2259</c:v>
                </c:pt>
                <c:pt idx="3">
                  <c:v>-1905</c:v>
                </c:pt>
                <c:pt idx="4">
                  <c:v>-1946</c:v>
                </c:pt>
                <c:pt idx="5">
                  <c:v>-1909</c:v>
                </c:pt>
                <c:pt idx="6">
                  <c:v>-1975</c:v>
                </c:pt>
                <c:pt idx="7">
                  <c:v>-1979</c:v>
                </c:pt>
                <c:pt idx="8">
                  <c:v>-1937</c:v>
                </c:pt>
                <c:pt idx="9">
                  <c:v>-1948</c:v>
                </c:pt>
                <c:pt idx="10">
                  <c:v>-2005</c:v>
                </c:pt>
                <c:pt idx="11">
                  <c:v>-2261.9392651909529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5BB-44AE-AAC6-F5A96819EF45}"/>
            </c:ext>
          </c:extLst>
        </c:ser>
        <c:ser>
          <c:idx val="2"/>
          <c:order val="1"/>
          <c:tx>
            <c:strRef>
              <c:f>'ТБ 2023'!$A$7</c:f>
              <c:strCache>
                <c:ptCount val="1"/>
                <c:pt idx="0">
                  <c:v>Экспорт услуг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2023'!$B$4:$M$4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2023'!$B$7:$M$7</c:f>
              <c:numCache>
                <c:formatCode>0</c:formatCode>
                <c:ptCount val="12"/>
                <c:pt idx="0">
                  <c:v>1277</c:v>
                </c:pt>
                <c:pt idx="1">
                  <c:v>1315</c:v>
                </c:pt>
                <c:pt idx="2">
                  <c:v>1387</c:v>
                </c:pt>
                <c:pt idx="3">
                  <c:v>1276</c:v>
                </c:pt>
                <c:pt idx="4">
                  <c:v>1352</c:v>
                </c:pt>
                <c:pt idx="5">
                  <c:v>1363</c:v>
                </c:pt>
                <c:pt idx="6">
                  <c:v>1370</c:v>
                </c:pt>
                <c:pt idx="7">
                  <c:v>1391</c:v>
                </c:pt>
                <c:pt idx="8">
                  <c:v>1283</c:v>
                </c:pt>
                <c:pt idx="9">
                  <c:v>1360</c:v>
                </c:pt>
                <c:pt idx="10">
                  <c:v>1423</c:v>
                </c:pt>
                <c:pt idx="11">
                  <c:v>1394.6049390718174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BB-44AE-AAC6-F5A96819EF45}"/>
            </c:ext>
          </c:extLst>
        </c:ser>
        <c:ser>
          <c:idx val="1"/>
          <c:order val="2"/>
          <c:tx>
            <c:strRef>
              <c:f>'ТБ 2023'!$A$6</c:f>
              <c:strCache>
                <c:ptCount val="1"/>
                <c:pt idx="0">
                  <c:v>Импорт товаров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2023'!$B$4:$M$4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2023'!$B$6:$M$6</c:f>
              <c:numCache>
                <c:formatCode>0</c:formatCode>
                <c:ptCount val="12"/>
                <c:pt idx="0">
                  <c:v>-5128</c:v>
                </c:pt>
                <c:pt idx="1">
                  <c:v>-5148</c:v>
                </c:pt>
                <c:pt idx="2">
                  <c:v>-5480</c:v>
                </c:pt>
                <c:pt idx="3">
                  <c:v>-4619</c:v>
                </c:pt>
                <c:pt idx="4">
                  <c:v>-4916</c:v>
                </c:pt>
                <c:pt idx="5">
                  <c:v>-5142</c:v>
                </c:pt>
                <c:pt idx="6">
                  <c:v>-5226</c:v>
                </c:pt>
                <c:pt idx="7">
                  <c:v>-5522</c:v>
                </c:pt>
                <c:pt idx="8">
                  <c:v>-5355</c:v>
                </c:pt>
                <c:pt idx="9">
                  <c:v>-5486</c:v>
                </c:pt>
                <c:pt idx="10">
                  <c:v>-4988</c:v>
                </c:pt>
                <c:pt idx="11">
                  <c:v>-6025.4682381922266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BB-44AE-AAC6-F5A96819EF45}"/>
            </c:ext>
          </c:extLst>
        </c:ser>
        <c:ser>
          <c:idx val="0"/>
          <c:order val="3"/>
          <c:tx>
            <c:strRef>
              <c:f>'ТБ 2023'!$A$5</c:f>
              <c:strCache>
                <c:ptCount val="1"/>
                <c:pt idx="0">
                  <c:v>Экспорт товаров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2023'!$B$4:$M$4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2023'!$B$5:$M$5</c:f>
              <c:numCache>
                <c:formatCode>0</c:formatCode>
                <c:ptCount val="12"/>
                <c:pt idx="0">
                  <c:v>2969</c:v>
                </c:pt>
                <c:pt idx="1">
                  <c:v>3154</c:v>
                </c:pt>
                <c:pt idx="2">
                  <c:v>3667</c:v>
                </c:pt>
                <c:pt idx="3">
                  <c:v>2889</c:v>
                </c:pt>
                <c:pt idx="4">
                  <c:v>2953</c:v>
                </c:pt>
                <c:pt idx="5">
                  <c:v>2810</c:v>
                </c:pt>
                <c:pt idx="6">
                  <c:v>2265</c:v>
                </c:pt>
                <c:pt idx="7">
                  <c:v>2543</c:v>
                </c:pt>
                <c:pt idx="8">
                  <c:v>2557</c:v>
                </c:pt>
                <c:pt idx="9">
                  <c:v>2625</c:v>
                </c:pt>
                <c:pt idx="10">
                  <c:v>2841</c:v>
                </c:pt>
                <c:pt idx="11">
                  <c:v>3194.9933516722654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BB-44AE-AAC6-F5A96819E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3758559"/>
        <c:axId val="63765215"/>
      </c:barChart>
      <c:lineChart>
        <c:grouping val="standard"/>
        <c:varyColors val="0"/>
        <c:ser>
          <c:idx val="4"/>
          <c:order val="4"/>
          <c:tx>
            <c:strRef>
              <c:f>'ТБ 2023'!$A$9</c:f>
              <c:strCache>
                <c:ptCount val="1"/>
                <c:pt idx="0">
                  <c:v>Сальдо торгового баланса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20000"/>
                  <a:lumOff val="80000"/>
                </a:schemeClr>
              </a:solidFill>
              <a:ln w="3175">
                <a:solidFill>
                  <a:schemeClr val="accent4"/>
                </a:solidFill>
              </a:ln>
              <a:effectLst/>
            </c:spPr>
          </c:marker>
          <c:dLbls>
            <c:numFmt formatCode="#,##0.0" sourceLinked="0"/>
            <c:spPr>
              <a:solidFill>
                <a:schemeClr val="bg1"/>
              </a:solidFill>
              <a:ln w="3175">
                <a:solidFill>
                  <a:schemeClr val="accent4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2023'!$B$4:$M$4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2023'!$B$9:$M$9</c:f>
              <c:numCache>
                <c:formatCode>0</c:formatCode>
                <c:ptCount val="12"/>
                <c:pt idx="0">
                  <c:v>-3573</c:v>
                </c:pt>
                <c:pt idx="1">
                  <c:v>-3301</c:v>
                </c:pt>
                <c:pt idx="2">
                  <c:v>-2685</c:v>
                </c:pt>
                <c:pt idx="3">
                  <c:v>-2359</c:v>
                </c:pt>
                <c:pt idx="4">
                  <c:v>-2557</c:v>
                </c:pt>
                <c:pt idx="5">
                  <c:v>-2878</c:v>
                </c:pt>
                <c:pt idx="6">
                  <c:v>-3566</c:v>
                </c:pt>
                <c:pt idx="7">
                  <c:v>-3567</c:v>
                </c:pt>
                <c:pt idx="8">
                  <c:v>-3452</c:v>
                </c:pt>
                <c:pt idx="9">
                  <c:v>-3449</c:v>
                </c:pt>
                <c:pt idx="10">
                  <c:v>-2729</c:v>
                </c:pt>
                <c:pt idx="11">
                  <c:v>-3697.8092126390966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BB-44AE-AAC6-F5A96819EF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58559"/>
        <c:axId val="63765215"/>
      </c:lineChart>
      <c:catAx>
        <c:axId val="6375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65215"/>
        <c:crosses val="autoZero"/>
        <c:auto val="1"/>
        <c:lblAlgn val="ctr"/>
        <c:lblOffset val="100"/>
        <c:noMultiLvlLbl val="0"/>
      </c:catAx>
      <c:valAx>
        <c:axId val="63765215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8559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441821123859963"/>
          <c:y val="0.12470533033033034"/>
          <c:w val="0.26558178876140043"/>
          <c:h val="0.735155780780780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6504106920090269E-2"/>
          <c:y val="0.21107965793602443"/>
          <c:w val="0.61359664607237419"/>
          <c:h val="0.69690894388093128"/>
        </c:manualLayout>
      </c:layout>
      <c:areaChart>
        <c:grouping val="standard"/>
        <c:varyColors val="0"/>
        <c:ser>
          <c:idx val="7"/>
          <c:order val="4"/>
          <c:tx>
            <c:strRef>
              <c:f>'Чарт ПБ 2022-2023'!$C$3</c:f>
              <c:strCache>
                <c:ptCount val="1"/>
                <c:pt idx="0">
                  <c:v>Динамика резервов, $ млрд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</c:spPr>
          <c:val>
            <c:numRef>
              <c:f>'Чарт ПБ 2022-2023'!$C$47:$C$58</c:f>
              <c:numCache>
                <c:formatCode>_-* #\ ##0.00_₴_-;\-* #\ ##0.00_₴_-;_-* "-"??_₴_-;_-@_-</c:formatCode>
                <c:ptCount val="12"/>
                <c:pt idx="0">
                  <c:v>1.4342100000000002</c:v>
                </c:pt>
                <c:pt idx="1">
                  <c:v>-1.0585699999999996</c:v>
                </c:pt>
                <c:pt idx="2">
                  <c:v>3.0170899999999996</c:v>
                </c:pt>
                <c:pt idx="3">
                  <c:v>4.0657899999999998</c:v>
                </c:pt>
                <c:pt idx="4">
                  <c:v>1.3689099999999996</c:v>
                </c:pt>
                <c:pt idx="5">
                  <c:v>1.7051200000000009</c:v>
                </c:pt>
                <c:pt idx="6">
                  <c:v>2.7110000000000056</c:v>
                </c:pt>
                <c:pt idx="7">
                  <c:v>-1.3323500000000124</c:v>
                </c:pt>
                <c:pt idx="8">
                  <c:v>-0.68241999999999337</c:v>
                </c:pt>
                <c:pt idx="9">
                  <c:v>-0.7355800000000059</c:v>
                </c:pt>
                <c:pt idx="10">
                  <c:v>-0.19114999999999327</c:v>
                </c:pt>
                <c:pt idx="11">
                  <c:v>1.7118299999999991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D-4828-B978-E2B3E8318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971280"/>
        <c:axId val="1"/>
      </c:areaChart>
      <c:barChart>
        <c:barDir val="col"/>
        <c:grouping val="clustered"/>
        <c:varyColors val="0"/>
        <c:ser>
          <c:idx val="1"/>
          <c:order val="0"/>
          <c:tx>
            <c:strRef>
              <c:f>'Чарт ПБ 2022-2023'!$H$3</c:f>
              <c:strCache>
                <c:ptCount val="1"/>
                <c:pt idx="0">
                  <c:v>Счет текущих операций, $ млрд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'Чарт ПБ 2022-2023'!$O$47:$P$58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2022-2023'!$H$47:$H$58</c:f>
              <c:numCache>
                <c:formatCode>0.00</c:formatCode>
                <c:ptCount val="12"/>
                <c:pt idx="0">
                  <c:v>-1.135</c:v>
                </c:pt>
                <c:pt idx="1">
                  <c:v>-0.70499999999999996</c:v>
                </c:pt>
                <c:pt idx="2">
                  <c:v>-1.0999999999999999E-2</c:v>
                </c:pt>
                <c:pt idx="3">
                  <c:v>0.13100000000000001</c:v>
                </c:pt>
                <c:pt idx="4">
                  <c:v>-0.22600000000000001</c:v>
                </c:pt>
                <c:pt idx="5">
                  <c:v>-0.16200000000000001</c:v>
                </c:pt>
                <c:pt idx="6">
                  <c:v>-0.998</c:v>
                </c:pt>
                <c:pt idx="7">
                  <c:v>-2.391</c:v>
                </c:pt>
                <c:pt idx="8">
                  <c:v>-1.03</c:v>
                </c:pt>
                <c:pt idx="9">
                  <c:v>-0.91200000000000003</c:v>
                </c:pt>
                <c:pt idx="10">
                  <c:v>-1.5129999999999999</c:v>
                </c:pt>
                <c:pt idx="11">
                  <c:v>-2.0619064704889984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D-4828-B978-E2B3E8318783}"/>
            </c:ext>
          </c:extLst>
        </c:ser>
        <c:ser>
          <c:idx val="4"/>
          <c:order val="1"/>
          <c:tx>
            <c:strRef>
              <c:f>'Чарт ПБ 2022-2023'!$M$3</c:f>
              <c:strCache>
                <c:ptCount val="1"/>
                <c:pt idx="0">
                  <c:v>Сальдо инвестиций частного сектора, $ млрд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'Чарт ПБ 2022-2023'!$O$47:$P$58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2022-2023'!$M$47:$M$58</c:f>
              <c:numCache>
                <c:formatCode>0.00</c:formatCode>
                <c:ptCount val="12"/>
                <c:pt idx="0">
                  <c:v>1.052</c:v>
                </c:pt>
                <c:pt idx="1">
                  <c:v>0.39600000000000002</c:v>
                </c:pt>
                <c:pt idx="2">
                  <c:v>-5.5E-2</c:v>
                </c:pt>
                <c:pt idx="3">
                  <c:v>0.254</c:v>
                </c:pt>
                <c:pt idx="4">
                  <c:v>0.129</c:v>
                </c:pt>
                <c:pt idx="5">
                  <c:v>0.69199999999999995</c:v>
                </c:pt>
                <c:pt idx="6">
                  <c:v>-0.37</c:v>
                </c:pt>
                <c:pt idx="7">
                  <c:v>0.28000000000000003</c:v>
                </c:pt>
                <c:pt idx="8">
                  <c:v>0.36099999999999999</c:v>
                </c:pt>
                <c:pt idx="9">
                  <c:v>1.4019999999999999</c:v>
                </c:pt>
                <c:pt idx="10">
                  <c:v>0.72399999999999998</c:v>
                </c:pt>
                <c:pt idx="11">
                  <c:v>1.6871736069111567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D-4828-B978-E2B3E8318783}"/>
            </c:ext>
          </c:extLst>
        </c:ser>
        <c:ser>
          <c:idx val="5"/>
          <c:order val="2"/>
          <c:tx>
            <c:strRef>
              <c:f>'Чарт ПБ 2022-2023'!$N$3</c:f>
              <c:strCache>
                <c:ptCount val="1"/>
                <c:pt idx="0">
                  <c:v>Чистые государственные привлечения, $ млрд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</c:spPr>
          <c:invertIfNegative val="0"/>
          <c:cat>
            <c:strRef>
              <c:f>'Чарт ПБ 2022-2023'!$O$47:$P$58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2022-2023'!$N$47:$N$58</c:f>
              <c:numCache>
                <c:formatCode>0.00</c:formatCode>
                <c:ptCount val="12"/>
                <c:pt idx="0">
                  <c:v>3.383</c:v>
                </c:pt>
                <c:pt idx="1">
                  <c:v>0.219</c:v>
                </c:pt>
                <c:pt idx="2">
                  <c:v>2.7090000000000001</c:v>
                </c:pt>
                <c:pt idx="3">
                  <c:v>4.1219999999999999</c:v>
                </c:pt>
                <c:pt idx="4">
                  <c:v>1.879</c:v>
                </c:pt>
                <c:pt idx="5">
                  <c:v>2.5339999999999998</c:v>
                </c:pt>
                <c:pt idx="6">
                  <c:v>3.194</c:v>
                </c:pt>
                <c:pt idx="7">
                  <c:v>1.367</c:v>
                </c:pt>
                <c:pt idx="8">
                  <c:v>0.77600000000000002</c:v>
                </c:pt>
                <c:pt idx="9">
                  <c:v>1.458</c:v>
                </c:pt>
                <c:pt idx="10">
                  <c:v>1.873</c:v>
                </c:pt>
                <c:pt idx="11">
                  <c:v>4.8955691298504718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1D-4828-B978-E2B3E8318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00971280"/>
        <c:axId val="1"/>
      </c:barChart>
      <c:lineChart>
        <c:grouping val="standard"/>
        <c:varyColors val="0"/>
        <c:ser>
          <c:idx val="6"/>
          <c:order val="3"/>
          <c:tx>
            <c:strRef>
              <c:f>'Чарт ПБ 2022-2023'!$F$3</c:f>
              <c:strCache>
                <c:ptCount val="1"/>
                <c:pt idx="0">
                  <c:v>Общий приток валюты, $ млрд</c:v>
                </c:pt>
              </c:strCache>
            </c:strRef>
          </c:tx>
          <c:spPr>
            <a:ln w="38100">
              <a:solidFill>
                <a:srgbClr val="002060"/>
              </a:solidFill>
              <a:prstDash val="solid"/>
            </a:ln>
          </c:spPr>
          <c:marker>
            <c:spPr>
              <a:solidFill>
                <a:schemeClr val="tx1"/>
              </a:solidFill>
              <a:ln>
                <a:solidFill>
                  <a:srgbClr val="002060"/>
                </a:solidFill>
              </a:ln>
            </c:spPr>
          </c:marker>
          <c:dLbls>
            <c:dLbl>
              <c:idx val="0"/>
              <c:layout>
                <c:manualLayout>
                  <c:x val="-2.7816637246248905E-2"/>
                  <c:y val="-4.4544106606606605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21D-4828-B978-E2B3E8318783}"/>
                </c:ext>
              </c:extLst>
            </c:dLbl>
            <c:dLbl>
              <c:idx val="1"/>
              <c:layout>
                <c:manualLayout>
                  <c:x val="-7.5778415220162793E-3"/>
                  <c:y val="-1.6387012012012011E-3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21D-4828-B978-E2B3E8318783}"/>
                </c:ext>
              </c:extLst>
            </c:dLbl>
            <c:dLbl>
              <c:idx val="2"/>
              <c:layout>
                <c:manualLayout>
                  <c:x val="1.9554771011081689E-3"/>
                  <c:y val="3.6587837837837836E-3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521D-4828-B978-E2B3E8318783}"/>
                </c:ext>
              </c:extLst>
            </c:dLbl>
            <c:dLbl>
              <c:idx val="3"/>
              <c:layout>
                <c:manualLayout>
                  <c:x val="-2.17411983916838E-2"/>
                  <c:y val="-4.4544106606606605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521D-4828-B978-E2B3E8318783}"/>
                </c:ext>
              </c:extLst>
            </c:dLbl>
            <c:dLbl>
              <c:idx val="4"/>
              <c:layout>
                <c:manualLayout>
                  <c:x val="-2.4862582131999666E-2"/>
                  <c:y val="-3.9776839339339343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521D-4828-B978-E2B3E8318783}"/>
                </c:ext>
              </c:extLst>
            </c:dLbl>
            <c:dLbl>
              <c:idx val="5"/>
              <c:layout>
                <c:manualLayout>
                  <c:x val="-3.0123810924781797E-2"/>
                  <c:y val="-6.3375375375375381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21D-4828-B978-E2B3E8318783}"/>
                </c:ext>
              </c:extLst>
            </c:dLbl>
            <c:dLbl>
              <c:idx val="6"/>
              <c:layout>
                <c:manualLayout>
                  <c:x val="-3.0358193586348982E-2"/>
                  <c:y val="-3.5009572072072073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521D-4828-B978-E2B3E8318783}"/>
                </c:ext>
              </c:extLst>
            </c:dLbl>
            <c:dLbl>
              <c:idx val="7"/>
              <c:layout>
                <c:manualLayout>
                  <c:x val="-4.3268240659017417E-2"/>
                  <c:y val="-3.9776839339339426E-2"/>
                </c:manualLayout>
              </c:layout>
              <c:numFmt formatCode="#,##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21D-4828-B978-E2B3E8318783}"/>
                </c:ext>
              </c:extLst>
            </c:dLbl>
            <c:dLbl>
              <c:idx val="8"/>
              <c:layout>
                <c:manualLayout>
                  <c:x val="-4.5640384426792191E-2"/>
                  <c:y val="-4.9062875375375375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521D-4828-B978-E2B3E8318783}"/>
                </c:ext>
              </c:extLst>
            </c:dLbl>
            <c:dLbl>
              <c:idx val="9"/>
              <c:layout>
                <c:manualLayout>
                  <c:x val="-3.1261931819769002E-2"/>
                  <c:y val="-4.1879412503708816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21D-4828-B978-E2B3E8318783}"/>
                </c:ext>
              </c:extLst>
            </c:dLbl>
            <c:dLbl>
              <c:idx val="10"/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521D-4828-B978-E2B3E8318783}"/>
                </c:ext>
              </c:extLst>
            </c:dLbl>
            <c:dLbl>
              <c:idx val="11"/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F-521D-4828-B978-E2B3E8318783}"/>
                </c:ext>
              </c:extLst>
            </c:dLbl>
            <c:numFmt formatCode="#,##0.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0" i="0" u="none" strike="noStrike" baseline="0">
                    <a:solidFill>
                      <a:srgbClr val="003366"/>
                    </a:solidFill>
                    <a:latin typeface="Montserrat"/>
                    <a:ea typeface="Montserrat"/>
                    <a:cs typeface="Montserrat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'Чарт ПБ 2022-2023'!$F$47:$F$58</c:f>
              <c:numCache>
                <c:formatCode>0.00</c:formatCode>
                <c:ptCount val="12"/>
                <c:pt idx="0">
                  <c:v>1.208</c:v>
                </c:pt>
                <c:pt idx="1">
                  <c:v>-0.85599999999999998</c:v>
                </c:pt>
                <c:pt idx="2">
                  <c:v>2.7650000000000001</c:v>
                </c:pt>
                <c:pt idx="3">
                  <c:v>4.0209999999999999</c:v>
                </c:pt>
                <c:pt idx="4">
                  <c:v>1.5329999999999999</c:v>
                </c:pt>
                <c:pt idx="5">
                  <c:v>1.6879999999999999</c:v>
                </c:pt>
                <c:pt idx="6">
                  <c:v>2.5790000000000002</c:v>
                </c:pt>
                <c:pt idx="7">
                  <c:v>-1.2969999999999999</c:v>
                </c:pt>
                <c:pt idx="8">
                  <c:v>-0.60899999999999999</c:v>
                </c:pt>
                <c:pt idx="9">
                  <c:v>-0.84699999999999998</c:v>
                </c:pt>
                <c:pt idx="10">
                  <c:v>-0.35499999999999998</c:v>
                </c:pt>
                <c:pt idx="11">
                  <c:v>1.1464890524503166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21D-4828-B978-E2B3E8318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971280"/>
        <c:axId val="1"/>
      </c:lineChart>
      <c:lineChart>
        <c:grouping val="standard"/>
        <c:varyColors val="0"/>
        <c:ser>
          <c:idx val="2"/>
          <c:order val="6"/>
          <c:tx>
            <c:strRef>
              <c:f>'Чарт ПБ 2022-2023'!$Z$46</c:f>
              <c:strCache>
                <c:ptCount val="1"/>
                <c:pt idx="0">
                  <c:v>Обменный курс</c:v>
                </c:pt>
              </c:strCache>
              <c:extLst xmlns:c15="http://schemas.microsoft.com/office/drawing/2012/chart"/>
            </c:strRef>
          </c:tx>
          <c:spPr>
            <a:ln w="34925">
              <a:solidFill>
                <a:schemeClr val="accent6"/>
              </a:solidFill>
              <a:prstDash val="sysDot"/>
            </a:ln>
          </c:spPr>
          <c:marker>
            <c:symbol val="circle"/>
            <c:size val="12"/>
            <c:spPr>
              <a:solidFill>
                <a:schemeClr val="accent6">
                  <a:lumMod val="20000"/>
                  <a:lumOff val="80000"/>
                </a:schemeClr>
              </a:solidFill>
              <a:ln w="15875">
                <a:solidFill>
                  <a:schemeClr val="accent6"/>
                </a:solidFill>
                <a:prstDash val="sysDash"/>
              </a:ln>
            </c:spPr>
          </c:marker>
          <c:dLbls>
            <c:dLbl>
              <c:idx val="6"/>
              <c:layout>
                <c:manualLayout>
                  <c:x val="-3.8403084240462883E-2"/>
                  <c:y val="-4.3352289789789791E-2"/>
                </c:manualLayout>
              </c:layout>
              <c:numFmt formatCode="#,##0.0" sourceLinked="0"/>
              <c:spPr>
                <a:solidFill>
                  <a:schemeClr val="accent6">
                    <a:lumMod val="20000"/>
                    <a:lumOff val="80000"/>
                  </a:schemeClr>
                </a:solidFill>
                <a:ln w="25400">
                  <a:noFill/>
                </a:ln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sz="1200" b="0">
                      <a:solidFill>
                        <a:schemeClr val="accent6"/>
                      </a:solidFill>
                      <a:latin typeface="+mn-l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981-4A35-85D1-771F1A1656BB}"/>
                </c:ext>
              </c:extLst>
            </c:dLbl>
            <c:dLbl>
              <c:idx val="7"/>
              <c:layout>
                <c:manualLayout>
                  <c:x val="-4.3287731685789942E-2"/>
                  <c:y val="-4.0968656156156157E-2"/>
                </c:manualLayout>
              </c:layout>
              <c:numFmt formatCode="#,##0.0" sourceLinked="0"/>
              <c:spPr>
                <a:solidFill>
                  <a:schemeClr val="accent6">
                    <a:lumMod val="20000"/>
                    <a:lumOff val="80000"/>
                  </a:schemeClr>
                </a:solidFill>
                <a:ln w="25400">
                  <a:noFill/>
                </a:ln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sz="1200" b="0">
                      <a:solidFill>
                        <a:schemeClr val="accent6"/>
                      </a:solidFill>
                      <a:latin typeface="+mn-l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981-4A35-85D1-771F1A1656BB}"/>
                </c:ext>
              </c:extLst>
            </c:dLbl>
            <c:dLbl>
              <c:idx val="8"/>
              <c:layout>
                <c:manualLayout>
                  <c:x val="-3.7313302932235025E-2"/>
                  <c:y val="-4.57359234234235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46-4045-A8F1-C49BC15F0565}"/>
                </c:ext>
              </c:extLst>
            </c:dLbl>
            <c:dLbl>
              <c:idx val="9"/>
              <c:layout>
                <c:manualLayout>
                  <c:x val="-3.5916078258311265E-2"/>
                  <c:y val="-4.0968656156156157E-2"/>
                </c:manualLayout>
              </c:layout>
              <c:numFmt formatCode="#,##0.0" sourceLinked="0"/>
              <c:spPr>
                <a:solidFill>
                  <a:schemeClr val="accent6">
                    <a:lumMod val="20000"/>
                    <a:lumOff val="80000"/>
                  </a:schemeClr>
                </a:solidFill>
                <a:ln w="25400">
                  <a:noFill/>
                </a:ln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sz="1200" b="0">
                      <a:solidFill>
                        <a:schemeClr val="accent6"/>
                      </a:solidFill>
                      <a:latin typeface="+mn-l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BB0-48E8-B523-F7DDB8CA3AAB}"/>
                </c:ext>
              </c:extLst>
            </c:dLbl>
            <c:dLbl>
              <c:idx val="10"/>
              <c:layout>
                <c:manualLayout>
                  <c:x val="-3.7099269392958711E-2"/>
                  <c:y val="3.054035285285285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B0-48E8-B523-F7DDB8CA3AAB}"/>
                </c:ext>
              </c:extLst>
            </c:dLbl>
            <c:dLbl>
              <c:idx val="11"/>
              <c:layout>
                <c:manualLayout>
                  <c:x val="-2.7108340688437777E-2"/>
                  <c:y val="-3.62013888888888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BB0-48E8-B523-F7DDB8CA3AAB}"/>
                </c:ext>
              </c:extLst>
            </c:dLbl>
            <c:numFmt formatCode="#,##0.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0">
                    <a:solidFill>
                      <a:schemeClr val="accent6"/>
                    </a:solidFill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'Чарт ПБ 2022-2023'!$Z$47:$Z$58</c:f>
              <c:numCache>
                <c:formatCode>_-* #\ ##0.0_-;\-* #\ ##0.0_-;_-* "-"??_-;_-@_-</c:formatCode>
                <c:ptCount val="12"/>
                <c:pt idx="0">
                  <c:v>36.568600000000032</c:v>
                </c:pt>
                <c:pt idx="1">
                  <c:v>36.568600000000025</c:v>
                </c:pt>
                <c:pt idx="2">
                  <c:v>36.568600000000032</c:v>
                </c:pt>
                <c:pt idx="3">
                  <c:v>36.568600000000032</c:v>
                </c:pt>
                <c:pt idx="4">
                  <c:v>36.568600000000032</c:v>
                </c:pt>
                <c:pt idx="5">
                  <c:v>36.568600000000032</c:v>
                </c:pt>
                <c:pt idx="6">
                  <c:v>36.568600000000032</c:v>
                </c:pt>
                <c:pt idx="7">
                  <c:v>36.568600000000032</c:v>
                </c:pt>
                <c:pt idx="8">
                  <c:v>36.568600000000032</c:v>
                </c:pt>
                <c:pt idx="9">
                  <c:v>36.51895161290323</c:v>
                </c:pt>
                <c:pt idx="10">
                  <c:v>36.155420000000007</c:v>
                </c:pt>
                <c:pt idx="11">
                  <c:v>37.093925806451622</c:v>
                </c:pt>
              </c:numCache>
              <c:extLst xmlns:c15="http://schemas.microsoft.com/office/drawing/2012/chart"/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14-521D-4828-B978-E2B3E8318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  <c:extLst>
          <c:ext xmlns:c15="http://schemas.microsoft.com/office/drawing/2012/chart" uri="{02D57815-91ED-43cb-92C2-25804820EDAC}">
            <c15:filteredLineSeries>
              <c15:ser>
                <c:idx val="0"/>
                <c:order val="5"/>
                <c:tx>
                  <c:strRef>
                    <c:extLst>
                      <c:ext uri="{02D57815-91ED-43cb-92C2-25804820EDAC}">
                        <c15:formulaRef>
                          <c15:sqref>'Чарт ПБ 2022-2023'!$Y$46</c15:sqref>
                        </c15:formulaRef>
                      </c:ext>
                    </c:extLst>
                    <c:strCache>
                      <c:ptCount val="1"/>
                      <c:pt idx="0">
                        <c:v>Обменный курс</c:v>
                      </c:pt>
                    </c:strCache>
                  </c:strRef>
                </c:tx>
                <c:spPr>
                  <a:ln w="34925">
                    <a:solidFill>
                      <a:schemeClr val="accent3"/>
                    </a:solidFill>
                    <a:prstDash val="sysDot"/>
                  </a:ln>
                </c:spPr>
                <c:marker>
                  <c:symbol val="circle"/>
                  <c:size val="12"/>
                  <c:spPr>
                    <a:solidFill>
                      <a:schemeClr val="accent3">
                        <a:lumMod val="20000"/>
                        <a:lumOff val="80000"/>
                      </a:schemeClr>
                    </a:solidFill>
                    <a:ln w="15875">
                      <a:solidFill>
                        <a:schemeClr val="accent3"/>
                      </a:solidFill>
                      <a:prstDash val="sysDash"/>
                    </a:ln>
                  </c:spPr>
                </c:marker>
                <c:dLbls>
                  <c:dLbl>
                    <c:idx val="0"/>
                    <c:layout>
                      <c:manualLayout>
                        <c:x val="-3.4250269687162889E-2"/>
                        <c:y val="-4.052177177177177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1-521D-4828-B978-E2B3E8318783}"/>
                      </c:ext>
                    </c:extLst>
                  </c:dLbl>
                  <c:dLbl>
                    <c:idx val="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2981-4A35-85D1-771F1A1656BB}"/>
                      </c:ext>
                    </c:extLst>
                  </c:dLbl>
                  <c:dLbl>
                    <c:idx val="2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7-2981-4A35-85D1-771F1A1656BB}"/>
                      </c:ext>
                    </c:extLst>
                  </c:dLbl>
                  <c:dLbl>
                    <c:idx val="3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8-2981-4A35-85D1-771F1A1656BB}"/>
                      </c:ext>
                    </c:extLst>
                  </c:dLbl>
                  <c:dLbl>
                    <c:idx val="4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9-2981-4A35-85D1-771F1A1656BB}"/>
                      </c:ext>
                    </c:extLst>
                  </c:dLbl>
                  <c:dLbl>
                    <c:idx val="5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A-2981-4A35-85D1-771F1A1656BB}"/>
                      </c:ext>
                    </c:extLst>
                  </c:dLbl>
                  <c:dLbl>
                    <c:idx val="6"/>
                    <c:dLblPos val="b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6-2981-4A35-85D1-771F1A1656BB}"/>
                      </c:ext>
                    </c:extLst>
                  </c:dLbl>
                  <c:dLbl>
                    <c:idx val="7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2981-4A35-85D1-771F1A1656BB}"/>
                      </c:ext>
                    </c:extLst>
                  </c:dLbl>
                  <c:dLbl>
                    <c:idx val="8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2981-4A35-85D1-771F1A1656BB}"/>
                      </c:ext>
                    </c:extLst>
                  </c:dLbl>
                  <c:dLbl>
                    <c:idx val="9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1BB0-48E8-B523-F7DDB8CA3AAB}"/>
                      </c:ext>
                    </c:extLst>
                  </c:dLbl>
                  <c:dLbl>
                    <c:idx val="10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4-1BB0-48E8-B523-F7DDB8CA3AAB}"/>
                      </c:ext>
                    </c:extLst>
                  </c:dLbl>
                  <c:dLbl>
                    <c:idx val="11"/>
                    <c:numFmt formatCode="#,##0.0" sourceLinked="0"/>
                    <c:spPr>
                      <a:noFill/>
                      <a:ln w="25400">
                        <a:noFill/>
                      </a:ln>
                    </c:spPr>
                    <c:txPr>
                      <a:bodyPr/>
                      <a:lstStyle/>
                      <a:p>
                        <a:pPr>
                          <a:defRPr sz="1200" b="0" i="0" u="none" strike="noStrike" baseline="0">
                            <a:solidFill>
                              <a:schemeClr val="accent3"/>
                            </a:solidFill>
                            <a:latin typeface="Montserrat"/>
                            <a:ea typeface="Montserrat"/>
                            <a:cs typeface="Montserrat"/>
                          </a:defRPr>
                        </a:pPr>
                        <a:endParaRPr lang="en-US"/>
                      </a:p>
                    </c:txPr>
                    <c:dLblPos val="b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2-521D-4828-B978-E2B3E8318783}"/>
                      </c:ext>
                    </c:extLst>
                  </c:dLbl>
                  <c:numFmt formatCode="#,##0.0" sourceLinked="0"/>
                  <c:spPr>
                    <a:noFill/>
                    <a:ln w="25400">
                      <a:noFill/>
                    </a:ln>
                  </c:spPr>
                  <c:txPr>
                    <a:bodyPr wrap="square" lIns="38100" tIns="19050" rIns="38100" bIns="19050" anchor="ctr">
                      <a:spAutoFit/>
                    </a:bodyPr>
                    <a:lstStyle/>
                    <a:p>
                      <a:pPr>
                        <a:defRPr sz="1200" b="0" i="0" u="none" strike="noStrike" baseline="0">
                          <a:solidFill>
                            <a:schemeClr val="accent3"/>
                          </a:solidFill>
                          <a:latin typeface="Montserrat"/>
                          <a:ea typeface="Montserrat"/>
                          <a:cs typeface="Montserrat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0"/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'Чарт ПБ 2022-2023'!$Y$47:$Y$58</c15:sqref>
                        </c15:formulaRef>
                      </c:ext>
                    </c:extLst>
                    <c:numCache>
                      <c:formatCode>_-* #\ ##0.0_-;\-* #\ ##0.0_-;_-* "-"??_-;_-@_-</c:formatCode>
                      <c:ptCount val="12"/>
                      <c:pt idx="0">
                        <c:v>36.568600000000032</c:v>
                      </c:pt>
                      <c:pt idx="1">
                        <c:v>36.568600000000025</c:v>
                      </c:pt>
                      <c:pt idx="2">
                        <c:v>36.568600000000032</c:v>
                      </c:pt>
                      <c:pt idx="3">
                        <c:v>36.568600000000032</c:v>
                      </c:pt>
                      <c:pt idx="4">
                        <c:v>36.568600000000032</c:v>
                      </c:pt>
                      <c:pt idx="5">
                        <c:v>36.568600000000032</c:v>
                      </c:pt>
                      <c:pt idx="6">
                        <c:v>36.568600000000032</c:v>
                      </c:pt>
                      <c:pt idx="7">
                        <c:v>36.568600000000032</c:v>
                      </c:pt>
                      <c:pt idx="8">
                        <c:v>36.568600000000032</c:v>
                      </c:pt>
                      <c:pt idx="9">
                        <c:v>36.51895161290323</c:v>
                      </c:pt>
                      <c:pt idx="10">
                        <c:v>36.155420000000007</c:v>
                      </c:pt>
                      <c:pt idx="11">
                        <c:v>37.093925806451622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3-521D-4828-B978-E2B3E8318783}"/>
                  </c:ext>
                </c:extLst>
              </c15:ser>
            </c15:filteredLineSeries>
          </c:ext>
        </c:extLst>
      </c:lineChart>
      <c:catAx>
        <c:axId val="200097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Montserrat"/>
                <a:ea typeface="Montserrat"/>
                <a:cs typeface="Montserrat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Montserrat"/>
                <a:ea typeface="Montserrat"/>
                <a:cs typeface="Montserrat"/>
              </a:defRPr>
            </a:pPr>
            <a:endParaRPr lang="en-US"/>
          </a:p>
        </c:txPr>
        <c:crossAx val="200097128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_-* #\ ##0.0_-;\-* #\ ##0.0_-;_-* &quot;-&quot;??_-;_-@_-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 sz="16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12610326566637"/>
          <c:y val="0.19156625375375375"/>
          <c:w val="0.3287389673433363"/>
          <c:h val="0.785744510195439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Montserrat"/>
              <a:ea typeface="Montserrat"/>
              <a:cs typeface="Montserra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4504949270913856E-2"/>
          <c:y val="0.28213663663663663"/>
          <c:w val="0.90214914577099936"/>
          <c:h val="0.63959271771771775"/>
        </c:manualLayout>
      </c:layout>
      <c:areaChart>
        <c:grouping val="standard"/>
        <c:varyColors val="0"/>
        <c:ser>
          <c:idx val="3"/>
          <c:order val="3"/>
          <c:tx>
            <c:strRef>
              <c:f>'ЗВР-інт 2022-2024'!$A$15</c:f>
              <c:strCache>
                <c:ptCount val="1"/>
                <c:pt idx="0">
                  <c:v>Изменение резервов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  <a:effectLst/>
          </c:spPr>
          <c:dLbls>
            <c:dLbl>
              <c:idx val="0"/>
              <c:layout>
                <c:manualLayout>
                  <c:x val="0"/>
                  <c:y val="-0.143999992112290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FA4-4C98-86B6-2E9DD594DE90}"/>
                </c:ext>
              </c:extLst>
            </c:dLbl>
            <c:dLbl>
              <c:idx val="1"/>
              <c:layout>
                <c:manualLayout>
                  <c:x val="4.0909090909090912E-3"/>
                  <c:y val="-0.1338719969969970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FA4-4C98-86B6-2E9DD594DE90}"/>
                </c:ext>
              </c:extLst>
            </c:dLbl>
            <c:dLbl>
              <c:idx val="2"/>
              <c:layout>
                <c:manualLayout>
                  <c:x val="0"/>
                  <c:y val="-0.1535345345345345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FA4-4C98-86B6-2E9DD594DE90}"/>
                </c:ext>
              </c:extLst>
            </c:dLbl>
            <c:dLbl>
              <c:idx val="3"/>
              <c:layout>
                <c:manualLayout>
                  <c:x val="0"/>
                  <c:y val="-0.124337462462462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FA4-4C98-86B6-2E9DD594DE90}"/>
                </c:ext>
              </c:extLst>
            </c:dLbl>
            <c:dLbl>
              <c:idx val="4"/>
              <c:layout>
                <c:manualLayout>
                  <c:x val="-5.7083123382825739E-17"/>
                  <c:y val="-0.1305983483483483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FA4-4C98-86B6-2E9DD594DE90}"/>
                </c:ext>
              </c:extLst>
            </c:dLbl>
            <c:dLbl>
              <c:idx val="5"/>
              <c:layout>
                <c:manualLayout>
                  <c:x val="0"/>
                  <c:y val="-0.1305983483483484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FA4-4C98-86B6-2E9DD594DE90}"/>
                </c:ext>
              </c:extLst>
            </c:dLbl>
            <c:dLbl>
              <c:idx val="6"/>
              <c:layout>
                <c:manualLayout>
                  <c:x val="2.7272727272726702E-3"/>
                  <c:y val="-0.136859234234234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FA4-4C98-86B6-2E9DD594DE90}"/>
                </c:ext>
              </c:extLst>
            </c:dLbl>
            <c:dLbl>
              <c:idx val="7"/>
              <c:layout>
                <c:manualLayout>
                  <c:x val="0"/>
                  <c:y val="-0.136859234234234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FA4-4C98-86B6-2E9DD594DE90}"/>
                </c:ext>
              </c:extLst>
            </c:dLbl>
            <c:dLbl>
              <c:idx val="8"/>
              <c:layout>
                <c:manualLayout>
                  <c:x val="-2.7272727272727275E-3"/>
                  <c:y val="-0.141033033033033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FA4-4C98-86B6-2E9DD594DE90}"/>
                </c:ext>
              </c:extLst>
            </c:dLbl>
            <c:dLbl>
              <c:idx val="9"/>
              <c:layout>
                <c:manualLayout>
                  <c:x val="3.1136608806510576E-3"/>
                  <c:y val="-0.154741741741741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FA4-4C98-86B6-2E9DD594DE90}"/>
                </c:ext>
              </c:extLst>
            </c:dLbl>
            <c:dLbl>
              <c:idx val="10"/>
              <c:layout>
                <c:manualLayout>
                  <c:x val="-1.3636363636363637E-3"/>
                  <c:y val="-0.1520611861861862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FA4-4C98-86B6-2E9DD594DE90}"/>
                </c:ext>
              </c:extLst>
            </c:dLbl>
            <c:dLbl>
              <c:idx val="11"/>
              <c:layout>
                <c:manualLayout>
                  <c:x val="4.0909090909089767E-3"/>
                  <c:y val="-0.1568284534534534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FA4-4C98-86B6-2E9DD594DE90}"/>
                </c:ext>
              </c:extLst>
            </c:dLbl>
            <c:numFmt formatCode="#,##0.0" sourceLinked="0"/>
            <c:spPr>
              <a:solidFill>
                <a:schemeClr val="accent4">
                  <a:lumMod val="20000"/>
                  <a:lumOff val="80000"/>
                </a:schemeClr>
              </a:solidFill>
              <a:ln w="6350">
                <a:solidFill>
                  <a:schemeClr val="accent4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2022-2024'!$B$15:$M$15</c:f>
              <c:numCache>
                <c:formatCode>#,##0</c:formatCode>
                <c:ptCount val="12"/>
                <c:pt idx="0">
                  <c:v>29928.21</c:v>
                </c:pt>
                <c:pt idx="1">
                  <c:v>28869.64</c:v>
                </c:pt>
                <c:pt idx="2">
                  <c:v>31886.73</c:v>
                </c:pt>
                <c:pt idx="3">
                  <c:v>35952.519999999997</c:v>
                </c:pt>
                <c:pt idx="4">
                  <c:v>37321.43</c:v>
                </c:pt>
                <c:pt idx="5">
                  <c:v>39026.550000000003</c:v>
                </c:pt>
                <c:pt idx="6">
                  <c:v>41737.550000000003</c:v>
                </c:pt>
                <c:pt idx="7">
                  <c:v>40405.199999999997</c:v>
                </c:pt>
                <c:pt idx="8">
                  <c:v>39722.78</c:v>
                </c:pt>
                <c:pt idx="9">
                  <c:v>38987.199999999997</c:v>
                </c:pt>
                <c:pt idx="10">
                  <c:v>38796.050000000003</c:v>
                </c:pt>
                <c:pt idx="11">
                  <c:v>40507.879999999997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FA4-4C98-86B6-2E9DD594DE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08910896"/>
        <c:axId val="108908816"/>
      </c:areaChart>
      <c:barChart>
        <c:barDir val="col"/>
        <c:grouping val="clustered"/>
        <c:varyColors val="0"/>
        <c:ser>
          <c:idx val="0"/>
          <c:order val="0"/>
          <c:tx>
            <c:strRef>
              <c:f>'ЗВР-інт 2022-2024'!$A$12</c:f>
              <c:strCache>
                <c:ptCount val="1"/>
                <c:pt idx="0">
                  <c:v>Объемы интервенций по месяцам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2022-2024'!$B$12:$M$12</c:f>
              <c:numCache>
                <c:formatCode>#,##0</c:formatCode>
                <c:ptCount val="12"/>
                <c:pt idx="0">
                  <c:v>-3082.1299999999997</c:v>
                </c:pt>
                <c:pt idx="1">
                  <c:v>-2431</c:v>
                </c:pt>
                <c:pt idx="2">
                  <c:v>-1668.97</c:v>
                </c:pt>
                <c:pt idx="3">
                  <c:v>-1370.3799999999999</c:v>
                </c:pt>
                <c:pt idx="4">
                  <c:v>-1927.6100000000001</c:v>
                </c:pt>
                <c:pt idx="5">
                  <c:v>-1797.8799999999999</c:v>
                </c:pt>
                <c:pt idx="6">
                  <c:v>-1932.92</c:v>
                </c:pt>
                <c:pt idx="7">
                  <c:v>-2364.23</c:v>
                </c:pt>
                <c:pt idx="8">
                  <c:v>-2691.4</c:v>
                </c:pt>
                <c:pt idx="9">
                  <c:v>-3337.4700000000003</c:v>
                </c:pt>
                <c:pt idx="10">
                  <c:v>-2452.8599999999997</c:v>
                </c:pt>
                <c:pt idx="11">
                  <c:v>-3553.0400000000004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FA4-4C98-86B6-2E9DD594DE90}"/>
            </c:ext>
          </c:extLst>
        </c:ser>
        <c:ser>
          <c:idx val="1"/>
          <c:order val="1"/>
          <c:tx>
            <c:strRef>
              <c:f>'ЗВР-інт 2022-2024'!$A$13</c:f>
              <c:strCache>
                <c:ptCount val="1"/>
                <c:pt idx="0">
                  <c:v>Сальдо платежного баланса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-2.854156169141287E-17"/>
                  <c:y val="2.38363363363362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94-485A-BEDC-ED0160DE77EB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2022-2024'!$B$13:$M$13</c:f>
              <c:numCache>
                <c:formatCode>#,##0</c:formatCode>
                <c:ptCount val="12"/>
                <c:pt idx="0">
                  <c:v>1208</c:v>
                </c:pt>
                <c:pt idx="1">
                  <c:v>-856</c:v>
                </c:pt>
                <c:pt idx="2">
                  <c:v>2765</c:v>
                </c:pt>
                <c:pt idx="3">
                  <c:v>4021</c:v>
                </c:pt>
                <c:pt idx="4">
                  <c:v>1533</c:v>
                </c:pt>
                <c:pt idx="5">
                  <c:v>1688</c:v>
                </c:pt>
                <c:pt idx="6">
                  <c:v>2579</c:v>
                </c:pt>
                <c:pt idx="7">
                  <c:v>-1297</c:v>
                </c:pt>
                <c:pt idx="8">
                  <c:v>-609</c:v>
                </c:pt>
                <c:pt idx="9">
                  <c:v>-847</c:v>
                </c:pt>
                <c:pt idx="10">
                  <c:v>-355</c:v>
                </c:pt>
                <c:pt idx="11">
                  <c:v>1146.4890524503166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FA4-4C98-86B6-2E9DD594DE90}"/>
            </c:ext>
          </c:extLst>
        </c:ser>
        <c:ser>
          <c:idx val="2"/>
          <c:order val="2"/>
          <c:tx>
            <c:strRef>
              <c:f>'ЗВР-інт 2022-2024'!$A$14</c:f>
              <c:strCache>
                <c:ptCount val="1"/>
                <c:pt idx="0">
                  <c:v>Сальдо операций частного сект.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2022-2024'!$B$14:$M$14</c:f>
              <c:numCache>
                <c:formatCode>#,##0</c:formatCode>
                <c:ptCount val="12"/>
                <c:pt idx="0">
                  <c:v>-3351</c:v>
                </c:pt>
                <c:pt idx="1">
                  <c:v>-2698</c:v>
                </c:pt>
                <c:pt idx="2">
                  <c:v>-1363</c:v>
                </c:pt>
                <c:pt idx="3">
                  <c:v>-1373</c:v>
                </c:pt>
                <c:pt idx="4">
                  <c:v>-1605</c:v>
                </c:pt>
                <c:pt idx="5">
                  <c:v>-2068.6999999999998</c:v>
                </c:pt>
                <c:pt idx="6">
                  <c:v>-1928.3</c:v>
                </c:pt>
                <c:pt idx="7">
                  <c:v>-2671</c:v>
                </c:pt>
                <c:pt idx="8">
                  <c:v>-2641</c:v>
                </c:pt>
                <c:pt idx="9">
                  <c:v>-3464</c:v>
                </c:pt>
                <c:pt idx="10">
                  <c:v>-2237</c:v>
                </c:pt>
                <c:pt idx="11">
                  <c:v>-3749.080077400155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FA4-4C98-86B6-2E9DD594DE9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08908400"/>
        <c:axId val="108910480"/>
      </c:barChart>
      <c:catAx>
        <c:axId val="10890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10480"/>
        <c:crosses val="autoZero"/>
        <c:auto val="1"/>
        <c:lblAlgn val="ctr"/>
        <c:lblOffset val="100"/>
        <c:noMultiLvlLbl val="0"/>
      </c:catAx>
      <c:valAx>
        <c:axId val="108910480"/>
        <c:scaling>
          <c:orientation val="minMax"/>
          <c:max val="5000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8400"/>
        <c:crosses val="autoZero"/>
        <c:crossBetween val="between"/>
        <c:dispUnits>
          <c:builtInUnit val="thousands"/>
        </c:dispUnits>
      </c:valAx>
      <c:valAx>
        <c:axId val="108908816"/>
        <c:scaling>
          <c:orientation val="minMax"/>
          <c:max val="55000"/>
          <c:min val="-5500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accent4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10896"/>
        <c:crosses val="max"/>
        <c:crossBetween val="between"/>
        <c:dispUnits>
          <c:builtInUnit val="thousands"/>
        </c:dispUnits>
      </c:valAx>
      <c:catAx>
        <c:axId val="108910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9088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0.16592717717717714"/>
          <c:w val="1"/>
          <c:h val="8.74939858720423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3174708247523775E-2"/>
          <c:y val="0.23168693693693693"/>
          <c:w val="0.66916249877414924"/>
          <c:h val="0.69004241741741745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'ТБ 2024'!$A$8</c:f>
              <c:strCache>
                <c:ptCount val="1"/>
                <c:pt idx="0">
                  <c:v>Импорт услуг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2024'!$B$4:$M$4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2024'!$B$8:$M$8</c:f>
              <c:numCache>
                <c:formatCode>0</c:formatCode>
                <c:ptCount val="12"/>
                <c:pt idx="0">
                  <c:v>-1890.8670388141809</c:v>
                </c:pt>
                <c:pt idx="1">
                  <c:v>-1917.1227895072627</c:v>
                </c:pt>
                <c:pt idx="2">
                  <c:v>-1876.2670230532278</c:v>
                </c:pt>
                <c:pt idx="3">
                  <c:v>-1844.0665374603941</c:v>
                </c:pt>
                <c:pt idx="4">
                  <c:v>-1827.6346784586869</c:v>
                </c:pt>
                <c:pt idx="5">
                  <c:v>-1886.1713079702549</c:v>
                </c:pt>
                <c:pt idx="6">
                  <c:v>-1927.0686447912112</c:v>
                </c:pt>
                <c:pt idx="7">
                  <c:v>-1953.8703401183875</c:v>
                </c:pt>
                <c:pt idx="8">
                  <c:v>-1985.7782210237053</c:v>
                </c:pt>
                <c:pt idx="9">
                  <c:v>-1907.2393017454419</c:v>
                </c:pt>
                <c:pt idx="10">
                  <c:v>-1902.0528308071632</c:v>
                </c:pt>
                <c:pt idx="11">
                  <c:v>-2229.2532559448287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449-4C93-987D-EE64F86ADAE0}"/>
            </c:ext>
          </c:extLst>
        </c:ser>
        <c:ser>
          <c:idx val="2"/>
          <c:order val="1"/>
          <c:tx>
            <c:strRef>
              <c:f>'ТБ 2024'!$A$7</c:f>
              <c:strCache>
                <c:ptCount val="1"/>
                <c:pt idx="0">
                  <c:v>Экспорт услуг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2024'!$B$4:$M$4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2024'!$B$7:$M$7</c:f>
              <c:numCache>
                <c:formatCode>0</c:formatCode>
                <c:ptCount val="12"/>
                <c:pt idx="0">
                  <c:v>1212.1763998932752</c:v>
                </c:pt>
                <c:pt idx="1">
                  <c:v>1186.9162890555858</c:v>
                </c:pt>
                <c:pt idx="2">
                  <c:v>1287.5837651089178</c:v>
                </c:pt>
                <c:pt idx="3">
                  <c:v>1334.6237913867844</c:v>
                </c:pt>
                <c:pt idx="4">
                  <c:v>1297.3430707181385</c:v>
                </c:pt>
                <c:pt idx="5">
                  <c:v>1337.6704049136683</c:v>
                </c:pt>
                <c:pt idx="6">
                  <c:v>1395.0109483497949</c:v>
                </c:pt>
                <c:pt idx="7">
                  <c:v>1397.2832558078705</c:v>
                </c:pt>
                <c:pt idx="8">
                  <c:v>1398.6193329978946</c:v>
                </c:pt>
                <c:pt idx="9">
                  <c:v>1452.1851520500602</c:v>
                </c:pt>
                <c:pt idx="10">
                  <c:v>1502.6420698252132</c:v>
                </c:pt>
                <c:pt idx="11">
                  <c:v>1655.1786025544411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49-4C93-987D-EE64F86ADAE0}"/>
            </c:ext>
          </c:extLst>
        </c:ser>
        <c:ser>
          <c:idx val="1"/>
          <c:order val="2"/>
          <c:tx>
            <c:strRef>
              <c:f>'ТБ 2024'!$A$6</c:f>
              <c:strCache>
                <c:ptCount val="1"/>
                <c:pt idx="0">
                  <c:v>Импорт товаров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2024'!$B$4:$M$4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2024'!$B$6:$M$6</c:f>
              <c:numCache>
                <c:formatCode>0</c:formatCode>
                <c:ptCount val="12"/>
                <c:pt idx="0">
                  <c:v>-4777.5502736476928</c:v>
                </c:pt>
                <c:pt idx="1">
                  <c:v>-5557.4629374165024</c:v>
                </c:pt>
                <c:pt idx="2">
                  <c:v>-5779.7996101138451</c:v>
                </c:pt>
                <c:pt idx="3">
                  <c:v>-5005.4677256669647</c:v>
                </c:pt>
                <c:pt idx="4">
                  <c:v>-5008.1605640609396</c:v>
                </c:pt>
                <c:pt idx="5">
                  <c:v>-5037.0354474733085</c:v>
                </c:pt>
                <c:pt idx="6">
                  <c:v>-5305.6165975042468</c:v>
                </c:pt>
                <c:pt idx="7">
                  <c:v>-5282.2109243011146</c:v>
                </c:pt>
                <c:pt idx="8">
                  <c:v>-5552.1850696257598</c:v>
                </c:pt>
                <c:pt idx="9">
                  <c:v>-5906.8649571660426</c:v>
                </c:pt>
                <c:pt idx="10">
                  <c:v>-5957.9863208373527</c:v>
                </c:pt>
                <c:pt idx="11">
                  <c:v>-5961.2363127119443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49-4C93-987D-EE64F86ADAE0}"/>
            </c:ext>
          </c:extLst>
        </c:ser>
        <c:ser>
          <c:idx val="0"/>
          <c:order val="3"/>
          <c:tx>
            <c:strRef>
              <c:f>'ТБ 2024'!$A$5</c:f>
              <c:strCache>
                <c:ptCount val="1"/>
                <c:pt idx="0">
                  <c:v>Экспорт товаров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2024'!$B$4:$M$4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2024'!$B$5:$M$5</c:f>
              <c:numCache>
                <c:formatCode>0</c:formatCode>
                <c:ptCount val="12"/>
                <c:pt idx="0">
                  <c:v>3382.7961247419639</c:v>
                </c:pt>
                <c:pt idx="1">
                  <c:v>3341.9071300703863</c:v>
                </c:pt>
                <c:pt idx="2">
                  <c:v>3076.3172319355976</c:v>
                </c:pt>
                <c:pt idx="3">
                  <c:v>2778.0376337633825</c:v>
                </c:pt>
                <c:pt idx="4">
                  <c:v>2536.7056909019416</c:v>
                </c:pt>
                <c:pt idx="5">
                  <c:v>2204.5166866455006</c:v>
                </c:pt>
                <c:pt idx="6">
                  <c:v>2282.7182907568204</c:v>
                </c:pt>
                <c:pt idx="7">
                  <c:v>3162.6490721710247</c:v>
                </c:pt>
                <c:pt idx="8">
                  <c:v>3309.3254276759826</c:v>
                </c:pt>
                <c:pt idx="9">
                  <c:v>3568.9838068050317</c:v>
                </c:pt>
                <c:pt idx="10">
                  <c:v>3653.6022940919875</c:v>
                </c:pt>
                <c:pt idx="11">
                  <c:v>3558.3898645855024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49-4C93-987D-EE64F86A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63758559"/>
        <c:axId val="63765215"/>
      </c:barChart>
      <c:lineChart>
        <c:grouping val="standard"/>
        <c:varyColors val="0"/>
        <c:ser>
          <c:idx val="4"/>
          <c:order val="4"/>
          <c:tx>
            <c:strRef>
              <c:f>'ТБ 2024'!$A$9</c:f>
              <c:strCache>
                <c:ptCount val="1"/>
                <c:pt idx="0">
                  <c:v>Сальдо торгового баланса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20000"/>
                  <a:lumOff val="80000"/>
                </a:schemeClr>
              </a:solidFill>
              <a:ln w="3175">
                <a:solidFill>
                  <a:schemeClr val="accent4"/>
                </a:solidFill>
              </a:ln>
              <a:effectLst/>
            </c:spPr>
          </c:marker>
          <c:dLbls>
            <c:numFmt formatCode="#,##0.0" sourceLinked="0"/>
            <c:spPr>
              <a:solidFill>
                <a:schemeClr val="bg1"/>
              </a:solidFill>
              <a:ln w="3175">
                <a:solidFill>
                  <a:schemeClr val="accent4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2024'!$B$4:$M$4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2024'!$B$9:$M$9</c:f>
              <c:numCache>
                <c:formatCode>0</c:formatCode>
                <c:ptCount val="12"/>
                <c:pt idx="0">
                  <c:v>-2073.4447878266346</c:v>
                </c:pt>
                <c:pt idx="1">
                  <c:v>-2945.7623077977933</c:v>
                </c:pt>
                <c:pt idx="2">
                  <c:v>-3292.1656361225578</c:v>
                </c:pt>
                <c:pt idx="3">
                  <c:v>-2736.8728379771919</c:v>
                </c:pt>
                <c:pt idx="4">
                  <c:v>-3001.7464808995464</c:v>
                </c:pt>
                <c:pt idx="5">
                  <c:v>-3381.0196638843945</c:v>
                </c:pt>
                <c:pt idx="6">
                  <c:v>-3554.9560031888427</c:v>
                </c:pt>
                <c:pt idx="7">
                  <c:v>-2676.148936440607</c:v>
                </c:pt>
                <c:pt idx="8">
                  <c:v>-2830.0185299755876</c:v>
                </c:pt>
                <c:pt idx="9">
                  <c:v>-2792.9353000563924</c:v>
                </c:pt>
                <c:pt idx="10">
                  <c:v>-2703.7947877273155</c:v>
                </c:pt>
                <c:pt idx="11">
                  <c:v>-2976.9211015168294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49-4C93-987D-EE64F86AD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58559"/>
        <c:axId val="63765215"/>
      </c:lineChart>
      <c:catAx>
        <c:axId val="6375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65215"/>
        <c:crosses val="autoZero"/>
        <c:auto val="1"/>
        <c:lblAlgn val="ctr"/>
        <c:lblOffset val="100"/>
        <c:noMultiLvlLbl val="0"/>
      </c:catAx>
      <c:valAx>
        <c:axId val="63765215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8559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573624595469254"/>
          <c:y val="0.12947259759759761"/>
          <c:w val="0.27492277140335392"/>
          <c:h val="0.720853978978978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6504106920090269E-2"/>
          <c:y val="0.21107965793602443"/>
          <c:w val="0.6151534765126998"/>
          <c:h val="0.69690894388093128"/>
        </c:manualLayout>
      </c:layout>
      <c:areaChart>
        <c:grouping val="standard"/>
        <c:varyColors val="0"/>
        <c:ser>
          <c:idx val="7"/>
          <c:order val="4"/>
          <c:tx>
            <c:strRef>
              <c:f>'Чарт ПБ 2022-2024'!$C$3</c:f>
              <c:strCache>
                <c:ptCount val="1"/>
                <c:pt idx="0">
                  <c:v>Динамика резервов, $ млрд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</c:spPr>
          <c:val>
            <c:numRef>
              <c:f>'Чарт ПБ 2022-2024'!$C$47:$C$58</c:f>
              <c:numCache>
                <c:formatCode>_-* #\ ##0.00_₴_-;\-* #\ ##0.00_₴_-;_-* "-"??_₴_-;_-@_-</c:formatCode>
                <c:ptCount val="12"/>
                <c:pt idx="0">
                  <c:v>-3.1840338510662036E-2</c:v>
                </c:pt>
                <c:pt idx="1">
                  <c:v>-0.36046392316639242</c:v>
                </c:pt>
                <c:pt idx="2">
                  <c:v>0.60015502338097804</c:v>
                </c:pt>
                <c:pt idx="3">
                  <c:v>0.46962927834814394</c:v>
                </c:pt>
                <c:pt idx="4">
                  <c:v>0.42363000878069101</c:v>
                </c:pt>
                <c:pt idx="5">
                  <c:v>1.7584696196182747</c:v>
                </c:pt>
                <c:pt idx="6">
                  <c:v>0.9796525865569663</c:v>
                </c:pt>
                <c:pt idx="7">
                  <c:v>1.6578326831319856</c:v>
                </c:pt>
                <c:pt idx="8">
                  <c:v>2.0729500150886579</c:v>
                </c:pt>
                <c:pt idx="9">
                  <c:v>1.2114631398842306</c:v>
                </c:pt>
                <c:pt idx="10">
                  <c:v>1.3552828105654129</c:v>
                </c:pt>
                <c:pt idx="11">
                  <c:v>2.7986423722173868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7E-4F82-80D7-4AB7B785F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971280"/>
        <c:axId val="1"/>
      </c:areaChart>
      <c:barChart>
        <c:barDir val="col"/>
        <c:grouping val="clustered"/>
        <c:varyColors val="0"/>
        <c:ser>
          <c:idx val="1"/>
          <c:order val="0"/>
          <c:tx>
            <c:strRef>
              <c:f>'Чарт ПБ 2022-2024'!$H$3</c:f>
              <c:strCache>
                <c:ptCount val="1"/>
                <c:pt idx="0">
                  <c:v>Счет текущих операций, $ млрд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'Чарт ПБ 2022-2024'!$O$47:$P$58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2022-2024'!$H$47:$H$58</c:f>
              <c:numCache>
                <c:formatCode>0.00</c:formatCode>
                <c:ptCount val="12"/>
                <c:pt idx="0">
                  <c:v>-0.96890596745869528</c:v>
                </c:pt>
                <c:pt idx="1">
                  <c:v>-1.0312846644640989</c:v>
                </c:pt>
                <c:pt idx="2">
                  <c:v>-1.1418543699472345</c:v>
                </c:pt>
                <c:pt idx="3">
                  <c:v>-0.63527243472870487</c:v>
                </c:pt>
                <c:pt idx="4">
                  <c:v>-0.94928253298539467</c:v>
                </c:pt>
                <c:pt idx="5">
                  <c:v>-1.0379411330530135</c:v>
                </c:pt>
                <c:pt idx="6">
                  <c:v>-1.2752105313295232</c:v>
                </c:pt>
                <c:pt idx="7">
                  <c:v>-0.40897078984909263</c:v>
                </c:pt>
                <c:pt idx="8">
                  <c:v>-0.69992439374807192</c:v>
                </c:pt>
                <c:pt idx="9">
                  <c:v>-0.39959536917299576</c:v>
                </c:pt>
                <c:pt idx="10">
                  <c:v>-0.2619028325420536</c:v>
                </c:pt>
                <c:pt idx="11">
                  <c:v>-0.41598966648809665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7E-4F82-80D7-4AB7B785FE59}"/>
            </c:ext>
          </c:extLst>
        </c:ser>
        <c:ser>
          <c:idx val="4"/>
          <c:order val="1"/>
          <c:tx>
            <c:strRef>
              <c:f>'Чарт ПБ 2022-2024'!$M$3</c:f>
              <c:strCache>
                <c:ptCount val="1"/>
                <c:pt idx="0">
                  <c:v>Сальдо инвестиций частного сектора, $ млрд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'Чарт ПБ 2022-2024'!$O$47:$P$58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2022-2024'!$M$47:$M$58</c:f>
              <c:numCache>
                <c:formatCode>0.00</c:formatCode>
                <c:ptCount val="12"/>
                <c:pt idx="0">
                  <c:v>1.0426693844210224</c:v>
                </c:pt>
                <c:pt idx="1">
                  <c:v>0.94665619524383815</c:v>
                </c:pt>
                <c:pt idx="2">
                  <c:v>1.3122188160036325</c:v>
                </c:pt>
                <c:pt idx="3">
                  <c:v>0.39507903231262353</c:v>
                </c:pt>
                <c:pt idx="4">
                  <c:v>0.69006397758901572</c:v>
                </c:pt>
                <c:pt idx="5">
                  <c:v>0.40553427783507573</c:v>
                </c:pt>
                <c:pt idx="6">
                  <c:v>0.12307613394045495</c:v>
                </c:pt>
                <c:pt idx="7">
                  <c:v>-0.53272729646689809</c:v>
                </c:pt>
                <c:pt idx="8">
                  <c:v>-5.0323120586813902E-2</c:v>
                </c:pt>
                <c:pt idx="9">
                  <c:v>-0.15604013729351013</c:v>
                </c:pt>
                <c:pt idx="10">
                  <c:v>0.111747246161276</c:v>
                </c:pt>
                <c:pt idx="11">
                  <c:v>0.1958261901767728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7E-4F82-80D7-4AB7B785FE59}"/>
            </c:ext>
          </c:extLst>
        </c:ser>
        <c:ser>
          <c:idx val="5"/>
          <c:order val="2"/>
          <c:tx>
            <c:strRef>
              <c:f>'Чарт ПБ 2022-2024'!$N$3</c:f>
              <c:strCache>
                <c:ptCount val="1"/>
                <c:pt idx="0">
                  <c:v>Чистые государственные привлечения, $ млрд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</c:spPr>
          <c:invertIfNegative val="0"/>
          <c:cat>
            <c:strRef>
              <c:f>'Чарт ПБ 2022-2024'!$O$47:$P$58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2022-2024'!$N$47:$N$58</c:f>
              <c:numCache>
                <c:formatCode>0.00</c:formatCode>
                <c:ptCount val="12"/>
                <c:pt idx="0">
                  <c:v>1.7785774781810928</c:v>
                </c:pt>
                <c:pt idx="1">
                  <c:v>1.3015010323889298</c:v>
                </c:pt>
                <c:pt idx="2">
                  <c:v>2.6906390725549407</c:v>
                </c:pt>
                <c:pt idx="3">
                  <c:v>1.3893722629464909</c:v>
                </c:pt>
                <c:pt idx="4">
                  <c:v>1.9219182847354725</c:v>
                </c:pt>
                <c:pt idx="5">
                  <c:v>3.070680350871041</c:v>
                </c:pt>
                <c:pt idx="6">
                  <c:v>2.2489340094725367</c:v>
                </c:pt>
                <c:pt idx="7">
                  <c:v>1.4811730927541564</c:v>
                </c:pt>
                <c:pt idx="8">
                  <c:v>2.630980315500945</c:v>
                </c:pt>
                <c:pt idx="9">
                  <c:v>1.3837497010788362</c:v>
                </c:pt>
                <c:pt idx="10">
                  <c:v>1.6511594762426609</c:v>
                </c:pt>
                <c:pt idx="11">
                  <c:v>3.3207765269580998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7E-4F82-80D7-4AB7B785F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00971280"/>
        <c:axId val="1"/>
      </c:barChart>
      <c:lineChart>
        <c:grouping val="standard"/>
        <c:varyColors val="0"/>
        <c:ser>
          <c:idx val="6"/>
          <c:order val="3"/>
          <c:tx>
            <c:strRef>
              <c:f>'Чарт ПБ 2022-2024'!$F$3</c:f>
              <c:strCache>
                <c:ptCount val="1"/>
                <c:pt idx="0">
                  <c:v>Общий приток валюты, $ млрд</c:v>
                </c:pt>
              </c:strCache>
            </c:strRef>
          </c:tx>
          <c:spPr>
            <a:ln w="38100">
              <a:solidFill>
                <a:srgbClr val="002060"/>
              </a:solidFill>
              <a:prstDash val="solid"/>
            </a:ln>
          </c:spPr>
          <c:marker>
            <c:spPr>
              <a:solidFill>
                <a:schemeClr val="tx1"/>
              </a:solidFill>
              <a:ln>
                <a:solidFill>
                  <a:srgbClr val="002060"/>
                </a:solidFill>
              </a:ln>
            </c:spPr>
          </c:marker>
          <c:dLbls>
            <c:dLbl>
              <c:idx val="0"/>
              <c:layout>
                <c:manualLayout>
                  <c:x val="-2.7816637246248905E-2"/>
                  <c:y val="-4.4544106606606605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87E-4F82-80D7-4AB7B785FE59}"/>
                </c:ext>
              </c:extLst>
            </c:dLbl>
            <c:dLbl>
              <c:idx val="1"/>
              <c:layout>
                <c:manualLayout>
                  <c:x val="-7.5778415220162793E-3"/>
                  <c:y val="-1.6387012012012011E-3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87E-4F82-80D7-4AB7B785FE59}"/>
                </c:ext>
              </c:extLst>
            </c:dLbl>
            <c:dLbl>
              <c:idx val="2"/>
              <c:layout>
                <c:manualLayout>
                  <c:x val="1.9554771011081689E-3"/>
                  <c:y val="3.6587837837837836E-3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87E-4F82-80D7-4AB7B785FE59}"/>
                </c:ext>
              </c:extLst>
            </c:dLbl>
            <c:dLbl>
              <c:idx val="3"/>
              <c:layout>
                <c:manualLayout>
                  <c:x val="-2.17411983916838E-2"/>
                  <c:y val="-4.4544106606606605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87E-4F82-80D7-4AB7B785FE59}"/>
                </c:ext>
              </c:extLst>
            </c:dLbl>
            <c:dLbl>
              <c:idx val="4"/>
              <c:layout>
                <c:manualLayout>
                  <c:x val="-2.4862582131999666E-2"/>
                  <c:y val="-3.9776839339339343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87E-4F82-80D7-4AB7B785FE59}"/>
                </c:ext>
              </c:extLst>
            </c:dLbl>
            <c:dLbl>
              <c:idx val="5"/>
              <c:layout>
                <c:manualLayout>
                  <c:x val="-3.0123810924781797E-2"/>
                  <c:y val="-6.3375375375375381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87E-4F82-80D7-4AB7B785FE59}"/>
                </c:ext>
              </c:extLst>
            </c:dLbl>
            <c:dLbl>
              <c:idx val="6"/>
              <c:layout>
                <c:manualLayout>
                  <c:x val="-3.0358193586348982E-2"/>
                  <c:y val="-3.5009572072072073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87E-4F82-80D7-4AB7B785FE59}"/>
                </c:ext>
              </c:extLst>
            </c:dLbl>
            <c:dLbl>
              <c:idx val="7"/>
              <c:layout>
                <c:manualLayout>
                  <c:x val="-4.3268240659017417E-2"/>
                  <c:y val="-3.9776839339339426E-2"/>
                </c:manualLayout>
              </c:layout>
              <c:numFmt formatCode="#,##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87E-4F82-80D7-4AB7B785FE59}"/>
                </c:ext>
              </c:extLst>
            </c:dLbl>
            <c:dLbl>
              <c:idx val="8"/>
              <c:layout>
                <c:manualLayout>
                  <c:x val="-4.5640384426792191E-2"/>
                  <c:y val="-4.9062875375375375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487E-4F82-80D7-4AB7B785FE59}"/>
                </c:ext>
              </c:extLst>
            </c:dLbl>
            <c:dLbl>
              <c:idx val="9"/>
              <c:layout>
                <c:manualLayout>
                  <c:x val="-3.1261931819769002E-2"/>
                  <c:y val="-4.1879412503708816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87E-4F82-80D7-4AB7B785FE59}"/>
                </c:ext>
              </c:extLst>
            </c:dLbl>
            <c:dLbl>
              <c:idx val="10"/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487E-4F82-80D7-4AB7B785FE59}"/>
                </c:ext>
              </c:extLst>
            </c:dLbl>
            <c:dLbl>
              <c:idx val="11"/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0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F-487E-4F82-80D7-4AB7B785FE59}"/>
                </c:ext>
              </c:extLst>
            </c:dLbl>
            <c:numFmt formatCode="#,##0.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0" i="0" u="none" strike="noStrike" baseline="0">
                    <a:solidFill>
                      <a:srgbClr val="003366"/>
                    </a:solidFill>
                    <a:latin typeface="Montserrat"/>
                    <a:ea typeface="Montserrat"/>
                    <a:cs typeface="Montserrat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'Чарт ПБ 2022-2024'!$F$47:$F$58</c:f>
              <c:numCache>
                <c:formatCode>0.00</c:formatCode>
                <c:ptCount val="12"/>
                <c:pt idx="0">
                  <c:v>-0.23299787369862485</c:v>
                </c:pt>
                <c:pt idx="1">
                  <c:v>-0.67643982731900731</c:v>
                </c:pt>
                <c:pt idx="2">
                  <c:v>0.23656588660407374</c:v>
                </c:pt>
                <c:pt idx="3">
                  <c:v>0.35902079590516234</c:v>
                </c:pt>
                <c:pt idx="4">
                  <c:v>0.28257177416106222</c:v>
                </c:pt>
                <c:pt idx="5">
                  <c:v>1.6272049399829513</c:v>
                </c:pt>
                <c:pt idx="6">
                  <c:v>0.8506473442025585</c:v>
                </c:pt>
                <c:pt idx="7">
                  <c:v>1.6049295993719619</c:v>
                </c:pt>
                <c:pt idx="8">
                  <c:v>1.9813790423396866</c:v>
                </c:pt>
                <c:pt idx="9">
                  <c:v>1.1401944691993506</c:v>
                </c:pt>
                <c:pt idx="10">
                  <c:v>1.2775093975393312</c:v>
                </c:pt>
                <c:pt idx="11">
                  <c:v>2.7089606702932301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87E-4F82-80D7-4AB7B785F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971280"/>
        <c:axId val="1"/>
      </c:lineChart>
      <c:lineChart>
        <c:grouping val="standard"/>
        <c:varyColors val="0"/>
        <c:ser>
          <c:idx val="2"/>
          <c:order val="6"/>
          <c:tx>
            <c:strRef>
              <c:f>'Чарт ПБ 2022-2024'!$Z$46</c:f>
              <c:strCache>
                <c:ptCount val="1"/>
                <c:pt idx="0">
                  <c:v>Обменный курс</c:v>
                </c:pt>
              </c:strCache>
            </c:strRef>
          </c:tx>
          <c:spPr>
            <a:ln w="34925">
              <a:solidFill>
                <a:schemeClr val="accent6"/>
              </a:solidFill>
              <a:prstDash val="sysDot"/>
            </a:ln>
          </c:spPr>
          <c:marker>
            <c:symbol val="circle"/>
            <c:size val="12"/>
            <c:spPr>
              <a:solidFill>
                <a:schemeClr val="accent6">
                  <a:lumMod val="20000"/>
                  <a:lumOff val="80000"/>
                </a:schemeClr>
              </a:solidFill>
              <a:ln w="15875">
                <a:solidFill>
                  <a:schemeClr val="accent6"/>
                </a:solidFill>
                <a:prstDash val="sysDash"/>
              </a:ln>
            </c:spPr>
          </c:marker>
          <c:dLbls>
            <c:dLbl>
              <c:idx val="6"/>
              <c:layout>
                <c:manualLayout>
                  <c:x val="-3.8403084240462883E-2"/>
                  <c:y val="-4.3352289789789791E-2"/>
                </c:manualLayout>
              </c:layout>
              <c:numFmt formatCode="#,##0.0" sourceLinked="0"/>
              <c:spPr>
                <a:solidFill>
                  <a:schemeClr val="accent6">
                    <a:lumMod val="20000"/>
                    <a:lumOff val="80000"/>
                  </a:schemeClr>
                </a:solidFill>
                <a:ln w="25400">
                  <a:noFill/>
                </a:ln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sz="1200" b="0">
                      <a:solidFill>
                        <a:schemeClr val="accent6"/>
                      </a:solidFill>
                      <a:latin typeface="+mn-l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487E-4F82-80D7-4AB7B785FE59}"/>
                </c:ext>
              </c:extLst>
            </c:dLbl>
            <c:dLbl>
              <c:idx val="7"/>
              <c:layout>
                <c:manualLayout>
                  <c:x val="-4.3287731685789942E-2"/>
                  <c:y val="-4.0968656156156157E-2"/>
                </c:manualLayout>
              </c:layout>
              <c:numFmt formatCode="#,##0.0" sourceLinked="0"/>
              <c:spPr>
                <a:solidFill>
                  <a:schemeClr val="accent6">
                    <a:lumMod val="20000"/>
                    <a:lumOff val="80000"/>
                  </a:schemeClr>
                </a:solidFill>
                <a:ln w="25400">
                  <a:noFill/>
                </a:ln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sz="1200" b="0">
                      <a:solidFill>
                        <a:schemeClr val="accent6"/>
                      </a:solidFill>
                      <a:latin typeface="+mn-l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487E-4F82-80D7-4AB7B785FE59}"/>
                </c:ext>
              </c:extLst>
            </c:dLbl>
            <c:dLbl>
              <c:idx val="9"/>
              <c:layout>
                <c:manualLayout>
                  <c:x val="-3.5916078258311265E-2"/>
                  <c:y val="-4.0968656156156157E-2"/>
                </c:manualLayout>
              </c:layout>
              <c:numFmt formatCode="#,##0.0" sourceLinked="0"/>
              <c:spPr>
                <a:solidFill>
                  <a:schemeClr val="accent6">
                    <a:lumMod val="20000"/>
                    <a:lumOff val="80000"/>
                  </a:schemeClr>
                </a:solidFill>
                <a:ln w="25400">
                  <a:noFill/>
                </a:ln>
              </c:spPr>
              <c:txPr>
                <a:bodyPr wrap="square" lIns="38100" tIns="19050" rIns="38100" bIns="19050" anchor="ctr">
                  <a:spAutoFit/>
                </a:bodyPr>
                <a:lstStyle/>
                <a:p>
                  <a:pPr>
                    <a:defRPr sz="1200" b="0">
                      <a:solidFill>
                        <a:schemeClr val="accent6"/>
                      </a:solidFill>
                      <a:latin typeface="+mn-l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487E-4F82-80D7-4AB7B785FE59}"/>
                </c:ext>
              </c:extLst>
            </c:dLbl>
            <c:dLbl>
              <c:idx val="10"/>
              <c:layout>
                <c:manualLayout>
                  <c:x val="-3.7099269392958711E-2"/>
                  <c:y val="-3.38177552552552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487E-4F82-80D7-4AB7B785FE59}"/>
                </c:ext>
              </c:extLst>
            </c:dLbl>
            <c:dLbl>
              <c:idx val="11"/>
              <c:layout>
                <c:manualLayout>
                  <c:x val="-2.7108340688437777E-2"/>
                  <c:y val="-3.62013888888888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487E-4F82-80D7-4AB7B785FE59}"/>
                </c:ext>
              </c:extLst>
            </c:dLbl>
            <c:numFmt formatCode="#,##0.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0">
                    <a:solidFill>
                      <a:schemeClr val="accent6"/>
                    </a:solidFill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'Чарт ПБ 2022-2024'!$Z$47:$Z$58</c:f>
              <c:numCache>
                <c:formatCode>_-* #\ ##0.0_-;\-* #\ ##0.0_-;_-* "-"??_-;_-@_-</c:formatCode>
                <c:ptCount val="12"/>
                <c:pt idx="0">
                  <c:v>37.572233277496139</c:v>
                </c:pt>
                <c:pt idx="1">
                  <c:v>38.27478587846511</c:v>
                </c:pt>
                <c:pt idx="2">
                  <c:v>39.105806424374762</c:v>
                </c:pt>
                <c:pt idx="3">
                  <c:v>39.395705147134706</c:v>
                </c:pt>
                <c:pt idx="4">
                  <c:v>39.781047044824604</c:v>
                </c:pt>
                <c:pt idx="5">
                  <c:v>40.158399481375852</c:v>
                </c:pt>
                <c:pt idx="6">
                  <c:v>40.515635176768157</c:v>
                </c:pt>
                <c:pt idx="7">
                  <c:v>40.64772687713463</c:v>
                </c:pt>
                <c:pt idx="8">
                  <c:v>40.86685760056217</c:v>
                </c:pt>
                <c:pt idx="9">
                  <c:v>41.027007871865493</c:v>
                </c:pt>
                <c:pt idx="10">
                  <c:v>41.200074709472133</c:v>
                </c:pt>
                <c:pt idx="11">
                  <c:v>41.402614826192249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3-487E-4F82-80D7-4AB7B785F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  <c:extLst>
          <c:ext xmlns:c15="http://schemas.microsoft.com/office/drawing/2012/chart" uri="{02D57815-91ED-43cb-92C2-25804820EDAC}">
            <c15:filteredLineSeries>
              <c15:ser>
                <c:idx val="0"/>
                <c:order val="5"/>
                <c:tx>
                  <c:strRef>
                    <c:extLst>
                      <c:ext uri="{02D57815-91ED-43cb-92C2-25804820EDAC}">
                        <c15:formulaRef>
                          <c15:sqref>'Чарт ПБ 2022-2024'!$Y$46</c15:sqref>
                        </c15:formulaRef>
                      </c:ext>
                    </c:extLst>
                    <c:strCache>
                      <c:ptCount val="1"/>
                      <c:pt idx="0">
                        <c:v>Обменный курс</c:v>
                      </c:pt>
                    </c:strCache>
                  </c:strRef>
                </c:tx>
                <c:spPr>
                  <a:ln w="34925">
                    <a:solidFill>
                      <a:schemeClr val="accent3"/>
                    </a:solidFill>
                    <a:prstDash val="sysDot"/>
                  </a:ln>
                </c:spPr>
                <c:marker>
                  <c:symbol val="circle"/>
                  <c:size val="12"/>
                  <c:spPr>
                    <a:solidFill>
                      <a:schemeClr val="accent3">
                        <a:lumMod val="20000"/>
                        <a:lumOff val="80000"/>
                      </a:schemeClr>
                    </a:solidFill>
                    <a:ln w="15875">
                      <a:solidFill>
                        <a:schemeClr val="accent3"/>
                      </a:solidFill>
                      <a:prstDash val="sysDash"/>
                    </a:ln>
                  </c:spPr>
                </c:marker>
                <c:dLbls>
                  <c:dLbl>
                    <c:idx val="0"/>
                    <c:layout>
                      <c:manualLayout>
                        <c:x val="-3.4250269687162889E-2"/>
                        <c:y val="-4.052177177177177E-2"/>
                      </c:manualLayout>
                    </c:layout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1-487E-4F82-80D7-4AB7B785FE59}"/>
                      </c:ext>
                    </c:extLst>
                  </c:dLbl>
                  <c:dLbl>
                    <c:idx val="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2-487E-4F82-80D7-4AB7B785FE59}"/>
                      </c:ext>
                    </c:extLst>
                  </c:dLbl>
                  <c:dLbl>
                    <c:idx val="2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3-487E-4F82-80D7-4AB7B785FE59}"/>
                      </c:ext>
                    </c:extLst>
                  </c:dLbl>
                  <c:dLbl>
                    <c:idx val="3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4-487E-4F82-80D7-4AB7B785FE59}"/>
                      </c:ext>
                    </c:extLst>
                  </c:dLbl>
                  <c:dLbl>
                    <c:idx val="4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5-487E-4F82-80D7-4AB7B785FE59}"/>
                      </c:ext>
                    </c:extLst>
                  </c:dLbl>
                  <c:dLbl>
                    <c:idx val="5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6-487E-4F82-80D7-4AB7B785FE59}"/>
                      </c:ext>
                    </c:extLst>
                  </c:dLbl>
                  <c:dLbl>
                    <c:idx val="6"/>
                    <c:dLblPos val="b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7-487E-4F82-80D7-4AB7B785FE59}"/>
                      </c:ext>
                    </c:extLst>
                  </c:dLbl>
                  <c:dLbl>
                    <c:idx val="7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8-487E-4F82-80D7-4AB7B785FE59}"/>
                      </c:ext>
                    </c:extLst>
                  </c:dLbl>
                  <c:dLbl>
                    <c:idx val="8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9-487E-4F82-80D7-4AB7B785FE59}"/>
                      </c:ext>
                    </c:extLst>
                  </c:dLbl>
                  <c:dLbl>
                    <c:idx val="9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A-487E-4F82-80D7-4AB7B785FE59}"/>
                      </c:ext>
                    </c:extLst>
                  </c:dLbl>
                  <c:dLbl>
                    <c:idx val="10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B-487E-4F82-80D7-4AB7B785FE59}"/>
                      </c:ext>
                    </c:extLst>
                  </c:dLbl>
                  <c:dLbl>
                    <c:idx val="11"/>
                    <c:numFmt formatCode="#,##0.0" sourceLinked="0"/>
                    <c:spPr>
                      <a:noFill/>
                      <a:ln w="25400">
                        <a:noFill/>
                      </a:ln>
                    </c:spPr>
                    <c:txPr>
                      <a:bodyPr/>
                      <a:lstStyle/>
                      <a:p>
                        <a:pPr>
                          <a:defRPr sz="1200" b="0" i="0" u="none" strike="noStrike" baseline="0">
                            <a:solidFill>
                              <a:schemeClr val="accent3"/>
                            </a:solidFill>
                            <a:latin typeface="Montserrat"/>
                            <a:ea typeface="Montserrat"/>
                            <a:cs typeface="Montserrat"/>
                          </a:defRPr>
                        </a:pPr>
                        <a:endParaRPr lang="en-US"/>
                      </a:p>
                    </c:txPr>
                    <c:dLblPos val="b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C-487E-4F82-80D7-4AB7B785FE59}"/>
                      </c:ext>
                    </c:extLst>
                  </c:dLbl>
                  <c:numFmt formatCode="#,##0.0" sourceLinked="0"/>
                  <c:spPr>
                    <a:noFill/>
                    <a:ln w="25400">
                      <a:noFill/>
                    </a:ln>
                  </c:spPr>
                  <c:txPr>
                    <a:bodyPr wrap="square" lIns="38100" tIns="19050" rIns="38100" bIns="19050" anchor="ctr">
                      <a:spAutoFit/>
                    </a:bodyPr>
                    <a:lstStyle/>
                    <a:p>
                      <a:pPr>
                        <a:defRPr sz="1200" b="0" i="0" u="none" strike="noStrike" baseline="0">
                          <a:solidFill>
                            <a:schemeClr val="accent3"/>
                          </a:solidFill>
                          <a:latin typeface="Montserrat"/>
                          <a:ea typeface="Montserrat"/>
                          <a:cs typeface="Montserrat"/>
                        </a:defRPr>
                      </a:pPr>
                      <a:endParaRPr lang="en-U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0"/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'Чарт ПБ 2022-2024'!$Y$47:$Y$58</c15:sqref>
                        </c15:formulaRef>
                      </c:ext>
                    </c:extLst>
                    <c:numCache>
                      <c:formatCode>_-* #\ ##0.0_-;\-* #\ ##0.0_-;_-* "-"??_-;_-@_-</c:formatCode>
                      <c:ptCount val="12"/>
                      <c:pt idx="0">
                        <c:v>37.572233277496139</c:v>
                      </c:pt>
                      <c:pt idx="1">
                        <c:v>38.27478587846511</c:v>
                      </c:pt>
                      <c:pt idx="2">
                        <c:v>39.105806424374762</c:v>
                      </c:pt>
                      <c:pt idx="3">
                        <c:v>39.395705147134706</c:v>
                      </c:pt>
                      <c:pt idx="4">
                        <c:v>39.781047044824604</c:v>
                      </c:pt>
                      <c:pt idx="5">
                        <c:v>40.158399481375852</c:v>
                      </c:pt>
                      <c:pt idx="6">
                        <c:v>40.515635176768157</c:v>
                      </c:pt>
                      <c:pt idx="7">
                        <c:v>40.64772687713463</c:v>
                      </c:pt>
                      <c:pt idx="8">
                        <c:v>40.86685760056217</c:v>
                      </c:pt>
                      <c:pt idx="9">
                        <c:v>41.027007871865493</c:v>
                      </c:pt>
                      <c:pt idx="10">
                        <c:v>41.200074709472133</c:v>
                      </c:pt>
                      <c:pt idx="11">
                        <c:v>41.402614826192249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D-487E-4F82-80D7-4AB7B785FE59}"/>
                  </c:ext>
                </c:extLst>
              </c15:ser>
            </c15:filteredLineSeries>
          </c:ext>
        </c:extLst>
      </c:lineChart>
      <c:catAx>
        <c:axId val="200097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Montserrat"/>
                <a:ea typeface="Montserrat"/>
                <a:cs typeface="Montserrat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600" b="0" i="0" u="none" strike="noStrike" baseline="0">
                <a:solidFill>
                  <a:srgbClr val="000000"/>
                </a:solidFill>
                <a:latin typeface="Montserrat"/>
                <a:ea typeface="Montserrat"/>
                <a:cs typeface="Montserrat"/>
              </a:defRPr>
            </a:pPr>
            <a:endParaRPr lang="en-US"/>
          </a:p>
        </c:txPr>
        <c:crossAx val="200097128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_-* #\ ##0.0_-;\-* #\ ##0.0_-;_-* &quot;-&quot;??_-;_-@_-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 sz="16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7281786309698932"/>
          <c:y val="0.19156625375375375"/>
          <c:w val="0.32718213690301068"/>
          <c:h val="0.785744510195439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Montserrat"/>
              <a:ea typeface="Montserrat"/>
              <a:cs typeface="Montserra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4504949270913856E-2"/>
          <c:y val="0.28213663663663663"/>
          <c:w val="0.90214914577099936"/>
          <c:h val="0.63959271771771775"/>
        </c:manualLayout>
      </c:layout>
      <c:areaChart>
        <c:grouping val="standard"/>
        <c:varyColors val="0"/>
        <c:ser>
          <c:idx val="3"/>
          <c:order val="3"/>
          <c:tx>
            <c:strRef>
              <c:f>'ЗВР-інт 2022-2024'!$A$24</c:f>
              <c:strCache>
                <c:ptCount val="1"/>
                <c:pt idx="0">
                  <c:v>Изменение резервов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  <a:effectLst/>
          </c:spPr>
          <c:dLbls>
            <c:dLbl>
              <c:idx val="0"/>
              <c:layout>
                <c:manualLayout>
                  <c:x val="0"/>
                  <c:y val="-0.143999992112290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90-4CA6-9114-824D5FD970AB}"/>
                </c:ext>
              </c:extLst>
            </c:dLbl>
            <c:dLbl>
              <c:idx val="1"/>
              <c:layout>
                <c:manualLayout>
                  <c:x val="4.0909090909090912E-3"/>
                  <c:y val="-0.1338719969969970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490-4CA6-9114-824D5FD970AB}"/>
                </c:ext>
              </c:extLst>
            </c:dLbl>
            <c:dLbl>
              <c:idx val="2"/>
              <c:layout>
                <c:manualLayout>
                  <c:x val="0"/>
                  <c:y val="-0.1535345345345345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490-4CA6-9114-824D5FD970AB}"/>
                </c:ext>
              </c:extLst>
            </c:dLbl>
            <c:dLbl>
              <c:idx val="3"/>
              <c:layout>
                <c:manualLayout>
                  <c:x val="0"/>
                  <c:y val="-0.1243374624624625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490-4CA6-9114-824D5FD970AB}"/>
                </c:ext>
              </c:extLst>
            </c:dLbl>
            <c:dLbl>
              <c:idx val="4"/>
              <c:layout>
                <c:manualLayout>
                  <c:x val="-5.7083123382825739E-17"/>
                  <c:y val="-0.1305983483483483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490-4CA6-9114-824D5FD970AB}"/>
                </c:ext>
              </c:extLst>
            </c:dLbl>
            <c:dLbl>
              <c:idx val="5"/>
              <c:layout>
                <c:manualLayout>
                  <c:x val="0"/>
                  <c:y val="-0.1305983483483484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490-4CA6-9114-824D5FD970AB}"/>
                </c:ext>
              </c:extLst>
            </c:dLbl>
            <c:dLbl>
              <c:idx val="6"/>
              <c:layout>
                <c:manualLayout>
                  <c:x val="2.7272727272726702E-3"/>
                  <c:y val="-0.136859234234234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4490-4CA6-9114-824D5FD970AB}"/>
                </c:ext>
              </c:extLst>
            </c:dLbl>
            <c:dLbl>
              <c:idx val="7"/>
              <c:layout>
                <c:manualLayout>
                  <c:x val="0"/>
                  <c:y val="-0.136859234234234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4490-4CA6-9114-824D5FD970AB}"/>
                </c:ext>
              </c:extLst>
            </c:dLbl>
            <c:dLbl>
              <c:idx val="8"/>
              <c:layout>
                <c:manualLayout>
                  <c:x val="-2.7272727272727275E-3"/>
                  <c:y val="-0.1410330330330330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490-4CA6-9114-824D5FD970AB}"/>
                </c:ext>
              </c:extLst>
            </c:dLbl>
            <c:dLbl>
              <c:idx val="9"/>
              <c:layout>
                <c:manualLayout>
                  <c:x val="3.1136608806510576E-3"/>
                  <c:y val="-0.154741741741741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490-4CA6-9114-824D5FD970AB}"/>
                </c:ext>
              </c:extLst>
            </c:dLbl>
            <c:dLbl>
              <c:idx val="10"/>
              <c:layout>
                <c:manualLayout>
                  <c:x val="-1.3636363636363637E-3"/>
                  <c:y val="-0.1520611861861862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490-4CA6-9114-824D5FD970AB}"/>
                </c:ext>
              </c:extLst>
            </c:dLbl>
            <c:dLbl>
              <c:idx val="11"/>
              <c:layout>
                <c:manualLayout>
                  <c:x val="4.0909090909089767E-3"/>
                  <c:y val="-0.1568284534534534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490-4CA6-9114-824D5FD970AB}"/>
                </c:ext>
              </c:extLst>
            </c:dLbl>
            <c:numFmt formatCode="#,##0.0" sourceLinked="0"/>
            <c:spPr>
              <a:solidFill>
                <a:schemeClr val="accent4">
                  <a:lumMod val="20000"/>
                  <a:lumOff val="80000"/>
                </a:schemeClr>
              </a:solidFill>
              <a:ln w="6350">
                <a:solidFill>
                  <a:schemeClr val="accent4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2022-2024'!$B$24:$M$24</c:f>
              <c:numCache>
                <c:formatCode>#,##0</c:formatCode>
                <c:ptCount val="12"/>
                <c:pt idx="0">
                  <c:v>40476.03966148934</c:v>
                </c:pt>
                <c:pt idx="1">
                  <c:v>40115.575738322943</c:v>
                </c:pt>
                <c:pt idx="2">
                  <c:v>40715.730761703926</c:v>
                </c:pt>
                <c:pt idx="3">
                  <c:v>41185.360040052066</c:v>
                </c:pt>
                <c:pt idx="4">
                  <c:v>41608.990048832762</c:v>
                </c:pt>
                <c:pt idx="5">
                  <c:v>43367.459668451032</c:v>
                </c:pt>
                <c:pt idx="6">
                  <c:v>44347.112255007996</c:v>
                </c:pt>
                <c:pt idx="7">
                  <c:v>46004.944938139983</c:v>
                </c:pt>
                <c:pt idx="8">
                  <c:v>48077.894953228642</c:v>
                </c:pt>
                <c:pt idx="9">
                  <c:v>49289.358093112874</c:v>
                </c:pt>
                <c:pt idx="10">
                  <c:v>50644.640903678286</c:v>
                </c:pt>
                <c:pt idx="11">
                  <c:v>53443.283275895672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490-4CA6-9114-824D5FD970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08910896"/>
        <c:axId val="108908816"/>
      </c:areaChart>
      <c:barChart>
        <c:barDir val="col"/>
        <c:grouping val="clustered"/>
        <c:varyColors val="0"/>
        <c:ser>
          <c:idx val="0"/>
          <c:order val="0"/>
          <c:tx>
            <c:strRef>
              <c:f>'ЗВР-інт 2022-2024'!$A$21</c:f>
              <c:strCache>
                <c:ptCount val="1"/>
                <c:pt idx="0">
                  <c:v>Объемы интервенций по месяцам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2022-2024'!$B$21:$M$21</c:f>
              <c:numCache>
                <c:formatCode>#,##0</c:formatCode>
                <c:ptCount val="12"/>
                <c:pt idx="0">
                  <c:v>-1810.4178166917461</c:v>
                </c:pt>
                <c:pt idx="1">
                  <c:v>-2843.7831373735075</c:v>
                </c:pt>
                <c:pt idx="2">
                  <c:v>-3272.3022309921439</c:v>
                </c:pt>
                <c:pt idx="3">
                  <c:v>-2101.5611664165344</c:v>
                </c:pt>
                <c:pt idx="4">
                  <c:v>-2680.1064577729621</c:v>
                </c:pt>
                <c:pt idx="5">
                  <c:v>-2494.0289130709571</c:v>
                </c:pt>
                <c:pt idx="6">
                  <c:v>-2451.0996047337517</c:v>
                </c:pt>
                <c:pt idx="7">
                  <c:v>-1005.1585914403573</c:v>
                </c:pt>
                <c:pt idx="8">
                  <c:v>-1739.8484822304677</c:v>
                </c:pt>
                <c:pt idx="9">
                  <c:v>-1354.104743012784</c:v>
                </c:pt>
                <c:pt idx="10">
                  <c:v>-1477.6948474954359</c:v>
                </c:pt>
                <c:pt idx="11">
                  <c:v>-1703.9523365588987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490-4CA6-9114-824D5FD970AB}"/>
            </c:ext>
          </c:extLst>
        </c:ser>
        <c:ser>
          <c:idx val="1"/>
          <c:order val="1"/>
          <c:tx>
            <c:strRef>
              <c:f>'ЗВР-інт 2022-2024'!$A$22</c:f>
              <c:strCache>
                <c:ptCount val="1"/>
                <c:pt idx="0">
                  <c:v>Сальдо платежного баланса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-2.854156169141287E-17"/>
                  <c:y val="2.383633633633629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4490-4CA6-9114-824D5FD970AB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2022-2024'!$B$22:$M$22</c:f>
              <c:numCache>
                <c:formatCode>#,##0</c:formatCode>
                <c:ptCount val="12"/>
                <c:pt idx="0">
                  <c:v>-232.99787369862486</c:v>
                </c:pt>
                <c:pt idx="1">
                  <c:v>-676.43982731900735</c:v>
                </c:pt>
                <c:pt idx="2">
                  <c:v>236.56588660407374</c:v>
                </c:pt>
                <c:pt idx="3">
                  <c:v>359.02079590516234</c:v>
                </c:pt>
                <c:pt idx="4">
                  <c:v>282.57177416106219</c:v>
                </c:pt>
                <c:pt idx="5">
                  <c:v>1627.2049399829514</c:v>
                </c:pt>
                <c:pt idx="6">
                  <c:v>850.64734420255854</c:v>
                </c:pt>
                <c:pt idx="7">
                  <c:v>1604.9295993719618</c:v>
                </c:pt>
                <c:pt idx="8">
                  <c:v>1981.3790423396867</c:v>
                </c:pt>
                <c:pt idx="9">
                  <c:v>1140.1944691993506</c:v>
                </c:pt>
                <c:pt idx="10">
                  <c:v>1277.5093975393313</c:v>
                </c:pt>
                <c:pt idx="11">
                  <c:v>2708.9606702932301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490-4CA6-9114-824D5FD970AB}"/>
            </c:ext>
          </c:extLst>
        </c:ser>
        <c:ser>
          <c:idx val="2"/>
          <c:order val="2"/>
          <c:tx>
            <c:strRef>
              <c:f>'ЗВР-інт 2022-2024'!$A$23</c:f>
              <c:strCache>
                <c:ptCount val="1"/>
                <c:pt idx="0">
                  <c:v>Сальдо операций частного сект.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2022-2024'!$B$23:$M$23</c:f>
              <c:numCache>
                <c:formatCode>#,##0</c:formatCode>
                <c:ptCount val="12"/>
                <c:pt idx="0">
                  <c:v>-2011.5753518797178</c:v>
                </c:pt>
                <c:pt idx="1">
                  <c:v>-3159.7590415261193</c:v>
                </c:pt>
                <c:pt idx="2">
                  <c:v>-3635.8913677690489</c:v>
                </c:pt>
                <c:pt idx="3">
                  <c:v>-2212.1696488595098</c:v>
                </c:pt>
                <c:pt idx="4">
                  <c:v>-2821.1646923925919</c:v>
                </c:pt>
                <c:pt idx="5">
                  <c:v>-2625.2935927062708</c:v>
                </c:pt>
                <c:pt idx="6">
                  <c:v>-2580.1048470881597</c:v>
                </c:pt>
                <c:pt idx="7">
                  <c:v>-1058.0616752003762</c:v>
                </c:pt>
                <c:pt idx="8">
                  <c:v>-1831.4194549794397</c:v>
                </c:pt>
                <c:pt idx="9">
                  <c:v>-1425.3734136976675</c:v>
                </c:pt>
                <c:pt idx="10">
                  <c:v>-1555.4682605215114</c:v>
                </c:pt>
                <c:pt idx="11">
                  <c:v>-1793.6340384830512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490-4CA6-9114-824D5FD970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08908400"/>
        <c:axId val="108910480"/>
      </c:barChart>
      <c:catAx>
        <c:axId val="10890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10480"/>
        <c:crosses val="autoZero"/>
        <c:auto val="1"/>
        <c:lblAlgn val="ctr"/>
        <c:lblOffset val="100"/>
        <c:noMultiLvlLbl val="0"/>
      </c:catAx>
      <c:valAx>
        <c:axId val="108910480"/>
        <c:scaling>
          <c:orientation val="minMax"/>
          <c:max val="5000"/>
          <c:min val="-5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8400"/>
        <c:crosses val="autoZero"/>
        <c:crossBetween val="between"/>
        <c:dispUnits>
          <c:builtInUnit val="thousands"/>
        </c:dispUnits>
      </c:valAx>
      <c:valAx>
        <c:axId val="108908816"/>
        <c:scaling>
          <c:orientation val="minMax"/>
          <c:max val="55000"/>
          <c:min val="-5500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accent4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10896"/>
        <c:crosses val="max"/>
        <c:crossBetween val="between"/>
        <c:dispUnits>
          <c:builtInUnit val="thousands"/>
        </c:dispUnits>
      </c:valAx>
      <c:catAx>
        <c:axId val="108910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9088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0.16592717717717714"/>
          <c:w val="1"/>
          <c:h val="8.74939858720423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336205159616047E-2"/>
          <c:y val="0.2693686186186186"/>
          <c:w val="0.87429501419078259"/>
          <c:h val="0.58124099099099102"/>
        </c:manualLayout>
      </c:layout>
      <c:areaChart>
        <c:grouping val="stacked"/>
        <c:varyColors val="0"/>
        <c:ser>
          <c:idx val="3"/>
          <c:order val="1"/>
          <c:tx>
            <c:strRef>
              <c:f>'курс 2022-2023 v1'!$A$8</c:f>
              <c:strCache>
                <c:ptCount val="1"/>
                <c:pt idx="0">
                  <c:v>заливка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f>'курс 2022-2023 v1'!$B$2:$Y$2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</c:numCache>
            </c:numRef>
          </c:cat>
          <c:val>
            <c:numRef>
              <c:f>'курс 2022-2023 v1'!$B$8:$Y$8</c:f>
              <c:numCache>
                <c:formatCode>0.00</c:formatCode>
                <c:ptCount val="24"/>
                <c:pt idx="0">
                  <c:v>36.068600000000032</c:v>
                </c:pt>
                <c:pt idx="1">
                  <c:v>36.068600000000025</c:v>
                </c:pt>
                <c:pt idx="2">
                  <c:v>36.068600000000032</c:v>
                </c:pt>
                <c:pt idx="3">
                  <c:v>36.068600000000032</c:v>
                </c:pt>
                <c:pt idx="4">
                  <c:v>36.068600000000032</c:v>
                </c:pt>
                <c:pt idx="5">
                  <c:v>36.068600000000032</c:v>
                </c:pt>
                <c:pt idx="6">
                  <c:v>36.068600000000032</c:v>
                </c:pt>
                <c:pt idx="7">
                  <c:v>36.068600000000032</c:v>
                </c:pt>
                <c:pt idx="8">
                  <c:v>36.068600000000032</c:v>
                </c:pt>
                <c:pt idx="9">
                  <c:v>36.01895161290323</c:v>
                </c:pt>
                <c:pt idx="10">
                  <c:v>35.655420000000007</c:v>
                </c:pt>
                <c:pt idx="11">
                  <c:v>36.593925806451622</c:v>
                </c:pt>
                <c:pt idx="12">
                  <c:v>37.072233277496139</c:v>
                </c:pt>
                <c:pt idx="13">
                  <c:v>37.77478587846511</c:v>
                </c:pt>
                <c:pt idx="14">
                  <c:v>38.605806424374762</c:v>
                </c:pt>
                <c:pt idx="15">
                  <c:v>38.895705147134706</c:v>
                </c:pt>
                <c:pt idx="16">
                  <c:v>39.281047044824604</c:v>
                </c:pt>
                <c:pt idx="17">
                  <c:v>39.658399481375852</c:v>
                </c:pt>
                <c:pt idx="18">
                  <c:v>40.015635176768157</c:v>
                </c:pt>
                <c:pt idx="19">
                  <c:v>40.14772687713463</c:v>
                </c:pt>
                <c:pt idx="20">
                  <c:v>40.36685760056217</c:v>
                </c:pt>
                <c:pt idx="21">
                  <c:v>40.527007871865493</c:v>
                </c:pt>
                <c:pt idx="22">
                  <c:v>40.700074709472133</c:v>
                </c:pt>
                <c:pt idx="23">
                  <c:v>40.902614826192249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3B2-472B-9504-9EE25703F582}"/>
            </c:ext>
          </c:extLst>
        </c:ser>
        <c:ser>
          <c:idx val="4"/>
          <c:order val="2"/>
          <c:tx>
            <c:strRef>
              <c:f>'курс 2022-2023 v1'!$A$11</c:f>
              <c:strCache>
                <c:ptCount val="1"/>
                <c:pt idx="0">
                  <c:v>Заливка нижний предел уверенности</c:v>
                </c:pt>
              </c:strCache>
            </c:strRef>
          </c:tx>
          <c:spPr>
            <a:noFill/>
            <a:ln w="25400">
              <a:noFill/>
            </a:ln>
            <a:effectLst/>
          </c:spPr>
          <c:cat>
            <c:numRef>
              <c:f>'курс 2022-2023 v1'!$B$2:$Y$2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</c:numCache>
            </c:numRef>
          </c:cat>
          <c:val>
            <c:numRef>
              <c:f>'курс 2022-2023 v1'!$B$11:$Y$11</c:f>
              <c:numCache>
                <c:formatCode>General</c:formatCode>
                <c:ptCount val="24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  <c:pt idx="19">
                  <c:v>0.5</c:v>
                </c:pt>
                <c:pt idx="20">
                  <c:v>0.5</c:v>
                </c:pt>
                <c:pt idx="21">
                  <c:v>0.5</c:v>
                </c:pt>
                <c:pt idx="22">
                  <c:v>0.5</c:v>
                </c:pt>
                <c:pt idx="23">
                  <c:v>0.5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3B2-472B-9504-9EE25703F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445312"/>
        <c:axId val="516452528"/>
        <c:extLst>
          <c:ext xmlns:c15="http://schemas.microsoft.com/office/drawing/2012/chart" uri="{02D57815-91ED-43cb-92C2-25804820EDAC}">
            <c15:filteredArea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'курс 2022-2023 v1'!$A$10</c15:sqref>
                        </c15:formulaRef>
                      </c:ext>
                    </c:extLst>
                    <c:strCache>
                      <c:ptCount val="1"/>
                      <c:pt idx="0">
                        <c:v>Разбивка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'курс 2022-2023 v1'!$B$2:$Y$2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</c:v>
                      </c:pt>
                      <c:pt idx="13">
                        <c:v>2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5</c:v>
                      </c:pt>
                      <c:pt idx="17">
                        <c:v>6</c:v>
                      </c:pt>
                      <c:pt idx="18">
                        <c:v>7</c:v>
                      </c:pt>
                      <c:pt idx="19">
                        <c:v>8</c:v>
                      </c:pt>
                      <c:pt idx="20">
                        <c:v>9</c:v>
                      </c:pt>
                      <c:pt idx="21">
                        <c:v>10</c:v>
                      </c:pt>
                      <c:pt idx="22">
                        <c:v>11</c:v>
                      </c:pt>
                      <c:pt idx="23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'курс 2022-2023 v1'!$B$10:$Y$10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-0.71266969139801972</c:v>
                      </c:pt>
                      <c:pt idx="13">
                        <c:v>-1.7495510839218156</c:v>
                      </c:pt>
                      <c:pt idx="14">
                        <c:v>-2.9628841488234627</c:v>
                      </c:pt>
                      <c:pt idx="15">
                        <c:v>-3.6710682421819172</c:v>
                      </c:pt>
                      <c:pt idx="16">
                        <c:v>-4.3968901416268267</c:v>
                      </c:pt>
                      <c:pt idx="17">
                        <c:v>-5.4217086373776553</c:v>
                      </c:pt>
                      <c:pt idx="18">
                        <c:v>-6.3751778005040194</c:v>
                      </c:pt>
                      <c:pt idx="19">
                        <c:v>-6.7254923706581025</c:v>
                      </c:pt>
                      <c:pt idx="20">
                        <c:v>-7.3005978693343536</c:v>
                      </c:pt>
                      <c:pt idx="21">
                        <c:v>-7.7177410663238106</c:v>
                      </c:pt>
                      <c:pt idx="22">
                        <c:v>-8.1648915981940178</c:v>
                      </c:pt>
                      <c:pt idx="23">
                        <c:v>-8.6833101644401367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3B2-472B-9504-9EE25703F582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'курс 2022-2023 v1'!$A$9</c15:sqref>
                        </c15:formulaRef>
                      </c:ext>
                    </c:extLst>
                    <c:strCache>
                      <c:ptCount val="1"/>
                      <c:pt idx="0">
                        <c:v>Заливка верхний предел уверенности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'курс 2022-2023 v1'!$B$2:$Y$2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</c:v>
                      </c:pt>
                      <c:pt idx="13">
                        <c:v>2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5</c:v>
                      </c:pt>
                      <c:pt idx="17">
                        <c:v>6</c:v>
                      </c:pt>
                      <c:pt idx="18">
                        <c:v>7</c:v>
                      </c:pt>
                      <c:pt idx="19">
                        <c:v>8</c:v>
                      </c:pt>
                      <c:pt idx="20">
                        <c:v>9</c:v>
                      </c:pt>
                      <c:pt idx="21">
                        <c:v>10</c:v>
                      </c:pt>
                      <c:pt idx="22">
                        <c:v>11</c:v>
                      </c:pt>
                      <c:pt idx="23">
                        <c:v>12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'курс 2022-2023 v1'!$B$9:$Y$9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0.5</c:v>
                      </c:pt>
                      <c:pt idx="1">
                        <c:v>0.5</c:v>
                      </c:pt>
                      <c:pt idx="2">
                        <c:v>0.5</c:v>
                      </c:pt>
                      <c:pt idx="3">
                        <c:v>0.5</c:v>
                      </c:pt>
                      <c:pt idx="4">
                        <c:v>0.5</c:v>
                      </c:pt>
                      <c:pt idx="5">
                        <c:v>0.5</c:v>
                      </c:pt>
                      <c:pt idx="6">
                        <c:v>0.5</c:v>
                      </c:pt>
                      <c:pt idx="7">
                        <c:v>0.5</c:v>
                      </c:pt>
                      <c:pt idx="8">
                        <c:v>0.5</c:v>
                      </c:pt>
                      <c:pt idx="9">
                        <c:v>0.5</c:v>
                      </c:pt>
                      <c:pt idx="10">
                        <c:v>0.5</c:v>
                      </c:pt>
                      <c:pt idx="11">
                        <c:v>0.5</c:v>
                      </c:pt>
                      <c:pt idx="12">
                        <c:v>0.5</c:v>
                      </c:pt>
                      <c:pt idx="13">
                        <c:v>0.5</c:v>
                      </c:pt>
                      <c:pt idx="14">
                        <c:v>0.5</c:v>
                      </c:pt>
                      <c:pt idx="15">
                        <c:v>0.5</c:v>
                      </c:pt>
                      <c:pt idx="16">
                        <c:v>0.5</c:v>
                      </c:pt>
                      <c:pt idx="17">
                        <c:v>0.5</c:v>
                      </c:pt>
                      <c:pt idx="18">
                        <c:v>0.5</c:v>
                      </c:pt>
                      <c:pt idx="19">
                        <c:v>0.5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D3B2-472B-9504-9EE25703F582}"/>
                  </c:ext>
                </c:extLst>
              </c15:ser>
            </c15:filteredAreaSeries>
          </c:ext>
        </c:extLst>
      </c:areaChart>
      <c:barChart>
        <c:barDir val="col"/>
        <c:grouping val="clustered"/>
        <c:varyColors val="0"/>
        <c:ser>
          <c:idx val="0"/>
          <c:order val="0"/>
          <c:tx>
            <c:strRef>
              <c:f>'курс 2022-2023 v1'!$A$3</c:f>
              <c:strCache>
                <c:ptCount val="1"/>
                <c:pt idx="0">
                  <c:v>Сводное сальдо платежного баланса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13"/>
              <c:layout>
                <c:manualLayout>
                  <c:x val="-5.7083123382825739E-17"/>
                  <c:y val="9.534534534534533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3B2-472B-9504-9EE25703F582}"/>
                </c:ext>
              </c:extLst>
            </c:dLbl>
            <c:dLbl>
              <c:idx val="16"/>
              <c:layout>
                <c:manualLayout>
                  <c:x val="-4.0941658137154556E-3"/>
                  <c:y val="1.5325493456676104E-1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3B2-472B-9504-9EE25703F582}"/>
                </c:ext>
              </c:extLst>
            </c:dLbl>
            <c:dLbl>
              <c:idx val="18"/>
              <c:layout>
                <c:manualLayout>
                  <c:x val="-9.5530535653361622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3B2-472B-9504-9EE25703F582}"/>
                </c:ext>
              </c:extLst>
            </c:dLbl>
            <c:dLbl>
              <c:idx val="19"/>
              <c:layout>
                <c:manualLayout>
                  <c:x val="-4.0941658137154556E-3"/>
                  <c:y val="2.089864158829676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3B2-472B-9504-9EE25703F5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'курс 2022-2023 v1'!$B$1:$Y$2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'курс 2022-2023 v1'!$B$3:$Y$3</c:f>
              <c:numCache>
                <c:formatCode>0.0</c:formatCode>
                <c:ptCount val="24"/>
                <c:pt idx="0">
                  <c:v>1208</c:v>
                </c:pt>
                <c:pt idx="1">
                  <c:v>-856</c:v>
                </c:pt>
                <c:pt idx="2">
                  <c:v>2765</c:v>
                </c:pt>
                <c:pt idx="3">
                  <c:v>4021</c:v>
                </c:pt>
                <c:pt idx="4">
                  <c:v>1533</c:v>
                </c:pt>
                <c:pt idx="5">
                  <c:v>1688</c:v>
                </c:pt>
                <c:pt idx="6">
                  <c:v>2579</c:v>
                </c:pt>
                <c:pt idx="7">
                  <c:v>-1297</c:v>
                </c:pt>
                <c:pt idx="8">
                  <c:v>-609</c:v>
                </c:pt>
                <c:pt idx="9">
                  <c:v>-847</c:v>
                </c:pt>
                <c:pt idx="10">
                  <c:v>-355</c:v>
                </c:pt>
                <c:pt idx="11">
                  <c:v>1146.4890524503166</c:v>
                </c:pt>
                <c:pt idx="12">
                  <c:v>-232.99787369862486</c:v>
                </c:pt>
                <c:pt idx="13">
                  <c:v>-676.43982731900735</c:v>
                </c:pt>
                <c:pt idx="14">
                  <c:v>236.56588660407374</c:v>
                </c:pt>
                <c:pt idx="15">
                  <c:v>359.02079590516234</c:v>
                </c:pt>
                <c:pt idx="16">
                  <c:v>282.57177416106219</c:v>
                </c:pt>
                <c:pt idx="17">
                  <c:v>1627.2049399829514</c:v>
                </c:pt>
                <c:pt idx="18">
                  <c:v>850.64734420255854</c:v>
                </c:pt>
                <c:pt idx="19">
                  <c:v>1604.9295993719618</c:v>
                </c:pt>
                <c:pt idx="20">
                  <c:v>1981.3790423396867</c:v>
                </c:pt>
                <c:pt idx="21">
                  <c:v>1140.1944691993506</c:v>
                </c:pt>
                <c:pt idx="22">
                  <c:v>1277.5093975393313</c:v>
                </c:pt>
                <c:pt idx="23">
                  <c:v>2708.9606702932301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B2-472B-9504-9EE25703F582}"/>
            </c:ext>
          </c:extLst>
        </c:ser>
        <c:ser>
          <c:idx val="7"/>
          <c:order val="7"/>
          <c:tx>
            <c:strRef>
              <c:f>'курс 2022-2023 v1'!$A$4</c:f>
              <c:strCache>
                <c:ptCount val="1"/>
                <c:pt idx="0">
                  <c:v>Интервенции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18"/>
              <c:layout>
                <c:manualLayout>
                  <c:x val="2.7294438758102037E-3"/>
                  <c:y val="-7.6627467283380521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3B2-472B-9504-9EE25703F582}"/>
                </c:ext>
              </c:extLst>
            </c:dLbl>
            <c:dLbl>
              <c:idx val="19"/>
              <c:layout>
                <c:manualLayout>
                  <c:x val="5.4588877516205071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3B2-472B-9504-9EE25703F582}"/>
                </c:ext>
              </c:extLst>
            </c:dLbl>
            <c:dLbl>
              <c:idx val="20"/>
              <c:layout>
                <c:manualLayout>
                  <c:x val="5.4588877516206077E-3"/>
                  <c:y val="8.359456635318627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3B2-472B-9504-9EE25703F582}"/>
                </c:ext>
              </c:extLst>
            </c:dLbl>
            <c:dLbl>
              <c:idx val="21"/>
              <c:layout>
                <c:manualLayout>
                  <c:x val="8.1883316274309111E-3"/>
                  <c:y val="2.089864158829676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3B2-472B-9504-9EE25703F582}"/>
                </c:ext>
              </c:extLst>
            </c:dLbl>
            <c:dLbl>
              <c:idx val="22"/>
              <c:layout>
                <c:manualLayout>
                  <c:x val="6.8236096895256592E-3"/>
                  <c:y val="8.359456635318627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3B2-472B-9504-9EE25703F582}"/>
                </c:ext>
              </c:extLst>
            </c:dLbl>
            <c:dLbl>
              <c:idx val="23"/>
              <c:layout>
                <c:manualLayout>
                  <c:x val="5.4588877516206077E-3"/>
                  <c:y val="4.179728317659275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3B2-472B-9504-9EE25703F58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f>'курс 2022-2023 v1'!$B$1:$Y$2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'курс 2022-2023 v1'!$B$4:$Y$4</c:f>
              <c:numCache>
                <c:formatCode>0.0</c:formatCode>
                <c:ptCount val="24"/>
                <c:pt idx="0">
                  <c:v>-3082.1299999999997</c:v>
                </c:pt>
                <c:pt idx="1">
                  <c:v>-2431</c:v>
                </c:pt>
                <c:pt idx="2">
                  <c:v>-1668.97</c:v>
                </c:pt>
                <c:pt idx="3">
                  <c:v>-1370.3799999999999</c:v>
                </c:pt>
                <c:pt idx="4">
                  <c:v>-1927.6100000000001</c:v>
                </c:pt>
                <c:pt idx="5">
                  <c:v>-1797.8799999999999</c:v>
                </c:pt>
                <c:pt idx="6">
                  <c:v>-1932.92</c:v>
                </c:pt>
                <c:pt idx="7">
                  <c:v>-2364.23</c:v>
                </c:pt>
                <c:pt idx="8">
                  <c:v>-2691.4</c:v>
                </c:pt>
                <c:pt idx="9">
                  <c:v>-3337.4700000000003</c:v>
                </c:pt>
                <c:pt idx="10">
                  <c:v>-2452.8599999999997</c:v>
                </c:pt>
                <c:pt idx="11">
                  <c:v>-3553.0400000000004</c:v>
                </c:pt>
                <c:pt idx="12">
                  <c:v>-1810.4178166917461</c:v>
                </c:pt>
                <c:pt idx="13">
                  <c:v>-2843.7831373735075</c:v>
                </c:pt>
                <c:pt idx="14">
                  <c:v>-3272.3022309921439</c:v>
                </c:pt>
                <c:pt idx="15">
                  <c:v>-2101.5611664165344</c:v>
                </c:pt>
                <c:pt idx="16">
                  <c:v>-2680.1064577729621</c:v>
                </c:pt>
                <c:pt idx="17">
                  <c:v>-2494.0289130709571</c:v>
                </c:pt>
                <c:pt idx="18">
                  <c:v>-2451.0996047337517</c:v>
                </c:pt>
                <c:pt idx="19">
                  <c:v>-1005.1585914403573</c:v>
                </c:pt>
                <c:pt idx="20">
                  <c:v>-1739.8484822304677</c:v>
                </c:pt>
                <c:pt idx="21">
                  <c:v>-1354.104743012784</c:v>
                </c:pt>
                <c:pt idx="22">
                  <c:v>-1477.6948474954359</c:v>
                </c:pt>
                <c:pt idx="23">
                  <c:v>-1703.9523365588987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3B2-472B-9504-9EE25703F582}"/>
            </c:ext>
          </c:extLst>
        </c:ser>
        <c:ser>
          <c:idx val="9"/>
          <c:order val="9"/>
          <c:tx>
            <c:strRef>
              <c:f>'курс 2022-2023 v1'!$A$5</c:f>
              <c:strCache>
                <c:ptCount val="1"/>
                <c:pt idx="0">
                  <c:v>Интервенции (борьба с инфляцией)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'курс 2022-2023 v1'!$B$5:$Y$5</c:f>
              <c:numCache>
                <c:formatCode>0.0</c:formatCode>
                <c:ptCount val="24"/>
                <c:pt idx="0">
                  <c:v>-3082.1299999999997</c:v>
                </c:pt>
                <c:pt idx="1">
                  <c:v>-2431</c:v>
                </c:pt>
                <c:pt idx="2">
                  <c:v>-1668.97</c:v>
                </c:pt>
                <c:pt idx="3">
                  <c:v>-1370.3799999999999</c:v>
                </c:pt>
                <c:pt idx="4">
                  <c:v>-1927.6100000000001</c:v>
                </c:pt>
                <c:pt idx="5">
                  <c:v>-1797.8799999999999</c:v>
                </c:pt>
                <c:pt idx="6">
                  <c:v>-1932.92</c:v>
                </c:pt>
                <c:pt idx="7">
                  <c:v>-2364.23</c:v>
                </c:pt>
                <c:pt idx="8">
                  <c:v>-2691.4</c:v>
                </c:pt>
                <c:pt idx="9">
                  <c:v>-3337.4700000000003</c:v>
                </c:pt>
                <c:pt idx="10">
                  <c:v>-2452.8599999999997</c:v>
                </c:pt>
                <c:pt idx="11">
                  <c:v>-3553.0400000000004</c:v>
                </c:pt>
                <c:pt idx="12">
                  <c:v>-2112.1541194737038</c:v>
                </c:pt>
                <c:pt idx="13">
                  <c:v>-3317.7469936024254</c:v>
                </c:pt>
                <c:pt idx="14">
                  <c:v>-3817.6859361575016</c:v>
                </c:pt>
                <c:pt idx="15">
                  <c:v>-2389.1432207682706</c:v>
                </c:pt>
                <c:pt idx="16">
                  <c:v>-2962.2229270122216</c:v>
                </c:pt>
                <c:pt idx="17">
                  <c:v>-2887.8229519768984</c:v>
                </c:pt>
                <c:pt idx="18">
                  <c:v>-2838.1153317969761</c:v>
                </c:pt>
                <c:pt idx="19">
                  <c:v>-1163.8678427204138</c:v>
                </c:pt>
                <c:pt idx="20">
                  <c:v>-2014.5614004773838</c:v>
                </c:pt>
                <c:pt idx="21">
                  <c:v>-1567.9107550674344</c:v>
                </c:pt>
                <c:pt idx="22">
                  <c:v>-1711.0150865736628</c:v>
                </c:pt>
                <c:pt idx="23">
                  <c:v>-1972.9974423313565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D45-4D2F-9938-E7D534CE32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6438752"/>
        <c:axId val="516436128"/>
      </c:barChart>
      <c:lineChart>
        <c:grouping val="standard"/>
        <c:varyColors val="0"/>
        <c:ser>
          <c:idx val="2"/>
          <c:order val="3"/>
          <c:tx>
            <c:strRef>
              <c:f>'курс 2022-2023 v1'!$A$7</c:f>
              <c:strCache>
                <c:ptCount val="1"/>
                <c:pt idx="0">
                  <c:v>Обменный курс (борьба с инфляцией)</c:v>
                </c:pt>
              </c:strCache>
            </c:strRef>
          </c:tx>
          <c:spPr>
            <a:ln w="12700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D45-4D2F-9938-E7D534CE32E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D45-4D2F-9938-E7D534CE32E8}"/>
                </c:ext>
              </c:extLst>
            </c:dLbl>
            <c:dLbl>
              <c:idx val="2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D45-4D2F-9938-E7D534CE32E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8D45-4D2F-9938-E7D534CE32E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D45-4D2F-9938-E7D534CE32E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D45-4D2F-9938-E7D534CE32E8}"/>
                </c:ext>
              </c:extLst>
            </c:dLbl>
            <c:dLbl>
              <c:idx val="6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D45-4D2F-9938-E7D534CE32E8}"/>
                </c:ext>
              </c:extLst>
            </c:dLbl>
            <c:dLbl>
              <c:idx val="7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D45-4D2F-9938-E7D534CE32E8}"/>
                </c:ext>
              </c:extLst>
            </c:dLbl>
            <c:dLbl>
              <c:idx val="8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D45-4D2F-9938-E7D534CE32E8}"/>
                </c:ext>
              </c:extLst>
            </c:dLbl>
            <c:dLbl>
              <c:idx val="9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D45-4D2F-9938-E7D534CE32E8}"/>
                </c:ext>
              </c:extLst>
            </c:dLbl>
            <c:dLbl>
              <c:idx val="10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D45-4D2F-9938-E7D534CE32E8}"/>
                </c:ext>
              </c:extLst>
            </c:dLbl>
            <c:dLbl>
              <c:idx val="11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D45-4D2F-9938-E7D534CE32E8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3B2-472B-9504-9EE25703F582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3B2-472B-9504-9EE25703F582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D3B2-472B-9504-9EE25703F582}"/>
                </c:ext>
              </c:extLst>
            </c:dLbl>
            <c:dLbl>
              <c:idx val="16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D3B2-472B-9504-9EE25703F582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D3B2-472B-9504-9EE25703F582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D3B2-472B-9504-9EE25703F582}"/>
                </c:ext>
              </c:extLst>
            </c:dLbl>
            <c:dLbl>
              <c:idx val="19"/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D3B2-472B-9504-9EE25703F582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D3B2-472B-9504-9EE25703F582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D3B2-472B-9504-9EE25703F582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D3B2-472B-9504-9EE25703F582}"/>
                </c:ext>
              </c:extLst>
            </c:dLbl>
            <c:dLbl>
              <c:idx val="23"/>
              <c:layout>
                <c:manualLayout>
                  <c:x val="-3.3815828184760338E-2"/>
                  <c:y val="-3.63708708708708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D3B2-472B-9504-9EE25703F582}"/>
                </c:ext>
              </c:extLst>
            </c:dLbl>
            <c:spPr>
              <a:solidFill>
                <a:schemeClr val="bg1"/>
              </a:solidFill>
              <a:ln w="6350">
                <a:solidFill>
                  <a:schemeClr val="accent3">
                    <a:lumMod val="50000"/>
                  </a:schemeClr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3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'курс 2022-2023 v1'!$B$2:$Y$2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</c:numCache>
            </c:numRef>
          </c:cat>
          <c:val>
            <c:numRef>
              <c:f>'курс 2022-2023 v1'!$B$7:$Y$7</c:f>
              <c:numCache>
                <c:formatCode>0.00</c:formatCode>
                <c:ptCount val="24"/>
                <c:pt idx="0">
                  <c:v>36.568600000000032</c:v>
                </c:pt>
                <c:pt idx="1">
                  <c:v>36.568600000000025</c:v>
                </c:pt>
                <c:pt idx="2">
                  <c:v>36.568600000000032</c:v>
                </c:pt>
                <c:pt idx="3">
                  <c:v>36.568600000000032</c:v>
                </c:pt>
                <c:pt idx="4">
                  <c:v>36.568600000000032</c:v>
                </c:pt>
                <c:pt idx="5">
                  <c:v>36.568600000000032</c:v>
                </c:pt>
                <c:pt idx="6">
                  <c:v>36.568600000000032</c:v>
                </c:pt>
                <c:pt idx="7">
                  <c:v>36.568600000000032</c:v>
                </c:pt>
                <c:pt idx="8">
                  <c:v>36.568600000000032</c:v>
                </c:pt>
                <c:pt idx="9">
                  <c:v>36.51895161290323</c:v>
                </c:pt>
                <c:pt idx="10">
                  <c:v>36.155420000000007</c:v>
                </c:pt>
                <c:pt idx="11">
                  <c:v>37.093925806451622</c:v>
                </c:pt>
                <c:pt idx="12">
                  <c:v>36.859563586098119</c:v>
                </c:pt>
                <c:pt idx="13">
                  <c:v>36.525234794543294</c:v>
                </c:pt>
                <c:pt idx="14">
                  <c:v>36.1429222755513</c:v>
                </c:pt>
                <c:pt idx="15">
                  <c:v>35.724636904952789</c:v>
                </c:pt>
                <c:pt idx="16">
                  <c:v>35.384156903197777</c:v>
                </c:pt>
                <c:pt idx="17">
                  <c:v>34.736690843998197</c:v>
                </c:pt>
                <c:pt idx="18">
                  <c:v>34.140457376264138</c:v>
                </c:pt>
                <c:pt idx="19">
                  <c:v>33.922234506476528</c:v>
                </c:pt>
                <c:pt idx="20">
                  <c:v>33.566259731227817</c:v>
                </c:pt>
                <c:pt idx="21">
                  <c:v>33.309266805541682</c:v>
                </c:pt>
                <c:pt idx="22">
                  <c:v>33.035183111278116</c:v>
                </c:pt>
                <c:pt idx="23">
                  <c:v>32.719304661752112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3B2-472B-9504-9EE25703F582}"/>
            </c:ext>
          </c:extLst>
        </c:ser>
        <c:ser>
          <c:idx val="1"/>
          <c:order val="4"/>
          <c:tx>
            <c:strRef>
              <c:f>'курс 2022-2023 v1'!$A$6</c:f>
              <c:strCache>
                <c:ptCount val="1"/>
                <c:pt idx="0">
                  <c:v>Обменный курс</c:v>
                </c:pt>
              </c:strCache>
              <c:extLst xmlns:c15="http://schemas.microsoft.com/office/drawing/2012/chart"/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D45-4D2F-9938-E7D534CE32E8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D45-4D2F-9938-E7D534CE32E8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D45-4D2F-9938-E7D534CE32E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D45-4D2F-9938-E7D534CE32E8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D45-4D2F-9938-E7D534CE32E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D45-4D2F-9938-E7D534CE32E8}"/>
                </c:ext>
              </c:extLst>
            </c:dLbl>
            <c:dLbl>
              <c:idx val="6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D45-4D2F-9938-E7D534CE32E8}"/>
                </c:ext>
              </c:extLst>
            </c:dLbl>
            <c:dLbl>
              <c:idx val="7"/>
              <c:layout>
                <c:manualLayout>
                  <c:x val="-3.9588114151220946E-2"/>
                  <c:y val="-4.06865615615616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D45-4D2F-9938-E7D534CE32E8}"/>
                </c:ext>
              </c:extLst>
            </c:dLbl>
            <c:dLbl>
              <c:idx val="8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D45-4D2F-9938-E7D534CE32E8}"/>
                </c:ext>
              </c:extLst>
            </c:dLbl>
            <c:dLbl>
              <c:idx val="9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D45-4D2F-9938-E7D534CE32E8}"/>
                </c:ext>
              </c:extLst>
            </c:dLbl>
            <c:dLbl>
              <c:idx val="10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D45-4D2F-9938-E7D534CE32E8}"/>
                </c:ext>
              </c:extLst>
            </c:dLbl>
            <c:dLbl>
              <c:idx val="11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D45-4D2F-9938-E7D534CE32E8}"/>
                </c:ext>
              </c:extLst>
            </c:dLbl>
            <c:dLbl>
              <c:idx val="12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C-D3B2-472B-9504-9EE25703F582}"/>
                </c:ext>
              </c:extLst>
            </c:dLbl>
            <c:dLbl>
              <c:idx val="14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D3B2-472B-9504-9EE25703F582}"/>
                </c:ext>
              </c:extLst>
            </c:dLbl>
            <c:dLbl>
              <c:idx val="15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D3B2-472B-9504-9EE25703F582}"/>
                </c:ext>
              </c:extLst>
            </c:dLbl>
            <c:dLbl>
              <c:idx val="17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D3B2-472B-9504-9EE25703F582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D3B2-472B-9504-9EE25703F582}"/>
                </c:ext>
              </c:extLst>
            </c:dLbl>
            <c:dLbl>
              <c:idx val="20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D3B2-472B-9504-9EE25703F582}"/>
                </c:ext>
              </c:extLst>
            </c:dLbl>
            <c:dLbl>
              <c:idx val="2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D3B2-472B-9504-9EE25703F582}"/>
                </c:ext>
              </c:extLst>
            </c:dLbl>
            <c:dLbl>
              <c:idx val="22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D3B2-472B-9504-9EE25703F582}"/>
                </c:ext>
              </c:extLst>
            </c:dLbl>
            <c:dLbl>
              <c:idx val="23"/>
              <c:layout>
                <c:manualLayout>
                  <c:x val="-4.8619937236442208E-2"/>
                  <c:y val="-4.12725225225225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D3B2-472B-9504-9EE25703F582}"/>
                </c:ext>
              </c:extLst>
            </c:dLbl>
            <c:spPr>
              <a:solidFill>
                <a:schemeClr val="bg1"/>
              </a:solidFill>
              <a:ln w="6350">
                <a:solidFill>
                  <a:schemeClr val="accent5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'курс 2022-2023 v1'!$B$2:$Y$2</c:f>
              <c:numCache>
                <c:formatCode>General</c:formatCode>
                <c:ptCount val="2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5</c:v>
                </c:pt>
                <c:pt idx="17">
                  <c:v>6</c:v>
                </c:pt>
                <c:pt idx="18">
                  <c:v>7</c:v>
                </c:pt>
                <c:pt idx="19">
                  <c:v>8</c:v>
                </c:pt>
                <c:pt idx="20">
                  <c:v>9</c:v>
                </c:pt>
                <c:pt idx="21">
                  <c:v>10</c:v>
                </c:pt>
                <c:pt idx="22">
                  <c:v>11</c:v>
                </c:pt>
                <c:pt idx="23">
                  <c:v>12</c:v>
                </c:pt>
              </c:numCache>
            </c:numRef>
          </c:cat>
          <c:val>
            <c:numRef>
              <c:f>'курс 2022-2023 v1'!$B$6:$Y$6</c:f>
              <c:numCache>
                <c:formatCode>0.00</c:formatCode>
                <c:ptCount val="24"/>
                <c:pt idx="0">
                  <c:v>36.568600000000032</c:v>
                </c:pt>
                <c:pt idx="1">
                  <c:v>36.568600000000025</c:v>
                </c:pt>
                <c:pt idx="2">
                  <c:v>36.568600000000032</c:v>
                </c:pt>
                <c:pt idx="3">
                  <c:v>36.568600000000032</c:v>
                </c:pt>
                <c:pt idx="4">
                  <c:v>36.568600000000032</c:v>
                </c:pt>
                <c:pt idx="5">
                  <c:v>36.568600000000032</c:v>
                </c:pt>
                <c:pt idx="6">
                  <c:v>36.568600000000032</c:v>
                </c:pt>
                <c:pt idx="7">
                  <c:v>36.568600000000032</c:v>
                </c:pt>
                <c:pt idx="8">
                  <c:v>36.568600000000032</c:v>
                </c:pt>
                <c:pt idx="9">
                  <c:v>36.51895161290323</c:v>
                </c:pt>
                <c:pt idx="10">
                  <c:v>36.155420000000007</c:v>
                </c:pt>
                <c:pt idx="11">
                  <c:v>37.093925806451622</c:v>
                </c:pt>
                <c:pt idx="12">
                  <c:v>37.572233277496139</c:v>
                </c:pt>
                <c:pt idx="13">
                  <c:v>38.27478587846511</c:v>
                </c:pt>
                <c:pt idx="14">
                  <c:v>39.105806424374762</c:v>
                </c:pt>
                <c:pt idx="15">
                  <c:v>39.395705147134706</c:v>
                </c:pt>
                <c:pt idx="16">
                  <c:v>39.781047044824604</c:v>
                </c:pt>
                <c:pt idx="17">
                  <c:v>40.158399481375852</c:v>
                </c:pt>
                <c:pt idx="18">
                  <c:v>40.515635176768157</c:v>
                </c:pt>
                <c:pt idx="19">
                  <c:v>40.64772687713463</c:v>
                </c:pt>
                <c:pt idx="20">
                  <c:v>40.86685760056217</c:v>
                </c:pt>
                <c:pt idx="21">
                  <c:v>41.027007871865493</c:v>
                </c:pt>
                <c:pt idx="22">
                  <c:v>41.200074709472133</c:v>
                </c:pt>
                <c:pt idx="23">
                  <c:v>41.402614826192249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8-D3B2-472B-9504-9EE25703F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445312"/>
        <c:axId val="516452528"/>
        <c:extLst>
          <c:ext xmlns:c15="http://schemas.microsoft.com/office/drawing/2012/chart" uri="{02D57815-91ED-43cb-92C2-25804820EDAC}">
            <c15:filteredLine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'курс 2022-2023 v1'!$A$9</c15:sqref>
                        </c15:formulaRef>
                      </c:ext>
                    </c:extLst>
                    <c:strCache>
                      <c:ptCount val="1"/>
                      <c:pt idx="0">
                        <c:v>Заливка верхний предел уверенности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'курс 2022-2023 v1'!$B$2:$Y$2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</c:v>
                      </c:pt>
                      <c:pt idx="13">
                        <c:v>2</c:v>
                      </c:pt>
                      <c:pt idx="14">
                        <c:v>3</c:v>
                      </c:pt>
                      <c:pt idx="15">
                        <c:v>4</c:v>
                      </c:pt>
                      <c:pt idx="16">
                        <c:v>5</c:v>
                      </c:pt>
                      <c:pt idx="17">
                        <c:v>6</c:v>
                      </c:pt>
                      <c:pt idx="18">
                        <c:v>7</c:v>
                      </c:pt>
                      <c:pt idx="19">
                        <c:v>8</c:v>
                      </c:pt>
                      <c:pt idx="20">
                        <c:v>9</c:v>
                      </c:pt>
                      <c:pt idx="21">
                        <c:v>10</c:v>
                      </c:pt>
                      <c:pt idx="22">
                        <c:v>11</c:v>
                      </c:pt>
                      <c:pt idx="23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'курс 2022-2023 v1'!$B$10:$Y$10</c15:sqref>
                        </c15:formulaRef>
                      </c:ext>
                    </c:extLst>
                    <c:numCache>
                      <c:formatCode>General</c:formatCode>
                      <c:ptCount val="2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-0.71266969139801972</c:v>
                      </c:pt>
                      <c:pt idx="13">
                        <c:v>-1.7495510839218156</c:v>
                      </c:pt>
                      <c:pt idx="14">
                        <c:v>-2.9628841488234627</c:v>
                      </c:pt>
                      <c:pt idx="15">
                        <c:v>-3.6710682421819172</c:v>
                      </c:pt>
                      <c:pt idx="16">
                        <c:v>-4.3968901416268267</c:v>
                      </c:pt>
                      <c:pt idx="17">
                        <c:v>-5.4217086373776553</c:v>
                      </c:pt>
                      <c:pt idx="18">
                        <c:v>-6.3751778005040194</c:v>
                      </c:pt>
                      <c:pt idx="19">
                        <c:v>-6.7254923706581025</c:v>
                      </c:pt>
                      <c:pt idx="20">
                        <c:v>-7.3005978693343536</c:v>
                      </c:pt>
                      <c:pt idx="21">
                        <c:v>-7.7177410663238106</c:v>
                      </c:pt>
                      <c:pt idx="22">
                        <c:v>-8.1648915981940178</c:v>
                      </c:pt>
                      <c:pt idx="23">
                        <c:v>-8.6833101644401367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A-D3B2-472B-9504-9EE25703F582}"/>
                  </c:ext>
                </c:extLst>
              </c15:ser>
            </c15:filteredLineSeries>
          </c:ext>
        </c:extLst>
      </c:lineChart>
      <c:catAx>
        <c:axId val="51643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317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36128"/>
        <c:crosses val="autoZero"/>
        <c:auto val="1"/>
        <c:lblAlgn val="ctr"/>
        <c:lblOffset val="100"/>
        <c:noMultiLvlLbl val="0"/>
      </c:catAx>
      <c:valAx>
        <c:axId val="516436128"/>
        <c:scaling>
          <c:orientation val="minMax"/>
          <c:max val="12000"/>
          <c:min val="-8000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38752"/>
        <c:crosses val="autoZero"/>
        <c:crossBetween val="between"/>
        <c:majorUnit val="4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516452528"/>
        <c:scaling>
          <c:orientation val="minMax"/>
          <c:min val="24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accent5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45312"/>
        <c:crosses val="max"/>
        <c:crossBetween val="between"/>
      </c:valAx>
      <c:catAx>
        <c:axId val="516445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6452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2.729479258605472E-3"/>
          <c:y val="9.4588963963963962E-2"/>
          <c:w val="0.99727052074139455"/>
          <c:h val="0.1702346096096096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5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Чарти!$G$47</c:f>
          <c:strCache>
            <c:ptCount val="1"/>
            <c:pt idx="0">
              <c:v>Прямые иностранные инвестиции (сальдо), $ млрд</c:v>
            </c:pt>
          </c:strCache>
        </c:strRef>
      </c:tx>
      <c:layout>
        <c:manualLayout>
          <c:xMode val="edge"/>
          <c:yMode val="edge"/>
          <c:x val="4.1666666666668252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747774667958829E-2"/>
          <c:y val="0.240829924418407"/>
          <c:w val="0.90795118694606092"/>
          <c:h val="0.563359619677538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'окремі статті'!$A$2</c:f>
              <c:strCache>
                <c:ptCount val="1"/>
                <c:pt idx="0">
                  <c:v>Прямі інвестиції (сальдо)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42B-4442-8371-0B28FDAFC043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42B-4442-8371-0B28FDAFC043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42B-4442-8371-0B28FDAFC043}"/>
              </c:ext>
            </c:extLst>
          </c:dPt>
          <c:dLbls>
            <c:dLbl>
              <c:idx val="1"/>
              <c:layout>
                <c:manualLayout>
                  <c:x val="-3.2854162700022352E-3"/>
                  <c:y val="4.7886399885374256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42B-4442-8371-0B28FDAFC043}"/>
                </c:ext>
              </c:extLst>
            </c:dLbl>
            <c:dLbl>
              <c:idx val="2"/>
              <c:layout>
                <c:manualLayout>
                  <c:x val="0"/>
                  <c:y val="2.394319994268714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42B-4442-8371-0B28FDAFC043}"/>
                </c:ext>
              </c:extLst>
            </c:dLbl>
            <c:dLbl>
              <c:idx val="11"/>
              <c:layout>
                <c:manualLayout>
                  <c:x val="0"/>
                  <c:y val="3.591479991403068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42B-4442-8371-0B28FDAFC04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'окремі статті'!$B$1:$P$1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  <c:pt idx="14">
                  <c:v>2024F</c:v>
                </c:pt>
              </c:strCache>
            </c:strRef>
          </c:cat>
          <c:val>
            <c:numRef>
              <c:f>'окремі статті'!$B$2:$P$2</c:f>
              <c:numCache>
                <c:formatCode>#,##0</c:formatCode>
                <c:ptCount val="15"/>
                <c:pt idx="0">
                  <c:v>5759</c:v>
                </c:pt>
                <c:pt idx="1">
                  <c:v>7015</c:v>
                </c:pt>
                <c:pt idx="2">
                  <c:v>7195</c:v>
                </c:pt>
                <c:pt idx="3">
                  <c:v>4079</c:v>
                </c:pt>
                <c:pt idx="4">
                  <c:v>299</c:v>
                </c:pt>
                <c:pt idx="5">
                  <c:v>-236</c:v>
                </c:pt>
                <c:pt idx="6">
                  <c:v>3955</c:v>
                </c:pt>
                <c:pt idx="7">
                  <c:v>3446</c:v>
                </c:pt>
                <c:pt idx="8">
                  <c:v>4859</c:v>
                </c:pt>
                <c:pt idx="9">
                  <c:v>5175</c:v>
                </c:pt>
                <c:pt idx="10">
                  <c:v>-58</c:v>
                </c:pt>
                <c:pt idx="11">
                  <c:v>7518</c:v>
                </c:pt>
                <c:pt idx="12">
                  <c:v>504</c:v>
                </c:pt>
                <c:pt idx="13">
                  <c:v>4694.1087013022179</c:v>
                </c:pt>
                <c:pt idx="14">
                  <c:v>4926.1653957529552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2B-4442-8371-0B28FDAFC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6008719"/>
        <c:axId val="756002479"/>
      </c:barChart>
      <c:catAx>
        <c:axId val="756008719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2479"/>
        <c:crosses val="autoZero"/>
        <c:auto val="1"/>
        <c:lblAlgn val="ctr"/>
        <c:lblOffset val="100"/>
        <c:noMultiLvlLbl val="0"/>
      </c:catAx>
      <c:valAx>
        <c:axId val="75600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871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Чарти!$G$48</c:f>
          <c:strCache>
            <c:ptCount val="1"/>
            <c:pt idx="0">
              <c:v>Торговые кредиты пассивы, $ млрд</c:v>
            </c:pt>
          </c:strCache>
        </c:strRef>
      </c:tx>
      <c:layout>
        <c:manualLayout>
          <c:xMode val="edge"/>
          <c:yMode val="edge"/>
          <c:x val="4.1666309266945881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spc="0" baseline="0">
              <a:solidFill>
                <a:schemeClr val="accent4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966706876879401E-2"/>
          <c:y val="0.23119935724598148"/>
          <c:w val="0.90073225473714036"/>
          <c:h val="0.57176338091420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'окремі статті'!$A$3</c:f>
              <c:strCache>
                <c:ptCount val="1"/>
                <c:pt idx="0">
                  <c:v>Торгові кредити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3C3-470B-9186-F5D9BBCB6B4D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3C3-470B-9186-F5D9BBCB6B4D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3C3-470B-9186-F5D9BBCB6B4D}"/>
              </c:ext>
            </c:extLst>
          </c:dPt>
          <c:dLbls>
            <c:dLbl>
              <c:idx val="0"/>
              <c:layout>
                <c:manualLayout>
                  <c:x val="0"/>
                  <c:y val="4.694544994164161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3C3-470B-9186-F5D9BBCB6B4D}"/>
                </c:ext>
              </c:extLst>
            </c:dLbl>
            <c:dLbl>
              <c:idx val="1"/>
              <c:layout>
                <c:manualLayout>
                  <c:x val="0"/>
                  <c:y val="5.868181242705203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C3-470B-9186-F5D9BBCB6B4D}"/>
                </c:ext>
              </c:extLst>
            </c:dLbl>
            <c:dLbl>
              <c:idx val="2"/>
              <c:layout>
                <c:manualLayout>
                  <c:x val="0"/>
                  <c:y val="5.868181242705203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3C3-470B-9186-F5D9BBCB6B4D}"/>
                </c:ext>
              </c:extLst>
            </c:dLbl>
            <c:dLbl>
              <c:idx val="3"/>
              <c:layout>
                <c:manualLayout>
                  <c:x val="3.301073784717484E-3"/>
                  <c:y val="4.6945449941641633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C3-470B-9186-F5D9BBCB6B4D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'окремі статті'!$B$1:$P$1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  <c:pt idx="14">
                  <c:v>2024F</c:v>
                </c:pt>
              </c:strCache>
            </c:strRef>
          </c:cat>
          <c:val>
            <c:numRef>
              <c:f>'окремі статті'!$B$3:$P$3</c:f>
              <c:numCache>
                <c:formatCode>#,##0</c:formatCode>
                <c:ptCount val="15"/>
                <c:pt idx="0">
                  <c:v>3087</c:v>
                </c:pt>
                <c:pt idx="1">
                  <c:v>4081</c:v>
                </c:pt>
                <c:pt idx="2">
                  <c:v>2602</c:v>
                </c:pt>
                <c:pt idx="3">
                  <c:v>3898</c:v>
                </c:pt>
                <c:pt idx="4">
                  <c:v>-6646</c:v>
                </c:pt>
                <c:pt idx="5">
                  <c:v>-1727</c:v>
                </c:pt>
                <c:pt idx="6">
                  <c:v>600</c:v>
                </c:pt>
                <c:pt idx="7">
                  <c:v>1599</c:v>
                </c:pt>
                <c:pt idx="8">
                  <c:v>1104</c:v>
                </c:pt>
                <c:pt idx="9">
                  <c:v>2422</c:v>
                </c:pt>
                <c:pt idx="10">
                  <c:v>2411</c:v>
                </c:pt>
                <c:pt idx="11">
                  <c:v>-369</c:v>
                </c:pt>
                <c:pt idx="12">
                  <c:v>-1321</c:v>
                </c:pt>
                <c:pt idx="13">
                  <c:v>410</c:v>
                </c:pt>
                <c:pt idx="14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3C3-470B-9186-F5D9BBCB6B4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6008719"/>
        <c:axId val="756002479"/>
      </c:barChart>
      <c:catAx>
        <c:axId val="75600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2479"/>
        <c:crosses val="autoZero"/>
        <c:auto val="1"/>
        <c:lblAlgn val="ctr"/>
        <c:lblOffset val="100"/>
        <c:noMultiLvlLbl val="0"/>
      </c:catAx>
      <c:valAx>
        <c:axId val="756002479"/>
        <c:scaling>
          <c:orientation val="minMax"/>
          <c:max val="8000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871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Чарти!$G$49</c:f>
          <c:strCache>
            <c:ptCount val="1"/>
            <c:pt idx="0">
              <c:v>Полученные кредиты, $ млрд</c:v>
            </c:pt>
          </c:strCache>
        </c:strRef>
      </c:tx>
      <c:layout>
        <c:manualLayout>
          <c:xMode val="edge"/>
          <c:yMode val="edge"/>
          <c:x val="4.1666666666668252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spc="0" baseline="0"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747774667958829E-2"/>
          <c:y val="0.2423390021691213"/>
          <c:w val="0.90795118694606092"/>
          <c:h val="0.560623563165461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'окремі статті'!$A$4</c:f>
              <c:strCache>
                <c:ptCount val="1"/>
                <c:pt idx="0">
                  <c:v>Кредити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6D54-460A-8068-DC76C70FE2D8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6D54-460A-8068-DC76C70FE2D8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6D54-460A-8068-DC76C70FE2D8}"/>
              </c:ext>
            </c:extLst>
          </c:dPt>
          <c:dLbls>
            <c:dLbl>
              <c:idx val="2"/>
              <c:layout>
                <c:manualLayout>
                  <c:x val="-3.0115967906122673E-17"/>
                  <c:y val="5.868170396882381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D54-460A-8068-DC76C70FE2D8}"/>
                </c:ext>
              </c:extLst>
            </c:dLbl>
            <c:dLbl>
              <c:idx val="3"/>
              <c:layout>
                <c:manualLayout>
                  <c:x val="6.57083254000444E-3"/>
                  <c:y val="4.6945363175059075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D54-460A-8068-DC76C70FE2D8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'окремі статті'!$B$1:$P$1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  <c:pt idx="14">
                  <c:v>2024F</c:v>
                </c:pt>
              </c:strCache>
            </c:strRef>
          </c:cat>
          <c:val>
            <c:numRef>
              <c:f>'окремі статті'!$B$4:$P$4</c:f>
              <c:numCache>
                <c:formatCode>#,##0</c:formatCode>
                <c:ptCount val="15"/>
                <c:pt idx="0">
                  <c:v>4603</c:v>
                </c:pt>
                <c:pt idx="1">
                  <c:v>5952</c:v>
                </c:pt>
                <c:pt idx="2">
                  <c:v>7748</c:v>
                </c:pt>
                <c:pt idx="3">
                  <c:v>1834</c:v>
                </c:pt>
                <c:pt idx="4">
                  <c:v>-254</c:v>
                </c:pt>
                <c:pt idx="5">
                  <c:v>-1453</c:v>
                </c:pt>
                <c:pt idx="6">
                  <c:v>-236</c:v>
                </c:pt>
                <c:pt idx="7">
                  <c:v>297</c:v>
                </c:pt>
                <c:pt idx="8">
                  <c:v>1086</c:v>
                </c:pt>
                <c:pt idx="9">
                  <c:v>1342</c:v>
                </c:pt>
                <c:pt idx="10">
                  <c:v>-287</c:v>
                </c:pt>
                <c:pt idx="11">
                  <c:v>352</c:v>
                </c:pt>
                <c:pt idx="12">
                  <c:v>741</c:v>
                </c:pt>
                <c:pt idx="13">
                  <c:v>784.30429602666663</c:v>
                </c:pt>
                <c:pt idx="14">
                  <c:v>1184.67674371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D54-460A-8068-DC76C70FE2D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6008719"/>
        <c:axId val="756002479"/>
      </c:barChart>
      <c:catAx>
        <c:axId val="756008719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2479"/>
        <c:crosses val="autoZero"/>
        <c:auto val="1"/>
        <c:lblAlgn val="ctr"/>
        <c:lblOffset val="100"/>
        <c:noMultiLvlLbl val="0"/>
      </c:catAx>
      <c:valAx>
        <c:axId val="75600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871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641217347252311E-2"/>
          <c:y val="0.13559595202090596"/>
          <c:w val="0.71191379817593414"/>
          <c:h val="0.77088099543381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'Готівкова валюта поза банками'!$A$3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3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'Готівкова валюта поза банками'!$B$2:$M$2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'Готівкова валюта поза банками'!$B$3:$M$3</c:f>
              <c:numCache>
                <c:formatCode>0.0</c:formatCode>
                <c:ptCount val="12"/>
                <c:pt idx="0">
                  <c:v>0.52300000000000002</c:v>
                </c:pt>
                <c:pt idx="1">
                  <c:v>0.56999999999999995</c:v>
                </c:pt>
                <c:pt idx="2">
                  <c:v>0.28999999999999998</c:v>
                </c:pt>
                <c:pt idx="3">
                  <c:v>0.16900000000000001</c:v>
                </c:pt>
                <c:pt idx="4">
                  <c:v>0.30599999999999999</c:v>
                </c:pt>
                <c:pt idx="5">
                  <c:v>0.19600000000000001</c:v>
                </c:pt>
                <c:pt idx="6">
                  <c:v>0.19400000000000001</c:v>
                </c:pt>
                <c:pt idx="7">
                  <c:v>0.64700000000000002</c:v>
                </c:pt>
                <c:pt idx="8">
                  <c:v>0.499</c:v>
                </c:pt>
                <c:pt idx="9">
                  <c:v>0.53600000000000003</c:v>
                </c:pt>
                <c:pt idx="10">
                  <c:v>0.82399999999999995</c:v>
                </c:pt>
                <c:pt idx="11">
                  <c:v>0.36699999999999999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05-4EF0-904B-B4183675CADF}"/>
            </c:ext>
          </c:extLst>
        </c:ser>
        <c:ser>
          <c:idx val="1"/>
          <c:order val="1"/>
          <c:tx>
            <c:strRef>
              <c:f>'Готівкова валюта поза банками'!$A$4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'Готівкова валюта поза банками'!$B$2:$M$2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'Готівкова валюта поза банками'!$B$4:$M$4</c:f>
              <c:numCache>
                <c:formatCode>0.0</c:formatCode>
                <c:ptCount val="12"/>
                <c:pt idx="0">
                  <c:v>0.80900000000000005</c:v>
                </c:pt>
                <c:pt idx="1">
                  <c:v>0.94299999999999995</c:v>
                </c:pt>
                <c:pt idx="2">
                  <c:v>0.74299999999999999</c:v>
                </c:pt>
                <c:pt idx="3">
                  <c:v>0.86799999999999999</c:v>
                </c:pt>
                <c:pt idx="4">
                  <c:v>1.1100000000000001</c:v>
                </c:pt>
                <c:pt idx="5">
                  <c:v>0.76800000000000002</c:v>
                </c:pt>
                <c:pt idx="6">
                  <c:v>0.77900000000000003</c:v>
                </c:pt>
                <c:pt idx="7">
                  <c:v>0.77400000000000002</c:v>
                </c:pt>
                <c:pt idx="8">
                  <c:v>1.0900000000000001</c:v>
                </c:pt>
                <c:pt idx="9">
                  <c:v>0.876</c:v>
                </c:pt>
                <c:pt idx="10">
                  <c:v>0.66600000000000004</c:v>
                </c:pt>
                <c:pt idx="11">
                  <c:v>0.86099999999999999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05-4EF0-904B-B4183675CADF}"/>
            </c:ext>
          </c:extLst>
        </c:ser>
        <c:ser>
          <c:idx val="2"/>
          <c:order val="2"/>
          <c:tx>
            <c:strRef>
              <c:f>'Готівкова валюта поза банками'!$A$5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4.0959624882939867E-3"/>
                  <c:y val="-1.46356023126556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405-4EF0-904B-B4183675CADF}"/>
                </c:ext>
              </c:extLst>
            </c:dLbl>
            <c:dLbl>
              <c:idx val="11"/>
              <c:layout>
                <c:manualLayout>
                  <c:x val="3.1136608806511721E-3"/>
                  <c:y val="9.53453453453444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405-4EF0-904B-B4183675CA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'Готівкова валюта поза банками'!$B$2:$M$2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'Готівкова валюта поза банками'!$B$5:$M$5</c:f>
              <c:numCache>
                <c:formatCode>0.0</c:formatCode>
                <c:ptCount val="12"/>
                <c:pt idx="0">
                  <c:v>1.012</c:v>
                </c:pt>
                <c:pt idx="1">
                  <c:v>1.044</c:v>
                </c:pt>
                <c:pt idx="2">
                  <c:v>1.2</c:v>
                </c:pt>
                <c:pt idx="3">
                  <c:v>1.04</c:v>
                </c:pt>
                <c:pt idx="4">
                  <c:v>1.0780000000000001</c:v>
                </c:pt>
                <c:pt idx="5">
                  <c:v>0.751</c:v>
                </c:pt>
                <c:pt idx="6">
                  <c:v>0.55700000000000005</c:v>
                </c:pt>
                <c:pt idx="7">
                  <c:v>0.65500000000000003</c:v>
                </c:pt>
                <c:pt idx="8">
                  <c:v>0.77100000000000002</c:v>
                </c:pt>
                <c:pt idx="9">
                  <c:v>1.0900000000000001</c:v>
                </c:pt>
                <c:pt idx="10">
                  <c:v>1.1140000000000001</c:v>
                </c:pt>
                <c:pt idx="11">
                  <c:v>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05-4EF0-904B-B4183675C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overlap val="-90"/>
        <c:axId val="2046168143"/>
        <c:axId val="2046169807"/>
      </c:barChart>
      <c:catAx>
        <c:axId val="204616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69807"/>
        <c:crosses val="autoZero"/>
        <c:auto val="1"/>
        <c:lblAlgn val="ctr"/>
        <c:lblOffset val="100"/>
        <c:noMultiLvlLbl val="0"/>
      </c:catAx>
      <c:valAx>
        <c:axId val="2046169807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6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970873786407765"/>
          <c:y val="0.21959044924279242"/>
          <c:w val="0.19061169951946652"/>
          <c:h val="0.55814435007273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312438544739436E-2"/>
          <c:y val="0.11493993993993994"/>
          <c:w val="0.50432645034414947"/>
          <c:h val="0.770120120120120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7CE-4CBC-BC3C-89AA7BB22F0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7CE-4CBC-BC3C-89AA7BB22F0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7CE-4CBC-BC3C-89AA7BB22F0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'залучення кругові'!$A$3:$A$5</c:f>
              <c:strCache>
                <c:ptCount val="3"/>
                <c:pt idx="0">
                  <c:v>Внешнее финансирование</c:v>
                </c:pt>
                <c:pt idx="1">
                  <c:v>Гранты</c:v>
                </c:pt>
                <c:pt idx="2">
                  <c:v>Валютные ОВГЗ</c:v>
                </c:pt>
              </c:strCache>
            </c:strRef>
          </c:cat>
          <c:val>
            <c:numRef>
              <c:f>'залучення кругові'!$D$3:$D$5</c:f>
              <c:numCache>
                <c:formatCode>0.0</c:formatCode>
                <c:ptCount val="3"/>
                <c:pt idx="0">
                  <c:v>31.447819264006835</c:v>
                </c:pt>
                <c:pt idx="1">
                  <c:v>11.583</c:v>
                </c:pt>
                <c:pt idx="2">
                  <c:v>4.4906000000000006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CE-4CBC-BC3C-89AA7BB22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84024945058563"/>
          <c:y val="7.6690813648293943E-2"/>
          <c:w val="0.34049410426880605"/>
          <c:h val="0.824657341361741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641217347252311E-2"/>
          <c:y val="0.13559595202090596"/>
          <c:w val="0.69664533686378349"/>
          <c:h val="0.770880995433812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'Готівкова валюта поза банками'!$A$4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'Готівкова валюта поза банками'!$B$2:$M$2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'Готівкова валюта поза банками'!$B$4:$M$4</c:f>
              <c:numCache>
                <c:formatCode>0.0</c:formatCode>
                <c:ptCount val="12"/>
                <c:pt idx="0">
                  <c:v>0.80900000000000005</c:v>
                </c:pt>
                <c:pt idx="1">
                  <c:v>0.94299999999999995</c:v>
                </c:pt>
                <c:pt idx="2">
                  <c:v>0.74299999999999999</c:v>
                </c:pt>
                <c:pt idx="3">
                  <c:v>0.86799999999999999</c:v>
                </c:pt>
                <c:pt idx="4">
                  <c:v>1.1100000000000001</c:v>
                </c:pt>
                <c:pt idx="5">
                  <c:v>0.76800000000000002</c:v>
                </c:pt>
                <c:pt idx="6">
                  <c:v>0.77900000000000003</c:v>
                </c:pt>
                <c:pt idx="7">
                  <c:v>0.77400000000000002</c:v>
                </c:pt>
                <c:pt idx="8">
                  <c:v>1.0900000000000001</c:v>
                </c:pt>
                <c:pt idx="9">
                  <c:v>0.876</c:v>
                </c:pt>
                <c:pt idx="10">
                  <c:v>0.66600000000000004</c:v>
                </c:pt>
                <c:pt idx="11">
                  <c:v>0.86099999999999999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B3-4319-B7E4-4F0B87A966BC}"/>
            </c:ext>
          </c:extLst>
        </c:ser>
        <c:ser>
          <c:idx val="2"/>
          <c:order val="2"/>
          <c:tx>
            <c:strRef>
              <c:f>'Готівкова валюта поза банками'!$A$5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4.0960576640188288E-3"/>
                  <c:y val="1.3968093093093093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7B3-4319-B7E4-4F0B87A966B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'Готівкова валюта поза банками'!$B$2:$M$2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'Готівкова валюта поза банками'!$B$5:$M$5</c:f>
              <c:numCache>
                <c:formatCode>0.0</c:formatCode>
                <c:ptCount val="12"/>
                <c:pt idx="0">
                  <c:v>1.012</c:v>
                </c:pt>
                <c:pt idx="1">
                  <c:v>1.044</c:v>
                </c:pt>
                <c:pt idx="2">
                  <c:v>1.2</c:v>
                </c:pt>
                <c:pt idx="3">
                  <c:v>1.04</c:v>
                </c:pt>
                <c:pt idx="4">
                  <c:v>1.0780000000000001</c:v>
                </c:pt>
                <c:pt idx="5">
                  <c:v>0.751</c:v>
                </c:pt>
                <c:pt idx="6">
                  <c:v>0.55700000000000005</c:v>
                </c:pt>
                <c:pt idx="7">
                  <c:v>0.65500000000000003</c:v>
                </c:pt>
                <c:pt idx="8">
                  <c:v>0.77100000000000002</c:v>
                </c:pt>
                <c:pt idx="9">
                  <c:v>1.0900000000000001</c:v>
                </c:pt>
                <c:pt idx="10">
                  <c:v>1.1140000000000001</c:v>
                </c:pt>
                <c:pt idx="11">
                  <c:v>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B3-4319-B7E4-4F0B87A966BC}"/>
            </c:ext>
          </c:extLst>
        </c:ser>
        <c:ser>
          <c:idx val="3"/>
          <c:order val="3"/>
          <c:tx>
            <c:strRef>
              <c:f>'Готівкова валюта поза банками'!$A$6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11"/>
              <c:layout>
                <c:manualLayout>
                  <c:x val="0"/>
                  <c:y val="1.9069069069069067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8A1-4208-8F88-3C93FC16F5D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'Готівкова валюта поза банками'!$B$2:$M$2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'Готівкова валюта поза банками'!$B$6:$M$6</c:f>
              <c:numCache>
                <c:formatCode>0.0</c:formatCode>
                <c:ptCount val="12"/>
                <c:pt idx="0">
                  <c:v>1.1000000000000001</c:v>
                </c:pt>
                <c:pt idx="1">
                  <c:v>1</c:v>
                </c:pt>
                <c:pt idx="2">
                  <c:v>1.1000000000000001</c:v>
                </c:pt>
                <c:pt idx="3">
                  <c:v>0.9</c:v>
                </c:pt>
                <c:pt idx="4">
                  <c:v>0.85</c:v>
                </c:pt>
                <c:pt idx="5">
                  <c:v>0.85</c:v>
                </c:pt>
                <c:pt idx="6">
                  <c:v>0.8</c:v>
                </c:pt>
                <c:pt idx="7">
                  <c:v>0.7</c:v>
                </c:pt>
                <c:pt idx="8">
                  <c:v>0.7</c:v>
                </c:pt>
                <c:pt idx="9">
                  <c:v>0.75</c:v>
                </c:pt>
                <c:pt idx="10">
                  <c:v>0.9</c:v>
                </c:pt>
                <c:pt idx="11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B3-4319-B7E4-4F0B87A96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overlap val="-90"/>
        <c:axId val="2046168143"/>
        <c:axId val="204616980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'Готівкова валюта поза банками'!$A$3</c15:sqref>
                        </c15:formulaRef>
                      </c:ext>
                    </c:extLst>
                    <c:strCache>
                      <c:ptCount val="1"/>
                      <c:pt idx="0">
                        <c:v>2021</c:v>
                      </c:pt>
                    </c:strCache>
                  </c:strRef>
                </c:tx>
                <c:spPr>
                  <a:solidFill>
                    <a:schemeClr val="bg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numFmt formatCode="0.0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'Готівкова валюта поза банками'!$B$2:$M$2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'Готівкова валюта поза банками'!$B$3:$M$3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0.52300000000000002</c:v>
                      </c:pt>
                      <c:pt idx="1">
                        <c:v>0.56999999999999995</c:v>
                      </c:pt>
                      <c:pt idx="2">
                        <c:v>0.28999999999999998</c:v>
                      </c:pt>
                      <c:pt idx="3">
                        <c:v>0.16900000000000001</c:v>
                      </c:pt>
                      <c:pt idx="4">
                        <c:v>0.30599999999999999</c:v>
                      </c:pt>
                      <c:pt idx="5">
                        <c:v>0.19600000000000001</c:v>
                      </c:pt>
                      <c:pt idx="6">
                        <c:v>0.19400000000000001</c:v>
                      </c:pt>
                      <c:pt idx="7">
                        <c:v>0.64700000000000002</c:v>
                      </c:pt>
                      <c:pt idx="8">
                        <c:v>0.499</c:v>
                      </c:pt>
                      <c:pt idx="9">
                        <c:v>0.53600000000000003</c:v>
                      </c:pt>
                      <c:pt idx="10">
                        <c:v>0.82399999999999995</c:v>
                      </c:pt>
                      <c:pt idx="11">
                        <c:v>0.36699999999999999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47B3-4319-B7E4-4F0B87A966BC}"/>
                  </c:ext>
                </c:extLst>
              </c15:ser>
            </c15:filteredBarSeries>
          </c:ext>
        </c:extLst>
      </c:barChart>
      <c:catAx>
        <c:axId val="204616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69807"/>
        <c:crosses val="autoZero"/>
        <c:auto val="1"/>
        <c:lblAlgn val="ctr"/>
        <c:lblOffset val="100"/>
        <c:noMultiLvlLbl val="0"/>
      </c:catAx>
      <c:valAx>
        <c:axId val="2046169807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6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70246150828669"/>
          <c:y val="0.16833230996410045"/>
          <c:w val="0.13952829263508876"/>
          <c:h val="0.78040953783712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312438544739436E-2"/>
          <c:y val="0.11493993993993994"/>
          <c:w val="0.50432645034414947"/>
          <c:h val="0.770120120120120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222-40BC-B493-BB5350A690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222-40BC-B493-BB5350A690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222-40BC-B493-BB5350A6908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'залучення кругові'!$A$3:$A$5</c:f>
              <c:strCache>
                <c:ptCount val="3"/>
                <c:pt idx="0">
                  <c:v>Внешнее финансирование</c:v>
                </c:pt>
                <c:pt idx="1">
                  <c:v>Гранты</c:v>
                </c:pt>
                <c:pt idx="2">
                  <c:v>Валютные ОВГЗ</c:v>
                </c:pt>
              </c:strCache>
            </c:strRef>
          </c:cat>
          <c:val>
            <c:numRef>
              <c:f>'залучення кругові'!$E$3:$E$5</c:f>
              <c:numCache>
                <c:formatCode>0.0</c:formatCode>
                <c:ptCount val="3"/>
                <c:pt idx="0">
                  <c:v>30.699999999999996</c:v>
                </c:pt>
                <c:pt idx="1">
                  <c:v>13</c:v>
                </c:pt>
                <c:pt idx="2">
                  <c:v>4.1944428604000006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22-40BC-B493-BB5350A69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84024945058563"/>
          <c:y val="7.6690813648293943E-2"/>
          <c:w val="0.34049410426880605"/>
          <c:h val="0.824657341361741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641217347252311E-2"/>
          <c:y val="0.13559595202090596"/>
          <c:w val="0.71191379817593414"/>
          <c:h val="0.77088099543381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'Готівкова валюта поза банками'!$A$3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'Готівкова валюта поза банками'!$B$2:$M$2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'Готівкова валюта поза банками'!$B$3:$M$3</c:f>
              <c:numCache>
                <c:formatCode>0.0</c:formatCode>
                <c:ptCount val="12"/>
                <c:pt idx="0">
                  <c:v>0.52300000000000002</c:v>
                </c:pt>
                <c:pt idx="1">
                  <c:v>0.56999999999999995</c:v>
                </c:pt>
                <c:pt idx="2">
                  <c:v>0.28999999999999998</c:v>
                </c:pt>
                <c:pt idx="3">
                  <c:v>0.16900000000000001</c:v>
                </c:pt>
                <c:pt idx="4">
                  <c:v>0.30599999999999999</c:v>
                </c:pt>
                <c:pt idx="5">
                  <c:v>0.19600000000000001</c:v>
                </c:pt>
                <c:pt idx="6">
                  <c:v>0.19400000000000001</c:v>
                </c:pt>
                <c:pt idx="7">
                  <c:v>0.64700000000000002</c:v>
                </c:pt>
                <c:pt idx="8">
                  <c:v>0.499</c:v>
                </c:pt>
                <c:pt idx="9">
                  <c:v>0.53600000000000003</c:v>
                </c:pt>
                <c:pt idx="10">
                  <c:v>0.82399999999999995</c:v>
                </c:pt>
                <c:pt idx="11">
                  <c:v>0.36699999999999999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4F-4EAA-AE30-4F60CBC871ED}"/>
            </c:ext>
          </c:extLst>
        </c:ser>
        <c:ser>
          <c:idx val="1"/>
          <c:order val="1"/>
          <c:tx>
            <c:strRef>
              <c:f>'Готівкова валюта поза банками'!$A$4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'Готівкова валюта поза банками'!$B$2:$M$2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'Готівкова валюта поза банками'!$B$4:$M$4</c:f>
              <c:numCache>
                <c:formatCode>0.0</c:formatCode>
                <c:ptCount val="12"/>
                <c:pt idx="0">
                  <c:v>0.80900000000000005</c:v>
                </c:pt>
                <c:pt idx="1">
                  <c:v>0.94299999999999995</c:v>
                </c:pt>
                <c:pt idx="2">
                  <c:v>0.74299999999999999</c:v>
                </c:pt>
                <c:pt idx="3">
                  <c:v>0.86799999999999999</c:v>
                </c:pt>
                <c:pt idx="4">
                  <c:v>1.1100000000000001</c:v>
                </c:pt>
                <c:pt idx="5">
                  <c:v>0.76800000000000002</c:v>
                </c:pt>
                <c:pt idx="6">
                  <c:v>0.77900000000000003</c:v>
                </c:pt>
                <c:pt idx="7">
                  <c:v>0.77400000000000002</c:v>
                </c:pt>
                <c:pt idx="8">
                  <c:v>1.0900000000000001</c:v>
                </c:pt>
                <c:pt idx="9">
                  <c:v>0.876</c:v>
                </c:pt>
                <c:pt idx="10">
                  <c:v>0.66600000000000004</c:v>
                </c:pt>
                <c:pt idx="11">
                  <c:v>0.86099999999999999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4F-4EAA-AE30-4F60CBC871ED}"/>
            </c:ext>
          </c:extLst>
        </c:ser>
        <c:ser>
          <c:idx val="2"/>
          <c:order val="2"/>
          <c:tx>
            <c:strRef>
              <c:f>'Готівкова валюта поза банками'!$A$5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4.0959624882939867E-3"/>
                  <c:y val="-1.46356023126556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4F-4EAA-AE30-4F60CBC871ED}"/>
                </c:ext>
              </c:extLst>
            </c:dLbl>
            <c:dLbl>
              <c:idx val="11"/>
              <c:layout>
                <c:manualLayout>
                  <c:x val="3.1136608806511721E-3"/>
                  <c:y val="9.53453453453444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4F-4EAA-AE30-4F60CBC871E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'Готівкова валюта поза банками'!$B$2:$M$2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'Готівкова валюта поза банками'!$B$5:$M$5</c:f>
              <c:numCache>
                <c:formatCode>0.0</c:formatCode>
                <c:ptCount val="12"/>
                <c:pt idx="0">
                  <c:v>1.012</c:v>
                </c:pt>
                <c:pt idx="1">
                  <c:v>1.044</c:v>
                </c:pt>
                <c:pt idx="2">
                  <c:v>1.2</c:v>
                </c:pt>
                <c:pt idx="3">
                  <c:v>1.04</c:v>
                </c:pt>
                <c:pt idx="4">
                  <c:v>1.0780000000000001</c:v>
                </c:pt>
                <c:pt idx="5">
                  <c:v>0.751</c:v>
                </c:pt>
                <c:pt idx="6">
                  <c:v>0.55700000000000005</c:v>
                </c:pt>
                <c:pt idx="7">
                  <c:v>0.65500000000000003</c:v>
                </c:pt>
                <c:pt idx="8">
                  <c:v>0.77100000000000002</c:v>
                </c:pt>
                <c:pt idx="9">
                  <c:v>1.0900000000000001</c:v>
                </c:pt>
                <c:pt idx="10">
                  <c:v>1.1140000000000001</c:v>
                </c:pt>
                <c:pt idx="11">
                  <c:v>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4F-4EAA-AE30-4F60CBC871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168143"/>
        <c:axId val="2046169807"/>
      </c:barChart>
      <c:catAx>
        <c:axId val="204616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69807"/>
        <c:crosses val="autoZero"/>
        <c:auto val="1"/>
        <c:lblAlgn val="ctr"/>
        <c:lblOffset val="100"/>
        <c:noMultiLvlLbl val="0"/>
      </c:catAx>
      <c:valAx>
        <c:axId val="2046169807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6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778753180661572"/>
          <c:y val="0.21959046546546546"/>
          <c:w val="0.14046921057944681"/>
          <c:h val="0.55814435007273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336205159616047E-2"/>
          <c:y val="0.2693686186186186"/>
          <c:w val="0.87429501419078259"/>
          <c:h val="0.58124099099099102"/>
        </c:manualLayout>
      </c:layout>
      <c:areaChart>
        <c:grouping val="stacked"/>
        <c:varyColors val="0"/>
        <c:ser>
          <c:idx val="3"/>
          <c:order val="1"/>
          <c:tx>
            <c:strRef>
              <c:f>'курс 2022-2023 v1'!$A$8</c:f>
              <c:strCache>
                <c:ptCount val="1"/>
                <c:pt idx="0">
                  <c:v>заливка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v1'!$B$2:$Y$2</c15:sqref>
                  </c15:fullRef>
                </c:ext>
              </c:extLst>
              <c:f>'курс 2022-2023 v1'!$N$2:$Y$2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v1'!$B$8:$Y$8</c15:sqref>
                  </c15:fullRef>
                </c:ext>
              </c:extLst>
              <c:f>'курс 2022-2023 v1'!$N$8:$Y$8</c:f>
              <c:numCache>
                <c:formatCode>0.00</c:formatCode>
                <c:ptCount val="12"/>
                <c:pt idx="0">
                  <c:v>37.072233277496139</c:v>
                </c:pt>
                <c:pt idx="1">
                  <c:v>37.77478587846511</c:v>
                </c:pt>
                <c:pt idx="2">
                  <c:v>38.605806424374762</c:v>
                </c:pt>
                <c:pt idx="3">
                  <c:v>38.895705147134706</c:v>
                </c:pt>
                <c:pt idx="4">
                  <c:v>39.281047044824604</c:v>
                </c:pt>
                <c:pt idx="5">
                  <c:v>39.658399481375852</c:v>
                </c:pt>
                <c:pt idx="6">
                  <c:v>40.015635176768157</c:v>
                </c:pt>
                <c:pt idx="7">
                  <c:v>40.14772687713463</c:v>
                </c:pt>
                <c:pt idx="8">
                  <c:v>40.36685760056217</c:v>
                </c:pt>
                <c:pt idx="9">
                  <c:v>40.527007871865493</c:v>
                </c:pt>
                <c:pt idx="10">
                  <c:v>40.700074709472133</c:v>
                </c:pt>
                <c:pt idx="11">
                  <c:v>40.902614826192249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9FF1-42C0-8A89-D0093C375F55}"/>
            </c:ext>
          </c:extLst>
        </c:ser>
        <c:ser>
          <c:idx val="4"/>
          <c:order val="2"/>
          <c:tx>
            <c:strRef>
              <c:f>'курс 2022-2023 v1'!$A$11</c:f>
              <c:strCache>
                <c:ptCount val="1"/>
                <c:pt idx="0">
                  <c:v>Заливка нижний предел уверенности</c:v>
                </c:pt>
              </c:strCache>
            </c:strRef>
          </c:tx>
          <c:spPr>
            <a:noFill/>
            <a:ln w="25400">
              <a:noFill/>
            </a:ln>
            <a:effectLst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v1'!$B$2:$Y$2</c15:sqref>
                  </c15:fullRef>
                </c:ext>
              </c:extLst>
              <c:f>'курс 2022-2023 v1'!$N$2:$Y$2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v1'!$B$11:$Y$11</c15:sqref>
                  </c15:fullRef>
                </c:ext>
              </c:extLst>
              <c:f>'курс 2022-2023 v1'!$N$11:$Y$11</c:f>
              <c:numCache>
                <c:formatCode>General</c:formatCode>
                <c:ptCount val="1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9FF1-42C0-8A89-D0093C375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445312"/>
        <c:axId val="516452528"/>
        <c:extLst>
          <c:ext xmlns:c15="http://schemas.microsoft.com/office/drawing/2012/chart" uri="{02D57815-91ED-43cb-92C2-25804820EDAC}">
            <c15:filteredArea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'курс 2022-2023 v1'!$A$10</c15:sqref>
                        </c15:formulaRef>
                      </c:ext>
                    </c:extLst>
                    <c:strCache>
                      <c:ptCount val="1"/>
                      <c:pt idx="0">
                        <c:v>Разбивка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ullRef>
                          <c15:sqref>'курс 2022-2023 v1'!$B$2:$Y$2</c15:sqref>
                        </c15:fullRef>
                        <c15:formulaRef>
                          <c15:sqref>'курс 2022-2023 v1'!$N$2:$Y$2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'курс 2022-2023 v1'!$B$10:$Y$10</c15:sqref>
                        </c15:fullRef>
                        <c15:formulaRef>
                          <c15:sqref>'курс 2022-2023 v1'!$N$10:$Y$10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-0.71266969139801972</c:v>
                      </c:pt>
                      <c:pt idx="1">
                        <c:v>-1.7495510839218156</c:v>
                      </c:pt>
                      <c:pt idx="2">
                        <c:v>-2.9628841488234627</c:v>
                      </c:pt>
                      <c:pt idx="3">
                        <c:v>-3.6710682421819172</c:v>
                      </c:pt>
                      <c:pt idx="4">
                        <c:v>-4.3968901416268267</c:v>
                      </c:pt>
                      <c:pt idx="5">
                        <c:v>-5.4217086373776553</c:v>
                      </c:pt>
                      <c:pt idx="6">
                        <c:v>-6.3751778005040194</c:v>
                      </c:pt>
                      <c:pt idx="7">
                        <c:v>-6.7254923706581025</c:v>
                      </c:pt>
                      <c:pt idx="8">
                        <c:v>-7.3005978693343536</c:v>
                      </c:pt>
                      <c:pt idx="9">
                        <c:v>-7.7177410663238106</c:v>
                      </c:pt>
                      <c:pt idx="10">
                        <c:v>-8.1648915981940178</c:v>
                      </c:pt>
                      <c:pt idx="11">
                        <c:v>-8.6833101644401367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D-9FF1-42C0-8A89-D0093C375F55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'курс 2022-2023 v1'!$A$9</c15:sqref>
                        </c15:formulaRef>
                      </c:ext>
                    </c:extLst>
                    <c:strCache>
                      <c:ptCount val="1"/>
                      <c:pt idx="0">
                        <c:v>Заливка верхний предел уверенности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v1'!$B$2:$Y$2</c15:sqref>
                        </c15:fullRef>
                        <c15:formulaRef>
                          <c15:sqref>'курс 2022-2023 v1'!$N$2:$Y$2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v1'!$B$9:$Y$9</c15:sqref>
                        </c15:fullRef>
                        <c15:formulaRef>
                          <c15:sqref>'курс 2022-2023 v1'!$N$9:$Y$9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0.5</c:v>
                      </c:pt>
                      <c:pt idx="1">
                        <c:v>0.5</c:v>
                      </c:pt>
                      <c:pt idx="2">
                        <c:v>0.5</c:v>
                      </c:pt>
                      <c:pt idx="3">
                        <c:v>0.5</c:v>
                      </c:pt>
                      <c:pt idx="4">
                        <c:v>0.5</c:v>
                      </c:pt>
                      <c:pt idx="5">
                        <c:v>0.5</c:v>
                      </c:pt>
                      <c:pt idx="6">
                        <c:v>0.5</c:v>
                      </c:pt>
                      <c:pt idx="7">
                        <c:v>0.5</c:v>
                      </c:pt>
                      <c:pt idx="8">
                        <c:v>0.5</c:v>
                      </c:pt>
                      <c:pt idx="9">
                        <c:v>0.5</c:v>
                      </c:pt>
                      <c:pt idx="10">
                        <c:v>0.5</c:v>
                      </c:pt>
                      <c:pt idx="11">
                        <c:v>0.5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9FF1-42C0-8A89-D0093C375F55}"/>
                  </c:ext>
                </c:extLst>
              </c15:ser>
            </c15:filteredAreaSeries>
          </c:ext>
        </c:extLst>
      </c:areaChart>
      <c:barChart>
        <c:barDir val="col"/>
        <c:grouping val="clustered"/>
        <c:varyColors val="0"/>
        <c:ser>
          <c:idx val="0"/>
          <c:order val="0"/>
          <c:tx>
            <c:strRef>
              <c:f>'курс 2022-2023 v1'!$A$3</c:f>
              <c:strCache>
                <c:ptCount val="1"/>
                <c:pt idx="0">
                  <c:v>Сводное сальдо платежного баланса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1"/>
              <c:layout>
                <c:manualLayout>
                  <c:x val="-5.7083123382825739E-17"/>
                  <c:y val="9.534534534534533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FF1-42C0-8A89-D0093C375F55}"/>
                </c:ext>
              </c:extLst>
            </c:dLbl>
            <c:dLbl>
              <c:idx val="4"/>
              <c:layout>
                <c:manualLayout>
                  <c:x val="-4.0941658137154556E-3"/>
                  <c:y val="1.5325493456676104E-1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FF1-42C0-8A89-D0093C375F55}"/>
                </c:ext>
              </c:extLst>
            </c:dLbl>
            <c:dLbl>
              <c:idx val="6"/>
              <c:layout>
                <c:manualLayout>
                  <c:x val="-9.5530535653361622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9FF1-42C0-8A89-D0093C375F55}"/>
                </c:ext>
              </c:extLst>
            </c:dLbl>
            <c:dLbl>
              <c:idx val="7"/>
              <c:layout>
                <c:manualLayout>
                  <c:x val="-4.0941658137154556E-3"/>
                  <c:y val="2.089864158829676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FF1-42C0-8A89-D0093C375F55}"/>
                </c:ext>
              </c:extLst>
            </c:dLbl>
            <c:dLbl>
              <c:idx val="11"/>
              <c:layout>
                <c:manualLayout>
                  <c:x val="3.1136608806510576E-3"/>
                  <c:y val="1.906906906906898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9FF1-42C0-8A89-D0093C375F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'курс 2022-2023 v1'!$B$1:$Y$2</c15:sqref>
                  </c15:fullRef>
                </c:ext>
              </c:extLst>
              <c:f>'курс 2022-2023 v1'!$N$1:$Y$2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v1'!$B$3:$Y$3</c15:sqref>
                  </c15:fullRef>
                </c:ext>
              </c:extLst>
              <c:f>'курс 2022-2023 v1'!$N$3:$Y$3</c:f>
              <c:numCache>
                <c:formatCode>0.0</c:formatCode>
                <c:ptCount val="12"/>
                <c:pt idx="0">
                  <c:v>-232.99787369862486</c:v>
                </c:pt>
                <c:pt idx="1">
                  <c:v>-676.43982731900735</c:v>
                </c:pt>
                <c:pt idx="2">
                  <c:v>236.56588660407374</c:v>
                </c:pt>
                <c:pt idx="3">
                  <c:v>359.02079590516234</c:v>
                </c:pt>
                <c:pt idx="4">
                  <c:v>282.57177416106219</c:v>
                </c:pt>
                <c:pt idx="5">
                  <c:v>1627.2049399829514</c:v>
                </c:pt>
                <c:pt idx="6">
                  <c:v>850.64734420255854</c:v>
                </c:pt>
                <c:pt idx="7">
                  <c:v>1604.9295993719618</c:v>
                </c:pt>
                <c:pt idx="8">
                  <c:v>1981.3790423396867</c:v>
                </c:pt>
                <c:pt idx="9">
                  <c:v>1140.1944691993506</c:v>
                </c:pt>
                <c:pt idx="10">
                  <c:v>1277.5093975393313</c:v>
                </c:pt>
                <c:pt idx="11">
                  <c:v>2708.9606702932301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F1-42C0-8A89-D0093C375F55}"/>
            </c:ext>
          </c:extLst>
        </c:ser>
        <c:ser>
          <c:idx val="7"/>
          <c:order val="7"/>
          <c:tx>
            <c:strRef>
              <c:f>'курс 2022-2023 v1'!$A$4</c:f>
              <c:strCache>
                <c:ptCount val="1"/>
                <c:pt idx="0">
                  <c:v>Интервенции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2.7294438758102037E-3"/>
                  <c:y val="-7.6627467283380521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9FF1-42C0-8A89-D0093C375F55}"/>
                </c:ext>
              </c:extLst>
            </c:dLbl>
            <c:dLbl>
              <c:idx val="7"/>
              <c:layout>
                <c:manualLayout>
                  <c:x val="5.4588877516205071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9FF1-42C0-8A89-D0093C375F55}"/>
                </c:ext>
              </c:extLst>
            </c:dLbl>
            <c:dLbl>
              <c:idx val="8"/>
              <c:layout>
                <c:manualLayout>
                  <c:x val="5.4588877516206077E-3"/>
                  <c:y val="8.359456635318627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FF1-42C0-8A89-D0093C375F55}"/>
                </c:ext>
              </c:extLst>
            </c:dLbl>
            <c:dLbl>
              <c:idx val="9"/>
              <c:layout>
                <c:manualLayout>
                  <c:x val="8.1883316274309111E-3"/>
                  <c:y val="2.089864158829676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9FF1-42C0-8A89-D0093C375F55}"/>
                </c:ext>
              </c:extLst>
            </c:dLbl>
            <c:dLbl>
              <c:idx val="10"/>
              <c:layout>
                <c:manualLayout>
                  <c:x val="6.8236096895256592E-3"/>
                  <c:y val="8.359456635318627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FF1-42C0-8A89-D0093C375F55}"/>
                </c:ext>
              </c:extLst>
            </c:dLbl>
            <c:dLbl>
              <c:idx val="11"/>
              <c:layout>
                <c:manualLayout>
                  <c:x val="5.4588877516206077E-3"/>
                  <c:y val="4.179728317659275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9FF1-42C0-8A89-D0093C375F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'курс 2022-2023 v1'!$B$1:$Y$2</c15:sqref>
                  </c15:fullRef>
                </c:ext>
              </c:extLst>
              <c:f>'курс 2022-2023 v1'!$N$1:$Y$2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2024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v1'!$B$4:$Y$4</c15:sqref>
                  </c15:fullRef>
                </c:ext>
              </c:extLst>
              <c:f>'курс 2022-2023 v1'!$N$4:$Y$4</c:f>
              <c:numCache>
                <c:formatCode>0.0</c:formatCode>
                <c:ptCount val="12"/>
                <c:pt idx="0">
                  <c:v>-1810.4178166917461</c:v>
                </c:pt>
                <c:pt idx="1">
                  <c:v>-2843.7831373735075</c:v>
                </c:pt>
                <c:pt idx="2">
                  <c:v>-3272.3022309921439</c:v>
                </c:pt>
                <c:pt idx="3">
                  <c:v>-2101.5611664165344</c:v>
                </c:pt>
                <c:pt idx="4">
                  <c:v>-2680.1064577729621</c:v>
                </c:pt>
                <c:pt idx="5">
                  <c:v>-2494.0289130709571</c:v>
                </c:pt>
                <c:pt idx="6">
                  <c:v>-2451.0996047337517</c:v>
                </c:pt>
                <c:pt idx="7">
                  <c:v>-1005.1585914403573</c:v>
                </c:pt>
                <c:pt idx="8">
                  <c:v>-1739.8484822304677</c:v>
                </c:pt>
                <c:pt idx="9">
                  <c:v>-1354.104743012784</c:v>
                </c:pt>
                <c:pt idx="10">
                  <c:v>-1477.6948474954359</c:v>
                </c:pt>
                <c:pt idx="11">
                  <c:v>-1703.9523365588987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FF1-42C0-8A89-D0093C375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6438752"/>
        <c:axId val="516436128"/>
        <c:extLst>
          <c:ext xmlns:c15="http://schemas.microsoft.com/office/drawing/2012/chart" uri="{02D57815-91ED-43cb-92C2-25804820EDAC}">
            <c15:filteredB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'курс 2022-2023 v1'!$A$5</c15:sqref>
                        </c15:formulaRef>
                      </c:ext>
                    </c:extLst>
                    <c:strCache>
                      <c:ptCount val="1"/>
                      <c:pt idx="0">
                        <c:v>Интервенции (борьба с инфляцией)</c:v>
                      </c:pt>
                    </c:strCache>
                  </c:strRef>
                </c:tx>
                <c:spPr>
                  <a:solidFill>
                    <a:schemeClr val="accent4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ullRef>
                          <c15:sqref>'курс 2022-2023 v1'!$B$5:$Y$5</c15:sqref>
                        </c15:fullRef>
                        <c15:formulaRef>
                          <c15:sqref>'курс 2022-2023 v1'!$N$5:$Y$5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-2112.1541194737038</c:v>
                      </c:pt>
                      <c:pt idx="1">
                        <c:v>-3317.7469936024254</c:v>
                      </c:pt>
                      <c:pt idx="2">
                        <c:v>-3817.6859361575016</c:v>
                      </c:pt>
                      <c:pt idx="3">
                        <c:v>-2389.1432207682706</c:v>
                      </c:pt>
                      <c:pt idx="4">
                        <c:v>-2962.2229270122216</c:v>
                      </c:pt>
                      <c:pt idx="5">
                        <c:v>-2887.8229519768984</c:v>
                      </c:pt>
                      <c:pt idx="6">
                        <c:v>-2838.1153317969761</c:v>
                      </c:pt>
                      <c:pt idx="7">
                        <c:v>-1163.8678427204138</c:v>
                      </c:pt>
                      <c:pt idx="8">
                        <c:v>-2014.5614004773838</c:v>
                      </c:pt>
                      <c:pt idx="9">
                        <c:v>-1567.9107550674344</c:v>
                      </c:pt>
                      <c:pt idx="10">
                        <c:v>-1711.0150865736628</c:v>
                      </c:pt>
                      <c:pt idx="11">
                        <c:v>-1972.9974423313565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9FF1-42C0-8A89-D0093C375F55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4"/>
          <c:tx>
            <c:strRef>
              <c:f>'курс 2022-2023 v1'!$A$6</c:f>
              <c:strCache>
                <c:ptCount val="1"/>
                <c:pt idx="0">
                  <c:v>Обменный курс</c:v>
                </c:pt>
              </c:strCache>
              <c:extLst xmlns:c15="http://schemas.microsoft.com/office/drawing/2012/chart"/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9FF1-42C0-8A89-D0093C375F55}"/>
                </c:ext>
              </c:extLst>
            </c:dLbl>
            <c:dLbl>
              <c:idx val="2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9FF1-42C0-8A89-D0093C375F55}"/>
                </c:ext>
              </c:extLst>
            </c:dLbl>
            <c:dLbl>
              <c:idx val="3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9FF1-42C0-8A89-D0093C375F55}"/>
                </c:ext>
              </c:extLst>
            </c:dLbl>
            <c:dLbl>
              <c:idx val="5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9FF1-42C0-8A89-D0093C375F55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9FF1-42C0-8A89-D0093C375F55}"/>
                </c:ext>
              </c:extLst>
            </c:dLbl>
            <c:dLbl>
              <c:idx val="8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9FF1-42C0-8A89-D0093C375F55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9FF1-42C0-8A89-D0093C375F55}"/>
                </c:ext>
              </c:extLst>
            </c:dLbl>
            <c:dLbl>
              <c:idx val="10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9FF1-42C0-8A89-D0093C375F55}"/>
                </c:ext>
              </c:extLst>
            </c:dLbl>
            <c:dLbl>
              <c:idx val="11"/>
              <c:layout>
                <c:manualLayout>
                  <c:x val="-4.8619937236442208E-2"/>
                  <c:y val="-4.12725225225225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9FF1-42C0-8A89-D0093C375F55}"/>
                </c:ext>
              </c:extLst>
            </c:dLbl>
            <c:spPr>
              <a:solidFill>
                <a:schemeClr val="bg1"/>
              </a:solidFill>
              <a:ln w="6350">
                <a:solidFill>
                  <a:schemeClr val="accent5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v1'!$B$2:$Y$2</c15:sqref>
                  </c15:fullRef>
                </c:ext>
              </c:extLst>
              <c:f>'курс 2022-2023 v1'!$N$2:$Y$2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v1'!$B$6:$Y$6</c15:sqref>
                  </c15:fullRef>
                </c:ext>
              </c:extLst>
              <c:f>'курс 2022-2023 v1'!$N$6:$Y$6</c:f>
              <c:numCache>
                <c:formatCode>0.00</c:formatCode>
                <c:ptCount val="12"/>
                <c:pt idx="0">
                  <c:v>37.572233277496139</c:v>
                </c:pt>
                <c:pt idx="1">
                  <c:v>38.27478587846511</c:v>
                </c:pt>
                <c:pt idx="2">
                  <c:v>39.105806424374762</c:v>
                </c:pt>
                <c:pt idx="3">
                  <c:v>39.395705147134706</c:v>
                </c:pt>
                <c:pt idx="4">
                  <c:v>39.781047044824604</c:v>
                </c:pt>
                <c:pt idx="5">
                  <c:v>40.158399481375852</c:v>
                </c:pt>
                <c:pt idx="6">
                  <c:v>40.515635176768157</c:v>
                </c:pt>
                <c:pt idx="7">
                  <c:v>40.64772687713463</c:v>
                </c:pt>
                <c:pt idx="8">
                  <c:v>40.86685760056217</c:v>
                </c:pt>
                <c:pt idx="9">
                  <c:v>41.027007871865493</c:v>
                </c:pt>
                <c:pt idx="10">
                  <c:v>41.200074709472133</c:v>
                </c:pt>
                <c:pt idx="11">
                  <c:v>41.402614826192249</c:v>
                </c:pt>
              </c:numCache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categoryFilterExceptions>
                <c15:categoryFilterException>
                  <c15:sqref>'курс 2022-2023 v1'!$B$6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C-BB50-416F-86B0-A0587BBEE1AF}"/>
                      </c:ext>
                    </c:extLst>
                  </c15:dLbl>
                </c15:categoryFilterException>
                <c15:categoryFilterException>
                  <c15:sqref>'курс 2022-2023 v1'!$C$6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D-BB50-416F-86B0-A0587BBEE1AF}"/>
                      </c:ext>
                    </c:extLst>
                  </c15:dLbl>
                </c15:categoryFilterException>
                <c15:categoryFilterException>
                  <c15:sqref>'курс 2022-2023 v1'!$D$6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E-BB50-416F-86B0-A0587BBEE1AF}"/>
                      </c:ext>
                    </c:extLst>
                  </c15:dLbl>
                </c15:categoryFilterException>
                <c15:categoryFilterException>
                  <c15:sqref>'курс 2022-2023 v1'!$E$6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F-BB50-416F-86B0-A0587BBEE1AF}"/>
                      </c:ext>
                    </c:extLst>
                  </c15:dLbl>
                </c15:categoryFilterException>
                <c15:categoryFilterException>
                  <c15:sqref>'курс 2022-2023 v1'!$F$6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0-BB50-416F-86B0-A0587BBEE1AF}"/>
                      </c:ext>
                    </c:extLst>
                  </c15:dLbl>
                </c15:categoryFilterException>
                <c15:categoryFilterException>
                  <c15:sqref>'курс 2022-2023 v1'!$G$6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1-BB50-416F-86B0-A0587BBEE1AF}"/>
                      </c:ext>
                    </c:extLst>
                  </c15:dLbl>
                </c15:categoryFilterException>
                <c15:categoryFilterException>
                  <c15:sqref>'курс 2022-2023 v1'!$H$6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2-BB50-416F-86B0-A0587BBEE1AF}"/>
                      </c:ext>
                    </c:extLst>
                  </c15:dLbl>
                </c15:categoryFilterException>
                <c15:categoryFilterException>
                  <c15:sqref>'курс 2022-2023 v1'!$I$6</c15:sqref>
                  <c15:dLbl>
                    <c:idx val="-1"/>
                    <c:layout>
                      <c:manualLayout>
                        <c:x val="-3.9588114151220946E-2"/>
                        <c:y val="-4.0686561561561606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3-BB50-416F-86B0-A0587BBEE1AF}"/>
                      </c:ext>
                    </c:extLst>
                  </c15:dLbl>
                </c15:categoryFilterException>
                <c15:categoryFilterException>
                  <c15:sqref>'курс 2022-2023 v1'!$J$6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4-BB50-416F-86B0-A0587BBEE1AF}"/>
                      </c:ext>
                    </c:extLst>
                  </c15:dLbl>
                </c15:categoryFilterException>
                <c15:categoryFilterException>
                  <c15:sqref>'курс 2022-2023 v1'!$K$6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5-BB50-416F-86B0-A0587BBEE1AF}"/>
                      </c:ext>
                    </c:extLst>
                  </c15:dLbl>
                </c15:categoryFilterException>
                <c15:categoryFilterException>
                  <c15:sqref>'курс 2022-2023 v1'!$L$6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6-BB50-416F-86B0-A0587BBEE1AF}"/>
                      </c:ext>
                    </c:extLst>
                  </c15:dLbl>
                </c15:categoryFilterException>
                <c15:categoryFilterException>
                  <c15:sqref>'курс 2022-2023 v1'!$M$6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7-BB50-416F-86B0-A0587BBEE1AF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3C-9FF1-42C0-8A89-D0093C375F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445312"/>
        <c:axId val="516452528"/>
        <c:extLst>
          <c:ext xmlns:c15="http://schemas.microsoft.com/office/drawing/2012/chart" uri="{02D57815-91ED-43cb-92C2-25804820EDAC}">
            <c15:filteredLine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'курс 2022-2023 v1'!$A$7</c15:sqref>
                        </c15:formulaRef>
                      </c:ext>
                    </c:extLst>
                    <c:strCache>
                      <c:ptCount val="1"/>
                      <c:pt idx="0">
                        <c:v>Обменный курс (борьба с инфляцией)</c:v>
                      </c:pt>
                    </c:strCache>
                  </c:strRef>
                </c:tx>
                <c:spPr>
                  <a:ln w="12700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0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B-9FF1-42C0-8A89-D0093C375F55}"/>
                      </c:ext>
                    </c:extLst>
                  </c:dLbl>
                  <c:dLbl>
                    <c:idx val="1"/>
                    <c:layout>
                      <c:manualLayout>
                        <c:x val="-4.9974257134451312E-2"/>
                        <c:y val="4.1272897897897898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42-9FF1-42C0-8A89-D0093C375F55}"/>
                      </c:ext>
                    </c:extLst>
                  </c:dLbl>
                  <c:dLbl>
                    <c:idx val="2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C-9FF1-42C0-8A89-D0093C375F55}"/>
                      </c:ext>
                    </c:extLst>
                  </c:dLbl>
                  <c:dLbl>
                    <c:idx val="3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D-9FF1-42C0-8A89-D0093C375F55}"/>
                      </c:ext>
                    </c:extLst>
                  </c:dLbl>
                  <c:dLbl>
                    <c:idx val="4"/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E-9FF1-42C0-8A89-D0093C375F55}"/>
                      </c:ext>
                    </c:extLst>
                  </c:dLbl>
                  <c:dLbl>
                    <c:idx val="5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F-9FF1-42C0-8A89-D0093C375F55}"/>
                      </c:ext>
                    </c:extLst>
                  </c:dLbl>
                  <c:dLbl>
                    <c:idx val="6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0-9FF1-42C0-8A89-D0093C375F55}"/>
                      </c:ext>
                    </c:extLst>
                  </c:dLbl>
                  <c:dLbl>
                    <c:idx val="7"/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1-9FF1-42C0-8A89-D0093C375F55}"/>
                      </c:ext>
                    </c:extLst>
                  </c:dLbl>
                  <c:dLbl>
                    <c:idx val="8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2-9FF1-42C0-8A89-D0093C375F55}"/>
                      </c:ext>
                    </c:extLst>
                  </c:dLbl>
                  <c:dLbl>
                    <c:idx val="9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3-9FF1-42C0-8A89-D0093C375F55}"/>
                      </c:ext>
                    </c:extLst>
                  </c:dLbl>
                  <c:dLbl>
                    <c:idx val="10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4-9FF1-42C0-8A89-D0093C375F55}"/>
                      </c:ext>
                    </c:extLst>
                  </c:dLbl>
                  <c:dLbl>
                    <c:idx val="11"/>
                    <c:layout>
                      <c:manualLayout>
                        <c:x val="-4.3156810826713854E-2"/>
                        <c:y val="-5.067267267267276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5-9FF1-42C0-8A89-D0093C375F55}"/>
                      </c:ext>
                    </c:extLst>
                  </c:dLbl>
                  <c:spPr>
                    <a:solidFill>
                      <a:schemeClr val="bg1"/>
                    </a:solidFill>
                    <a:ln w="6350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600" b="0" i="0" u="none" strike="noStrike" kern="1200" baseline="0">
                          <a:solidFill>
                            <a:schemeClr val="accent3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b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0"/>
                    </c:ext>
                  </c:extLst>
                </c:dLbls>
                <c:cat>
                  <c:numRef>
                    <c:extLst>
                      <c:ext uri="{02D57815-91ED-43cb-92C2-25804820EDAC}">
                        <c15:fullRef>
                          <c15:sqref>'курс 2022-2023 v1'!$B$2:$Y$2</c15:sqref>
                        </c15:fullRef>
                        <c15:formulaRef>
                          <c15:sqref>'курс 2022-2023 v1'!$N$2:$Y$2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'курс 2022-2023 v1'!$B$7:$Y$7</c15:sqref>
                        </c15:fullRef>
                        <c15:formulaRef>
                          <c15:sqref>'курс 2022-2023 v1'!$N$7:$Y$7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36.859563586098119</c:v>
                      </c:pt>
                      <c:pt idx="1">
                        <c:v>36.525234794543294</c:v>
                      </c:pt>
                      <c:pt idx="2">
                        <c:v>36.1429222755513</c:v>
                      </c:pt>
                      <c:pt idx="3">
                        <c:v>35.724636904952789</c:v>
                      </c:pt>
                      <c:pt idx="4">
                        <c:v>35.384156903197777</c:v>
                      </c:pt>
                      <c:pt idx="5">
                        <c:v>34.736690843998197</c:v>
                      </c:pt>
                      <c:pt idx="6">
                        <c:v>34.140457376264138</c:v>
                      </c:pt>
                      <c:pt idx="7">
                        <c:v>33.922234506476528</c:v>
                      </c:pt>
                      <c:pt idx="8">
                        <c:v>33.566259731227817</c:v>
                      </c:pt>
                      <c:pt idx="9">
                        <c:v>33.309266805541682</c:v>
                      </c:pt>
                      <c:pt idx="10">
                        <c:v>33.035183111278116</c:v>
                      </c:pt>
                      <c:pt idx="11">
                        <c:v>32.719304661752112</c:v>
                      </c:pt>
                    </c:numCache>
                  </c:numRef>
                </c:val>
                <c:smooth val="0"/>
                <c:extLst>
                  <c:ext uri="{02D57815-91ED-43cb-92C2-25804820EDAC}">
                    <c15:categoryFilterExceptions>
                      <c15:categoryFilterException>
                        <c15:sqref>'курс 2022-2023 v1'!$B$7</c15:sqref>
                        <c15:dLbl>
                          <c:idx val="-1"/>
                          <c:delete val="1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00-BB50-416F-86B0-A0587BBEE1AF}"/>
                            </c:ext>
                          </c:extLst>
                        </c15:dLbl>
                      </c15:categoryFilterException>
                      <c15:categoryFilterException>
                        <c15:sqref>'курс 2022-2023 v1'!$C$7</c15:sqref>
                        <c15:dLbl>
                          <c:idx val="-1"/>
                          <c:delete val="1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01-BB50-416F-86B0-A0587BBEE1AF}"/>
                            </c:ext>
                          </c:extLst>
                        </c15:dLbl>
                      </c15:categoryFilterException>
                      <c15:categoryFilterException>
                        <c15:sqref>'курс 2022-2023 v1'!$D$7</c15:sqref>
                        <c15:dLbl>
                          <c:idx val="-1"/>
                          <c:delete val="1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02-BB50-416F-86B0-A0587BBEE1AF}"/>
                            </c:ext>
                          </c:extLst>
                        </c15:dLbl>
                      </c15:categoryFilterException>
                      <c15:categoryFilterException>
                        <c15:sqref>'курс 2022-2023 v1'!$E$7</c15:sqref>
                        <c15:dLbl>
                          <c:idx val="-1"/>
                          <c:delete val="1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03-BB50-416F-86B0-A0587BBEE1AF}"/>
                            </c:ext>
                          </c:extLst>
                        </c15:dLbl>
                      </c15:categoryFilterException>
                      <c15:categoryFilterException>
                        <c15:sqref>'курс 2022-2023 v1'!$F$7</c15:sqref>
                        <c15:dLbl>
                          <c:idx val="-1"/>
                          <c:delete val="1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04-BB50-416F-86B0-A0587BBEE1AF}"/>
                            </c:ext>
                          </c:extLst>
                        </c15:dLbl>
                      </c15:categoryFilterException>
                      <c15:categoryFilterException>
                        <c15:sqref>'курс 2022-2023 v1'!$G$7</c15:sqref>
                        <c15:dLbl>
                          <c:idx val="-1"/>
                          <c:delete val="1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05-BB50-416F-86B0-A0587BBEE1AF}"/>
                            </c:ext>
                          </c:extLst>
                        </c15:dLbl>
                      </c15:categoryFilterException>
                      <c15:categoryFilterException>
                        <c15:sqref>'курс 2022-2023 v1'!$H$7</c15:sqref>
                        <c15:dLbl>
                          <c:idx val="-1"/>
                          <c:delete val="1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06-BB50-416F-86B0-A0587BBEE1AF}"/>
                            </c:ext>
                          </c:extLst>
                        </c15:dLbl>
                      </c15:categoryFilterException>
                      <c15:categoryFilterException>
                        <c15:sqref>'курс 2022-2023 v1'!$I$7</c15:sqref>
                        <c15:dLbl>
                          <c:idx val="-1"/>
                          <c:delete val="1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07-BB50-416F-86B0-A0587BBEE1AF}"/>
                            </c:ext>
                          </c:extLst>
                        </c15:dLbl>
                      </c15:categoryFilterException>
                      <c15:categoryFilterException>
                        <c15:sqref>'курс 2022-2023 v1'!$J$7</c15:sqref>
                        <c15:dLbl>
                          <c:idx val="-1"/>
                          <c:delete val="1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08-BB50-416F-86B0-A0587BBEE1AF}"/>
                            </c:ext>
                          </c:extLst>
                        </c15:dLbl>
                      </c15:categoryFilterException>
                      <c15:categoryFilterException>
                        <c15:sqref>'курс 2022-2023 v1'!$K$7</c15:sqref>
                        <c15:dLbl>
                          <c:idx val="-1"/>
                          <c:delete val="1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09-BB50-416F-86B0-A0587BBEE1AF}"/>
                            </c:ext>
                          </c:extLst>
                        </c15:dLbl>
                      </c15:categoryFilterException>
                      <c15:categoryFilterException>
                        <c15:sqref>'курс 2022-2023 v1'!$L$7</c15:sqref>
                        <c15:dLbl>
                          <c:idx val="-1"/>
                          <c:delete val="1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0A-BB50-416F-86B0-A0587BBEE1AF}"/>
                            </c:ext>
                          </c:extLst>
                        </c15:dLbl>
                      </c15:categoryFilterException>
                      <c15:categoryFilterException>
                        <c15:sqref>'курс 2022-2023 v1'!$M$7</c15:sqref>
                        <c15:dLbl>
                          <c:idx val="-1"/>
                          <c:delete val="1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0B-BB50-416F-86B0-A0587BBEE1AF}"/>
                            </c:ext>
                          </c:extLst>
                        </c15:dLbl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26-9FF1-42C0-8A89-D0093C375F55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'курс 2022-2023 v1'!$A$9</c15:sqref>
                        </c15:formulaRef>
                      </c:ext>
                    </c:extLst>
                    <c:strCache>
                      <c:ptCount val="1"/>
                      <c:pt idx="0">
                        <c:v>Заливка верхний предел уверенности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v1'!$B$2:$Y$2</c15:sqref>
                        </c15:fullRef>
                        <c15:formulaRef>
                          <c15:sqref>'курс 2022-2023 v1'!$N$2:$Y$2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v1'!$B$10:$Y$10</c15:sqref>
                        </c15:fullRef>
                        <c15:formulaRef>
                          <c15:sqref>'курс 2022-2023 v1'!$N$10:$Y$10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-0.71266969139801972</c:v>
                      </c:pt>
                      <c:pt idx="1">
                        <c:v>-1.7495510839218156</c:v>
                      </c:pt>
                      <c:pt idx="2">
                        <c:v>-2.9628841488234627</c:v>
                      </c:pt>
                      <c:pt idx="3">
                        <c:v>-3.6710682421819172</c:v>
                      </c:pt>
                      <c:pt idx="4">
                        <c:v>-4.3968901416268267</c:v>
                      </c:pt>
                      <c:pt idx="5">
                        <c:v>-5.4217086373776553</c:v>
                      </c:pt>
                      <c:pt idx="6">
                        <c:v>-6.3751778005040194</c:v>
                      </c:pt>
                      <c:pt idx="7">
                        <c:v>-6.7254923706581025</c:v>
                      </c:pt>
                      <c:pt idx="8">
                        <c:v>-7.3005978693343536</c:v>
                      </c:pt>
                      <c:pt idx="9">
                        <c:v>-7.7177410663238106</c:v>
                      </c:pt>
                      <c:pt idx="10">
                        <c:v>-8.1648915981940178</c:v>
                      </c:pt>
                      <c:pt idx="11">
                        <c:v>-8.6833101644401367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9FF1-42C0-8A89-D0093C375F55}"/>
                  </c:ext>
                </c:extLst>
              </c15:ser>
            </c15:filteredLineSeries>
          </c:ext>
        </c:extLst>
      </c:lineChart>
      <c:catAx>
        <c:axId val="51643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317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36128"/>
        <c:crosses val="autoZero"/>
        <c:auto val="1"/>
        <c:lblAlgn val="ctr"/>
        <c:lblOffset val="100"/>
        <c:noMultiLvlLbl val="0"/>
      </c:catAx>
      <c:valAx>
        <c:axId val="516436128"/>
        <c:scaling>
          <c:orientation val="minMax"/>
          <c:max val="8000"/>
          <c:min val="-6000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38752"/>
        <c:crosses val="autoZero"/>
        <c:crossBetween val="between"/>
        <c:majorUnit val="4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516452528"/>
        <c:scaling>
          <c:orientation val="minMax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accent5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45312"/>
        <c:crosses val="max"/>
        <c:crossBetween val="between"/>
      </c:valAx>
      <c:catAx>
        <c:axId val="516445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6452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2.729479258605472E-3"/>
          <c:y val="0.1184253003003003"/>
          <c:w val="0.99727052074139455"/>
          <c:h val="0.127329204204204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6336205159616047E-2"/>
          <c:y val="0.2693686186186186"/>
          <c:w val="0.87429501419078259"/>
          <c:h val="0.58124099099099102"/>
        </c:manualLayout>
      </c:layout>
      <c:areaChart>
        <c:grouping val="stacked"/>
        <c:varyColors val="0"/>
        <c:ser>
          <c:idx val="3"/>
          <c:order val="1"/>
          <c:tx>
            <c:strRef>
              <c:f>'курс 2022-2023 v1'!$A$8</c:f>
              <c:strCache>
                <c:ptCount val="1"/>
                <c:pt idx="0">
                  <c:v>заливка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v1'!$B$2:$Y$2</c15:sqref>
                  </c15:fullRef>
                </c:ext>
              </c:extLst>
              <c:f>'курс 2022-2023 v1'!$G$2:$Y$2</c:f>
              <c:numCache>
                <c:formatCode>General</c:formatCode>
                <c:ptCount val="19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v1'!$B$8:$Y$8</c15:sqref>
                  </c15:fullRef>
                </c:ext>
              </c:extLst>
              <c:f>'курс 2022-2023 v1'!$G$8:$Y$8</c:f>
              <c:numCache>
                <c:formatCode>0.00</c:formatCode>
                <c:ptCount val="19"/>
                <c:pt idx="0">
                  <c:v>36.068600000000032</c:v>
                </c:pt>
                <c:pt idx="1">
                  <c:v>36.068600000000032</c:v>
                </c:pt>
                <c:pt idx="2">
                  <c:v>36.068600000000032</c:v>
                </c:pt>
                <c:pt idx="3">
                  <c:v>36.068600000000032</c:v>
                </c:pt>
                <c:pt idx="4">
                  <c:v>36.01895161290323</c:v>
                </c:pt>
                <c:pt idx="5">
                  <c:v>35.655420000000007</c:v>
                </c:pt>
                <c:pt idx="6">
                  <c:v>36.593925806451622</c:v>
                </c:pt>
                <c:pt idx="7">
                  <c:v>37.072233277496139</c:v>
                </c:pt>
                <c:pt idx="8">
                  <c:v>37.77478587846511</c:v>
                </c:pt>
                <c:pt idx="9">
                  <c:v>38.605806424374762</c:v>
                </c:pt>
                <c:pt idx="10">
                  <c:v>38.895705147134706</c:v>
                </c:pt>
                <c:pt idx="11">
                  <c:v>39.281047044824604</c:v>
                </c:pt>
                <c:pt idx="12">
                  <c:v>39.658399481375852</c:v>
                </c:pt>
                <c:pt idx="13">
                  <c:v>40.015635176768157</c:v>
                </c:pt>
                <c:pt idx="14">
                  <c:v>40.14772687713463</c:v>
                </c:pt>
                <c:pt idx="15">
                  <c:v>40.36685760056217</c:v>
                </c:pt>
                <c:pt idx="16">
                  <c:v>40.527007871865493</c:v>
                </c:pt>
                <c:pt idx="17">
                  <c:v>40.700074709472133</c:v>
                </c:pt>
                <c:pt idx="18">
                  <c:v>40.902614826192249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84C0-484E-A3E1-AC3FA9CA93CD}"/>
            </c:ext>
          </c:extLst>
        </c:ser>
        <c:ser>
          <c:idx val="4"/>
          <c:order val="2"/>
          <c:tx>
            <c:strRef>
              <c:f>'курс 2022-2023 v1'!$A$11</c:f>
              <c:strCache>
                <c:ptCount val="1"/>
                <c:pt idx="0">
                  <c:v>Заливка нижний предел уверенности</c:v>
                </c:pt>
              </c:strCache>
            </c:strRef>
          </c:tx>
          <c:spPr>
            <a:noFill/>
            <a:ln w="25400">
              <a:noFill/>
            </a:ln>
            <a:effectLst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v1'!$B$2:$Y$2</c15:sqref>
                  </c15:fullRef>
                </c:ext>
              </c:extLst>
              <c:f>'курс 2022-2023 v1'!$G$2:$Y$2</c:f>
              <c:numCache>
                <c:formatCode>General</c:formatCode>
                <c:ptCount val="19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v1'!$B$11:$Y$11</c15:sqref>
                  </c15:fullRef>
                </c:ext>
              </c:extLst>
              <c:f>'курс 2022-2023 v1'!$G$11:$Y$11</c:f>
              <c:numCache>
                <c:formatCode>General</c:formatCode>
                <c:ptCount val="19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  <c:pt idx="18">
                  <c:v>0.5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4C0-484E-A3E1-AC3FA9CA9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445312"/>
        <c:axId val="516452528"/>
        <c:extLst>
          <c:ext xmlns:c15="http://schemas.microsoft.com/office/drawing/2012/chart" uri="{02D57815-91ED-43cb-92C2-25804820EDAC}">
            <c15:filteredArea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'курс 2022-2023 v1'!$A$10</c15:sqref>
                        </c15:formulaRef>
                      </c:ext>
                    </c:extLst>
                    <c:strCache>
                      <c:ptCount val="1"/>
                      <c:pt idx="0">
                        <c:v>Разбивка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ullRef>
                          <c15:sqref>'курс 2022-2023 v1'!$B$2:$Y$2</c15:sqref>
                        </c15:fullRef>
                        <c15:formulaRef>
                          <c15:sqref>'курс 2022-2023 v1'!$G$2:$Y$2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6</c:v>
                      </c:pt>
                      <c:pt idx="1">
                        <c:v>7</c:v>
                      </c:pt>
                      <c:pt idx="2">
                        <c:v>8</c:v>
                      </c:pt>
                      <c:pt idx="3">
                        <c:v>9</c:v>
                      </c:pt>
                      <c:pt idx="4">
                        <c:v>10</c:v>
                      </c:pt>
                      <c:pt idx="5">
                        <c:v>11</c:v>
                      </c:pt>
                      <c:pt idx="6">
                        <c:v>12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'курс 2022-2023 v1'!$B$10:$Y$10</c15:sqref>
                        </c15:fullRef>
                        <c15:formulaRef>
                          <c15:sqref>'курс 2022-2023 v1'!$G$10:$Y$10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-0.71266969139801972</c:v>
                      </c:pt>
                      <c:pt idx="8">
                        <c:v>-1.7495510839218156</c:v>
                      </c:pt>
                      <c:pt idx="9">
                        <c:v>-2.9628841488234627</c:v>
                      </c:pt>
                      <c:pt idx="10">
                        <c:v>-3.6710682421819172</c:v>
                      </c:pt>
                      <c:pt idx="11">
                        <c:v>-4.3968901416268267</c:v>
                      </c:pt>
                      <c:pt idx="12">
                        <c:v>-5.4217086373776553</c:v>
                      </c:pt>
                      <c:pt idx="13">
                        <c:v>-6.3751778005040194</c:v>
                      </c:pt>
                      <c:pt idx="14">
                        <c:v>-6.7254923706581025</c:v>
                      </c:pt>
                      <c:pt idx="15">
                        <c:v>-7.3005978693343536</c:v>
                      </c:pt>
                      <c:pt idx="16">
                        <c:v>-7.7177410663238106</c:v>
                      </c:pt>
                      <c:pt idx="17">
                        <c:v>-8.1648915981940178</c:v>
                      </c:pt>
                      <c:pt idx="18">
                        <c:v>-8.6833101644401367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35-84C0-484E-A3E1-AC3FA9CA93CD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'курс 2022-2023 v1'!$A$9</c15:sqref>
                        </c15:formulaRef>
                      </c:ext>
                    </c:extLst>
                    <c:strCache>
                      <c:ptCount val="1"/>
                      <c:pt idx="0">
                        <c:v>Заливка верхний предел уверенности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v1'!$B$2:$Y$2</c15:sqref>
                        </c15:fullRef>
                        <c15:formulaRef>
                          <c15:sqref>'курс 2022-2023 v1'!$G$2:$Y$2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6</c:v>
                      </c:pt>
                      <c:pt idx="1">
                        <c:v>7</c:v>
                      </c:pt>
                      <c:pt idx="2">
                        <c:v>8</c:v>
                      </c:pt>
                      <c:pt idx="3">
                        <c:v>9</c:v>
                      </c:pt>
                      <c:pt idx="4">
                        <c:v>10</c:v>
                      </c:pt>
                      <c:pt idx="5">
                        <c:v>11</c:v>
                      </c:pt>
                      <c:pt idx="6">
                        <c:v>12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v1'!$B$9:$Y$9</c15:sqref>
                        </c15:fullRef>
                        <c15:formulaRef>
                          <c15:sqref>'курс 2022-2023 v1'!$G$9:$Y$9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0.5</c:v>
                      </c:pt>
                      <c:pt idx="1">
                        <c:v>0.5</c:v>
                      </c:pt>
                      <c:pt idx="2">
                        <c:v>0.5</c:v>
                      </c:pt>
                      <c:pt idx="3">
                        <c:v>0.5</c:v>
                      </c:pt>
                      <c:pt idx="4">
                        <c:v>0.5</c:v>
                      </c:pt>
                      <c:pt idx="5">
                        <c:v>0.5</c:v>
                      </c:pt>
                      <c:pt idx="6">
                        <c:v>0.5</c:v>
                      </c:pt>
                      <c:pt idx="7">
                        <c:v>0.5</c:v>
                      </c:pt>
                      <c:pt idx="8">
                        <c:v>0.5</c:v>
                      </c:pt>
                      <c:pt idx="9">
                        <c:v>0.5</c:v>
                      </c:pt>
                      <c:pt idx="10">
                        <c:v>0.5</c:v>
                      </c:pt>
                      <c:pt idx="11">
                        <c:v>0.5</c:v>
                      </c:pt>
                      <c:pt idx="12">
                        <c:v>0.5</c:v>
                      </c:pt>
                      <c:pt idx="13">
                        <c:v>0.5</c:v>
                      </c:pt>
                      <c:pt idx="14">
                        <c:v>0.5</c:v>
                      </c:pt>
                      <c:pt idx="15">
                        <c:v>0.5</c:v>
                      </c:pt>
                      <c:pt idx="16">
                        <c:v>0.5</c:v>
                      </c:pt>
                      <c:pt idx="17">
                        <c:v>0.5</c:v>
                      </c:pt>
                      <c:pt idx="18">
                        <c:v>0.5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4C0-484E-A3E1-AC3FA9CA93CD}"/>
                  </c:ext>
                </c:extLst>
              </c15:ser>
            </c15:filteredAreaSeries>
          </c:ext>
        </c:extLst>
      </c:areaChart>
      <c:barChart>
        <c:barDir val="col"/>
        <c:grouping val="clustered"/>
        <c:varyColors val="0"/>
        <c:ser>
          <c:idx val="0"/>
          <c:order val="0"/>
          <c:tx>
            <c:strRef>
              <c:f>'курс 2022-2023 v1'!$A$3</c:f>
              <c:strCache>
                <c:ptCount val="1"/>
                <c:pt idx="0">
                  <c:v>Сводное сальдо платежного баланса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8"/>
              <c:layout>
                <c:manualLayout>
                  <c:x val="-5.7083123382825739E-17"/>
                  <c:y val="9.5345345345345337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4C0-484E-A3E1-AC3FA9CA93CD}"/>
                </c:ext>
              </c:extLst>
            </c:dLbl>
            <c:dLbl>
              <c:idx val="11"/>
              <c:layout>
                <c:manualLayout>
                  <c:x val="-4.0941658137154556E-3"/>
                  <c:y val="1.5325493456676104E-1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4C0-484E-A3E1-AC3FA9CA93CD}"/>
                </c:ext>
              </c:extLst>
            </c:dLbl>
            <c:dLbl>
              <c:idx val="13"/>
              <c:layout>
                <c:manualLayout>
                  <c:x val="-9.5530535653361622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4C0-484E-A3E1-AC3FA9CA93CD}"/>
                </c:ext>
              </c:extLst>
            </c:dLbl>
            <c:dLbl>
              <c:idx val="14"/>
              <c:layout>
                <c:manualLayout>
                  <c:x val="-4.0941658137154556E-3"/>
                  <c:y val="2.089864158829676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4C0-484E-A3E1-AC3FA9CA93CD}"/>
                </c:ext>
              </c:extLst>
            </c:dLbl>
            <c:dLbl>
              <c:idx val="18"/>
              <c:layout>
                <c:manualLayout>
                  <c:x val="3.1136608806510576E-3"/>
                  <c:y val="1.9069069069068981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4C0-484E-A3E1-AC3FA9CA9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'курс 2022-2023 v1'!$B$1:$Y$2</c15:sqref>
                  </c15:fullRef>
                </c:ext>
              </c:extLst>
              <c:f>'курс 2022-2023 v1'!$G$1:$Y$2</c:f>
              <c:multiLvlStrCache>
                <c:ptCount val="19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9</c:v>
                  </c:pt>
                  <c:pt idx="16">
                    <c:v>10</c:v>
                  </c:pt>
                  <c:pt idx="17">
                    <c:v>11</c:v>
                  </c:pt>
                  <c:pt idx="18">
                    <c:v>12</c:v>
                  </c:pt>
                </c:lvl>
                <c:lvl>
                  <c:pt idx="7">
                    <c:v>2024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v1'!$B$3:$Y$3</c15:sqref>
                  </c15:fullRef>
                </c:ext>
              </c:extLst>
              <c:f>'курс 2022-2023 v1'!$G$3:$Y$3</c:f>
              <c:numCache>
                <c:formatCode>0.0</c:formatCode>
                <c:ptCount val="19"/>
                <c:pt idx="0">
                  <c:v>1688</c:v>
                </c:pt>
                <c:pt idx="1">
                  <c:v>2579</c:v>
                </c:pt>
                <c:pt idx="2">
                  <c:v>-1297</c:v>
                </c:pt>
                <c:pt idx="3">
                  <c:v>-609</c:v>
                </c:pt>
                <c:pt idx="4">
                  <c:v>-847</c:v>
                </c:pt>
                <c:pt idx="5">
                  <c:v>-355</c:v>
                </c:pt>
                <c:pt idx="6">
                  <c:v>1146.4890524503166</c:v>
                </c:pt>
                <c:pt idx="7">
                  <c:v>-232.99787369862486</c:v>
                </c:pt>
                <c:pt idx="8">
                  <c:v>-676.43982731900735</c:v>
                </c:pt>
                <c:pt idx="9">
                  <c:v>236.56588660407374</c:v>
                </c:pt>
                <c:pt idx="10">
                  <c:v>359.02079590516234</c:v>
                </c:pt>
                <c:pt idx="11">
                  <c:v>282.57177416106219</c:v>
                </c:pt>
                <c:pt idx="12">
                  <c:v>1627.2049399829514</c:v>
                </c:pt>
                <c:pt idx="13">
                  <c:v>850.64734420255854</c:v>
                </c:pt>
                <c:pt idx="14">
                  <c:v>1604.9295993719618</c:v>
                </c:pt>
                <c:pt idx="15">
                  <c:v>1981.3790423396867</c:v>
                </c:pt>
                <c:pt idx="16">
                  <c:v>1140.1944691993506</c:v>
                </c:pt>
                <c:pt idx="17">
                  <c:v>1277.5093975393313</c:v>
                </c:pt>
                <c:pt idx="18">
                  <c:v>2708.9606702932301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C0-484E-A3E1-AC3FA9CA93CD}"/>
            </c:ext>
          </c:extLst>
        </c:ser>
        <c:ser>
          <c:idx val="7"/>
          <c:order val="7"/>
          <c:tx>
            <c:strRef>
              <c:f>'курс 2022-2023 v1'!$A$4</c:f>
              <c:strCache>
                <c:ptCount val="1"/>
                <c:pt idx="0">
                  <c:v>Интервенции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13"/>
              <c:layout>
                <c:manualLayout>
                  <c:x val="2.7294438758102037E-3"/>
                  <c:y val="-7.6627467283380521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4C0-484E-A3E1-AC3FA9CA93CD}"/>
                </c:ext>
              </c:extLst>
            </c:dLbl>
            <c:dLbl>
              <c:idx val="14"/>
              <c:layout>
                <c:manualLayout>
                  <c:x val="5.4588877516205071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4C0-484E-A3E1-AC3FA9CA93CD}"/>
                </c:ext>
              </c:extLst>
            </c:dLbl>
            <c:dLbl>
              <c:idx val="15"/>
              <c:layout>
                <c:manualLayout>
                  <c:x val="5.4588877516206077E-3"/>
                  <c:y val="8.359456635318627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4C0-484E-A3E1-AC3FA9CA93CD}"/>
                </c:ext>
              </c:extLst>
            </c:dLbl>
            <c:dLbl>
              <c:idx val="16"/>
              <c:layout>
                <c:manualLayout>
                  <c:x val="8.1883316274309111E-3"/>
                  <c:y val="2.089864158829676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4C0-484E-A3E1-AC3FA9CA93CD}"/>
                </c:ext>
              </c:extLst>
            </c:dLbl>
            <c:dLbl>
              <c:idx val="17"/>
              <c:layout>
                <c:manualLayout>
                  <c:x val="6.8236096895256592E-3"/>
                  <c:y val="8.359456635318627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4C0-484E-A3E1-AC3FA9CA93CD}"/>
                </c:ext>
              </c:extLst>
            </c:dLbl>
            <c:dLbl>
              <c:idx val="18"/>
              <c:layout>
                <c:manualLayout>
                  <c:x val="5.4588877516206077E-3"/>
                  <c:y val="4.179728317659275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4C0-484E-A3E1-AC3FA9CA93C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'курс 2022-2023 v1'!$B$1:$Y$2</c15:sqref>
                  </c15:fullRef>
                </c:ext>
              </c:extLst>
              <c:f>'курс 2022-2023 v1'!$G$1:$Y$2</c:f>
              <c:multiLvlStrCache>
                <c:ptCount val="19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  <c:pt idx="15">
                    <c:v>9</c:v>
                  </c:pt>
                  <c:pt idx="16">
                    <c:v>10</c:v>
                  </c:pt>
                  <c:pt idx="17">
                    <c:v>11</c:v>
                  </c:pt>
                  <c:pt idx="18">
                    <c:v>12</c:v>
                  </c:pt>
                </c:lvl>
                <c:lvl>
                  <c:pt idx="7">
                    <c:v>2024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v1'!$B$4:$Y$4</c15:sqref>
                  </c15:fullRef>
                </c:ext>
              </c:extLst>
              <c:f>'курс 2022-2023 v1'!$G$4:$Y$4</c:f>
              <c:numCache>
                <c:formatCode>0.0</c:formatCode>
                <c:ptCount val="19"/>
                <c:pt idx="0">
                  <c:v>-1797.8799999999999</c:v>
                </c:pt>
                <c:pt idx="1">
                  <c:v>-1932.92</c:v>
                </c:pt>
                <c:pt idx="2">
                  <c:v>-2364.23</c:v>
                </c:pt>
                <c:pt idx="3">
                  <c:v>-2691.4</c:v>
                </c:pt>
                <c:pt idx="4">
                  <c:v>-3337.4700000000003</c:v>
                </c:pt>
                <c:pt idx="5">
                  <c:v>-2452.8599999999997</c:v>
                </c:pt>
                <c:pt idx="6">
                  <c:v>-3553.0400000000004</c:v>
                </c:pt>
                <c:pt idx="7">
                  <c:v>-1810.4178166917461</c:v>
                </c:pt>
                <c:pt idx="8">
                  <c:v>-2843.7831373735075</c:v>
                </c:pt>
                <c:pt idx="9">
                  <c:v>-3272.3022309921439</c:v>
                </c:pt>
                <c:pt idx="10">
                  <c:v>-2101.5611664165344</c:v>
                </c:pt>
                <c:pt idx="11">
                  <c:v>-2680.1064577729621</c:v>
                </c:pt>
                <c:pt idx="12">
                  <c:v>-2494.0289130709571</c:v>
                </c:pt>
                <c:pt idx="13">
                  <c:v>-2451.0996047337517</c:v>
                </c:pt>
                <c:pt idx="14">
                  <c:v>-1005.1585914403573</c:v>
                </c:pt>
                <c:pt idx="15">
                  <c:v>-1739.8484822304677</c:v>
                </c:pt>
                <c:pt idx="16">
                  <c:v>-1354.104743012784</c:v>
                </c:pt>
                <c:pt idx="17">
                  <c:v>-1477.6948474954359</c:v>
                </c:pt>
                <c:pt idx="18">
                  <c:v>-1703.9523365588987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4C0-484E-A3E1-AC3FA9CA9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16438752"/>
        <c:axId val="516436128"/>
        <c:extLst>
          <c:ext xmlns:c15="http://schemas.microsoft.com/office/drawing/2012/chart" uri="{02D57815-91ED-43cb-92C2-25804820EDAC}">
            <c15:filteredBarSeries>
              <c15:ser>
                <c:idx val="9"/>
                <c:order val="9"/>
                <c:tx>
                  <c:strRef>
                    <c:extLst>
                      <c:ext uri="{02D57815-91ED-43cb-92C2-25804820EDAC}">
                        <c15:formulaRef>
                          <c15:sqref>'курс 2022-2023 v1'!$A$5</c15:sqref>
                        </c15:formulaRef>
                      </c:ext>
                    </c:extLst>
                    <c:strCache>
                      <c:ptCount val="1"/>
                      <c:pt idx="0">
                        <c:v>Интервенции (борьба с инфляцией)</c:v>
                      </c:pt>
                    </c:strCache>
                  </c:strRef>
                </c:tx>
                <c:spPr>
                  <a:solidFill>
                    <a:schemeClr val="accent4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ullRef>
                          <c15:sqref>'курс 2022-2023 v1'!$B$5:$Y$5</c15:sqref>
                        </c15:fullRef>
                        <c15:formulaRef>
                          <c15:sqref>'курс 2022-2023 v1'!$G$5:$Y$5</c15:sqref>
                        </c15:formulaRef>
                      </c:ext>
                    </c:extLst>
                    <c:numCache>
                      <c:formatCode>0.0</c:formatCode>
                      <c:ptCount val="19"/>
                      <c:pt idx="0">
                        <c:v>-1797.8799999999999</c:v>
                      </c:pt>
                      <c:pt idx="1">
                        <c:v>-1932.92</c:v>
                      </c:pt>
                      <c:pt idx="2">
                        <c:v>-2364.23</c:v>
                      </c:pt>
                      <c:pt idx="3">
                        <c:v>-2691.4</c:v>
                      </c:pt>
                      <c:pt idx="4">
                        <c:v>-3337.4700000000003</c:v>
                      </c:pt>
                      <c:pt idx="5">
                        <c:v>-2452.8599999999997</c:v>
                      </c:pt>
                      <c:pt idx="6">
                        <c:v>-3553.0400000000004</c:v>
                      </c:pt>
                      <c:pt idx="7">
                        <c:v>-2112.1541194737038</c:v>
                      </c:pt>
                      <c:pt idx="8">
                        <c:v>-3317.7469936024254</c:v>
                      </c:pt>
                      <c:pt idx="9">
                        <c:v>-3817.6859361575016</c:v>
                      </c:pt>
                      <c:pt idx="10">
                        <c:v>-2389.1432207682706</c:v>
                      </c:pt>
                      <c:pt idx="11">
                        <c:v>-2962.2229270122216</c:v>
                      </c:pt>
                      <c:pt idx="12">
                        <c:v>-2887.8229519768984</c:v>
                      </c:pt>
                      <c:pt idx="13">
                        <c:v>-2838.1153317969761</c:v>
                      </c:pt>
                      <c:pt idx="14">
                        <c:v>-1163.8678427204138</c:v>
                      </c:pt>
                      <c:pt idx="15">
                        <c:v>-2014.5614004773838</c:v>
                      </c:pt>
                      <c:pt idx="16">
                        <c:v>-1567.9107550674344</c:v>
                      </c:pt>
                      <c:pt idx="17">
                        <c:v>-1711.0150865736628</c:v>
                      </c:pt>
                      <c:pt idx="18">
                        <c:v>-1972.9974423313565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F-84C0-484E-A3E1-AC3FA9CA93CD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1"/>
          <c:order val="4"/>
          <c:tx>
            <c:strRef>
              <c:f>'курс 2022-2023 v1'!$A$6</c:f>
              <c:strCache>
                <c:ptCount val="1"/>
                <c:pt idx="0">
                  <c:v>Обменный курс</c:v>
                </c:pt>
              </c:strCache>
              <c:extLst xmlns:c15="http://schemas.microsoft.com/office/drawing/2012/chart"/>
            </c:strRef>
          </c:tx>
          <c:spPr>
            <a:ln w="1270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4C0-484E-A3E1-AC3FA9CA93CD}"/>
                </c:ext>
              </c:extLst>
            </c:dLbl>
            <c:dLbl>
              <c:idx val="1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4C0-484E-A3E1-AC3FA9CA93CD}"/>
                </c:ext>
              </c:extLst>
            </c:dLbl>
            <c:dLbl>
              <c:idx val="2"/>
              <c:layout>
                <c:manualLayout>
                  <c:x val="-3.9588114151220946E-2"/>
                  <c:y val="-4.068656156156160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84C0-484E-A3E1-AC3FA9CA93CD}"/>
                </c:ext>
              </c:extLst>
            </c:dLbl>
            <c:dLbl>
              <c:idx val="3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4C0-484E-A3E1-AC3FA9CA93CD}"/>
                </c:ext>
              </c:extLst>
            </c:dLbl>
            <c:dLbl>
              <c:idx val="4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84C0-484E-A3E1-AC3FA9CA93CD}"/>
                </c:ext>
              </c:extLst>
            </c:dLbl>
            <c:dLbl>
              <c:idx val="5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84C0-484E-A3E1-AC3FA9CA93CD}"/>
                </c:ext>
              </c:extLst>
            </c:dLbl>
            <c:dLbl>
              <c:idx val="6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84C0-484E-A3E1-AC3FA9CA93CD}"/>
                </c:ext>
              </c:extLst>
            </c:dLbl>
            <c:dLbl>
              <c:idx val="7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84C0-484E-A3E1-AC3FA9CA93CD}"/>
                </c:ext>
              </c:extLst>
            </c:dLbl>
            <c:dLbl>
              <c:idx val="9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84C0-484E-A3E1-AC3FA9CA93CD}"/>
                </c:ext>
              </c:extLst>
            </c:dLbl>
            <c:dLbl>
              <c:idx val="10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D-84C0-484E-A3E1-AC3FA9CA93CD}"/>
                </c:ext>
              </c:extLst>
            </c:dLbl>
            <c:dLbl>
              <c:idx val="12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4C0-484E-A3E1-AC3FA9CA93CD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84C0-484E-A3E1-AC3FA9CA93CD}"/>
                </c:ext>
              </c:extLst>
            </c:dLbl>
            <c:dLbl>
              <c:idx val="15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4C0-484E-A3E1-AC3FA9CA93CD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84C0-484E-A3E1-AC3FA9CA93CD}"/>
                </c:ext>
              </c:extLst>
            </c:dLbl>
            <c:dLbl>
              <c:idx val="17"/>
              <c:delete val="1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84C0-484E-A3E1-AC3FA9CA93CD}"/>
                </c:ext>
              </c:extLst>
            </c:dLbl>
            <c:dLbl>
              <c:idx val="18"/>
              <c:layout>
                <c:manualLayout>
                  <c:x val="-4.8619937236442208E-2"/>
                  <c:y val="-4.12725225225225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84C0-484E-A3E1-AC3FA9CA93CD}"/>
                </c:ext>
              </c:extLst>
            </c:dLbl>
            <c:spPr>
              <a:solidFill>
                <a:schemeClr val="bg1"/>
              </a:solidFill>
              <a:ln w="6350">
                <a:solidFill>
                  <a:schemeClr val="accent5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v1'!$B$2:$Y$2</c15:sqref>
                  </c15:fullRef>
                </c:ext>
              </c:extLst>
              <c:f>'курс 2022-2023 v1'!$G$2:$Y$2</c:f>
              <c:numCache>
                <c:formatCode>General</c:formatCode>
                <c:ptCount val="19"/>
                <c:pt idx="0">
                  <c:v>6</c:v>
                </c:pt>
                <c:pt idx="1">
                  <c:v>7</c:v>
                </c:pt>
                <c:pt idx="2">
                  <c:v>8</c:v>
                </c:pt>
                <c:pt idx="3">
                  <c:v>9</c:v>
                </c:pt>
                <c:pt idx="4">
                  <c:v>10</c:v>
                </c:pt>
                <c:pt idx="5">
                  <c:v>11</c:v>
                </c:pt>
                <c:pt idx="6">
                  <c:v>12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v1'!$B$6:$Y$6</c15:sqref>
                  </c15:fullRef>
                </c:ext>
              </c:extLst>
              <c:f>'курс 2022-2023 v1'!$G$6:$Y$6</c:f>
              <c:numCache>
                <c:formatCode>0.00</c:formatCode>
                <c:ptCount val="19"/>
                <c:pt idx="0">
                  <c:v>36.568600000000032</c:v>
                </c:pt>
                <c:pt idx="1">
                  <c:v>36.568600000000032</c:v>
                </c:pt>
                <c:pt idx="2">
                  <c:v>36.568600000000032</c:v>
                </c:pt>
                <c:pt idx="3">
                  <c:v>36.568600000000032</c:v>
                </c:pt>
                <c:pt idx="4">
                  <c:v>36.51895161290323</c:v>
                </c:pt>
                <c:pt idx="5">
                  <c:v>36.155420000000007</c:v>
                </c:pt>
                <c:pt idx="6">
                  <c:v>37.093925806451622</c:v>
                </c:pt>
                <c:pt idx="7">
                  <c:v>37.572233277496139</c:v>
                </c:pt>
                <c:pt idx="8">
                  <c:v>38.27478587846511</c:v>
                </c:pt>
                <c:pt idx="9">
                  <c:v>39.105806424374762</c:v>
                </c:pt>
                <c:pt idx="10">
                  <c:v>39.395705147134706</c:v>
                </c:pt>
                <c:pt idx="11">
                  <c:v>39.781047044824604</c:v>
                </c:pt>
                <c:pt idx="12">
                  <c:v>40.158399481375852</c:v>
                </c:pt>
                <c:pt idx="13">
                  <c:v>40.515635176768157</c:v>
                </c:pt>
                <c:pt idx="14">
                  <c:v>40.64772687713463</c:v>
                </c:pt>
                <c:pt idx="15">
                  <c:v>40.86685760056217</c:v>
                </c:pt>
                <c:pt idx="16">
                  <c:v>41.027007871865493</c:v>
                </c:pt>
                <c:pt idx="17">
                  <c:v>41.200074709472133</c:v>
                </c:pt>
                <c:pt idx="18">
                  <c:v>41.402614826192249</c:v>
                </c:pt>
              </c:numCache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categoryFilterExceptions>
                <c15:categoryFilterException>
                  <c15:sqref>'курс 2022-2023 v1'!$B$6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D0CF-41D7-AA2C-D68A1C04BB5F}"/>
                      </c:ext>
                    </c:extLst>
                  </c15:dLbl>
                </c15:categoryFilterException>
                <c15:categoryFilterException>
                  <c15:sqref>'курс 2022-2023 v1'!$C$6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6-D0CF-41D7-AA2C-D68A1C04BB5F}"/>
                      </c:ext>
                    </c:extLst>
                  </c15:dLbl>
                </c15:categoryFilterException>
                <c15:categoryFilterException>
                  <c15:sqref>'курс 2022-2023 v1'!$D$6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7-D0CF-41D7-AA2C-D68A1C04BB5F}"/>
                      </c:ext>
                    </c:extLst>
                  </c15:dLbl>
                </c15:categoryFilterException>
                <c15:categoryFilterException>
                  <c15:sqref>'курс 2022-2023 v1'!$E$6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8-D0CF-41D7-AA2C-D68A1C04BB5F}"/>
                      </c:ext>
                    </c:extLst>
                  </c15:dLbl>
                </c15:categoryFilterException>
                <c15:categoryFilterException>
                  <c15:sqref>'курс 2022-2023 v1'!$F$6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9-D0CF-41D7-AA2C-D68A1C04BB5F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34-84C0-484E-A3E1-AC3FA9CA93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445312"/>
        <c:axId val="516452528"/>
        <c:extLst>
          <c:ext xmlns:c15="http://schemas.microsoft.com/office/drawing/2012/chart" uri="{02D57815-91ED-43cb-92C2-25804820EDAC}">
            <c15:filteredLineSeries>
              <c15:ser>
                <c:idx val="2"/>
                <c:order val="3"/>
                <c:tx>
                  <c:strRef>
                    <c:extLst>
                      <c:ext uri="{02D57815-91ED-43cb-92C2-25804820EDAC}">
                        <c15:formulaRef>
                          <c15:sqref>'курс 2022-2023 v1'!$A$7</c15:sqref>
                        </c15:formulaRef>
                      </c:ext>
                    </c:extLst>
                    <c:strCache>
                      <c:ptCount val="1"/>
                      <c:pt idx="0">
                        <c:v>Обменный курс (борьба с инфляцией)</c:v>
                      </c:pt>
                    </c:strCache>
                  </c:strRef>
                </c:tx>
                <c:spPr>
                  <a:ln w="12700" cap="rnd">
                    <a:solidFill>
                      <a:schemeClr val="accent3">
                        <a:lumMod val="50000"/>
                      </a:schemeClr>
                    </a:solidFill>
                    <a:prstDash val="dash"/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0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0-84C0-484E-A3E1-AC3FA9CA93CD}"/>
                      </c:ext>
                    </c:extLst>
                  </c:dLbl>
                  <c:dLbl>
                    <c:idx val="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1-84C0-484E-A3E1-AC3FA9CA93CD}"/>
                      </c:ext>
                    </c:extLst>
                  </c:dLbl>
                  <c:dLbl>
                    <c:idx val="2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2-84C0-484E-A3E1-AC3FA9CA93CD}"/>
                      </c:ext>
                    </c:extLst>
                  </c:dLbl>
                  <c:dLbl>
                    <c:idx val="3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3-84C0-484E-A3E1-AC3FA9CA93CD}"/>
                      </c:ext>
                    </c:extLst>
                  </c:dLbl>
                  <c:dLbl>
                    <c:idx val="4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4-84C0-484E-A3E1-AC3FA9CA93CD}"/>
                      </c:ext>
                    </c:extLst>
                  </c:dLbl>
                  <c:dLbl>
                    <c:idx val="5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5-84C0-484E-A3E1-AC3FA9CA93CD}"/>
                      </c:ext>
                    </c:extLst>
                  </c:dLbl>
                  <c:dLbl>
                    <c:idx val="6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6-84C0-484E-A3E1-AC3FA9CA93CD}"/>
                      </c:ext>
                    </c:extLst>
                  </c:dLbl>
                  <c:dLbl>
                    <c:idx val="7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7-84C0-484E-A3E1-AC3FA9CA93CD}"/>
                      </c:ext>
                    </c:extLst>
                  </c:dLbl>
                  <c:dLbl>
                    <c:idx val="8"/>
                    <c:layout>
                      <c:manualLayout>
                        <c:x val="-4.9974257134451312E-2"/>
                        <c:y val="4.1272897897897898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8-84C0-484E-A3E1-AC3FA9CA93CD}"/>
                      </c:ext>
                    </c:extLst>
                  </c:dLbl>
                  <c:dLbl>
                    <c:idx val="9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9-84C0-484E-A3E1-AC3FA9CA93CD}"/>
                      </c:ext>
                    </c:extLst>
                  </c:dLbl>
                  <c:dLbl>
                    <c:idx val="10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A-84C0-484E-A3E1-AC3FA9CA93CD}"/>
                      </c:ext>
                    </c:extLst>
                  </c:dLbl>
                  <c:dLbl>
                    <c:idx val="11"/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B-84C0-484E-A3E1-AC3FA9CA93CD}"/>
                      </c:ext>
                    </c:extLst>
                  </c:dLbl>
                  <c:dLbl>
                    <c:idx val="12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C-84C0-484E-A3E1-AC3FA9CA93CD}"/>
                      </c:ext>
                    </c:extLst>
                  </c:dLbl>
                  <c:dLbl>
                    <c:idx val="13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D-84C0-484E-A3E1-AC3FA9CA93CD}"/>
                      </c:ext>
                    </c:extLst>
                  </c:dLbl>
                  <c:dLbl>
                    <c:idx val="14"/>
                    <c:dLblPos val="t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E-84C0-484E-A3E1-AC3FA9CA93CD}"/>
                      </c:ext>
                    </c:extLst>
                  </c:dLbl>
                  <c:dLbl>
                    <c:idx val="15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F-84C0-484E-A3E1-AC3FA9CA93CD}"/>
                      </c:ext>
                    </c:extLst>
                  </c:dLbl>
                  <c:dLbl>
                    <c:idx val="16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0-84C0-484E-A3E1-AC3FA9CA93CD}"/>
                      </c:ext>
                    </c:extLst>
                  </c:dLbl>
                  <c:dLbl>
                    <c:idx val="17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1-84C0-484E-A3E1-AC3FA9CA93CD}"/>
                      </c:ext>
                    </c:extLst>
                  </c:dLbl>
                  <c:dLbl>
                    <c:idx val="18"/>
                    <c:layout>
                      <c:manualLayout>
                        <c:x val="-4.3156810826713854E-2"/>
                        <c:y val="-5.067267267267276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2-84C0-484E-A3E1-AC3FA9CA93CD}"/>
                      </c:ext>
                    </c:extLst>
                  </c:dLbl>
                  <c:spPr>
                    <a:solidFill>
                      <a:schemeClr val="bg1"/>
                    </a:solidFill>
                    <a:ln w="6350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600" b="0" i="0" u="none" strike="noStrike" kern="1200" baseline="0">
                          <a:solidFill>
                            <a:schemeClr val="accent3">
                              <a:lumMod val="50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b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0"/>
                    </c:ext>
                  </c:extLst>
                </c:dLbls>
                <c:cat>
                  <c:numRef>
                    <c:extLst>
                      <c:ext uri="{02D57815-91ED-43cb-92C2-25804820EDAC}">
                        <c15:fullRef>
                          <c15:sqref>'курс 2022-2023 v1'!$B$2:$Y$2</c15:sqref>
                        </c15:fullRef>
                        <c15:formulaRef>
                          <c15:sqref>'курс 2022-2023 v1'!$G$2:$Y$2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6</c:v>
                      </c:pt>
                      <c:pt idx="1">
                        <c:v>7</c:v>
                      </c:pt>
                      <c:pt idx="2">
                        <c:v>8</c:v>
                      </c:pt>
                      <c:pt idx="3">
                        <c:v>9</c:v>
                      </c:pt>
                      <c:pt idx="4">
                        <c:v>10</c:v>
                      </c:pt>
                      <c:pt idx="5">
                        <c:v>11</c:v>
                      </c:pt>
                      <c:pt idx="6">
                        <c:v>12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'курс 2022-2023 v1'!$B$7:$Y$7</c15:sqref>
                        </c15:fullRef>
                        <c15:formulaRef>
                          <c15:sqref>'курс 2022-2023 v1'!$G$7:$Y$7</c15:sqref>
                        </c15:formulaRef>
                      </c:ext>
                    </c:extLst>
                    <c:numCache>
                      <c:formatCode>0.00</c:formatCode>
                      <c:ptCount val="19"/>
                      <c:pt idx="0">
                        <c:v>36.568600000000032</c:v>
                      </c:pt>
                      <c:pt idx="1">
                        <c:v>36.568600000000032</c:v>
                      </c:pt>
                      <c:pt idx="2">
                        <c:v>36.568600000000032</c:v>
                      </c:pt>
                      <c:pt idx="3">
                        <c:v>36.568600000000032</c:v>
                      </c:pt>
                      <c:pt idx="4">
                        <c:v>36.51895161290323</c:v>
                      </c:pt>
                      <c:pt idx="5">
                        <c:v>36.155420000000007</c:v>
                      </c:pt>
                      <c:pt idx="6">
                        <c:v>37.093925806451622</c:v>
                      </c:pt>
                      <c:pt idx="7">
                        <c:v>36.859563586098119</c:v>
                      </c:pt>
                      <c:pt idx="8">
                        <c:v>36.525234794543294</c:v>
                      </c:pt>
                      <c:pt idx="9">
                        <c:v>36.1429222755513</c:v>
                      </c:pt>
                      <c:pt idx="10">
                        <c:v>35.724636904952789</c:v>
                      </c:pt>
                      <c:pt idx="11">
                        <c:v>35.384156903197777</c:v>
                      </c:pt>
                      <c:pt idx="12">
                        <c:v>34.736690843998197</c:v>
                      </c:pt>
                      <c:pt idx="13">
                        <c:v>34.140457376264138</c:v>
                      </c:pt>
                      <c:pt idx="14">
                        <c:v>33.922234506476528</c:v>
                      </c:pt>
                      <c:pt idx="15">
                        <c:v>33.566259731227817</c:v>
                      </c:pt>
                      <c:pt idx="16">
                        <c:v>33.309266805541682</c:v>
                      </c:pt>
                      <c:pt idx="17">
                        <c:v>33.035183111278116</c:v>
                      </c:pt>
                      <c:pt idx="18">
                        <c:v>32.719304661752112</c:v>
                      </c:pt>
                    </c:numCache>
                  </c:numRef>
                </c:val>
                <c:smooth val="0"/>
                <c:extLst>
                  <c:ext uri="{02D57815-91ED-43cb-92C2-25804820EDAC}">
                    <c15:categoryFilterExceptions>
                      <c15:categoryFilterException>
                        <c15:sqref>'курс 2022-2023 v1'!$B$7</c15:sqref>
                        <c15:dLbl>
                          <c:idx val="-1"/>
                          <c:delete val="1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00-D0CF-41D7-AA2C-D68A1C04BB5F}"/>
                            </c:ext>
                          </c:extLst>
                        </c15:dLbl>
                      </c15:categoryFilterException>
                      <c15:categoryFilterException>
                        <c15:sqref>'курс 2022-2023 v1'!$C$7</c15:sqref>
                        <c15:dLbl>
                          <c:idx val="-1"/>
                          <c:delete val="1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01-D0CF-41D7-AA2C-D68A1C04BB5F}"/>
                            </c:ext>
                          </c:extLst>
                        </c15:dLbl>
                      </c15:categoryFilterException>
                      <c15:categoryFilterException>
                        <c15:sqref>'курс 2022-2023 v1'!$D$7</c15:sqref>
                        <c15:dLbl>
                          <c:idx val="-1"/>
                          <c:delete val="1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02-D0CF-41D7-AA2C-D68A1C04BB5F}"/>
                            </c:ext>
                          </c:extLst>
                        </c15:dLbl>
                      </c15:categoryFilterException>
                      <c15:categoryFilterException>
                        <c15:sqref>'курс 2022-2023 v1'!$E$7</c15:sqref>
                        <c15:dLbl>
                          <c:idx val="-1"/>
                          <c:delete val="1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03-D0CF-41D7-AA2C-D68A1C04BB5F}"/>
                            </c:ext>
                          </c:extLst>
                        </c15:dLbl>
                      </c15:categoryFilterException>
                      <c15:categoryFilterException>
                        <c15:sqref>'курс 2022-2023 v1'!$F$7</c15:sqref>
                        <c15:dLbl>
                          <c:idx val="-1"/>
                          <c:delete val="1"/>
                          <c:extLst>
                            <c:ext uri="{CE6537A1-D6FC-4f65-9D91-7224C49458BB}"/>
                            <c:ext xmlns:c16="http://schemas.microsoft.com/office/drawing/2014/chart" uri="{C3380CC4-5D6E-409C-BE32-E72D297353CC}">
                              <c16:uniqueId val="{00000004-D0CF-41D7-AA2C-D68A1C04BB5F}"/>
                            </c:ext>
                          </c:extLst>
                        </c15:dLbl>
                      </c15:categoryFilterException>
                    </c15:categoryFilterExceptions>
                  </c:ext>
                  <c:ext xmlns:c16="http://schemas.microsoft.com/office/drawing/2014/chart" uri="{C3380CC4-5D6E-409C-BE32-E72D297353CC}">
                    <c16:uniqueId val="{00000023-84C0-484E-A3E1-AC3FA9CA93CD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'курс 2022-2023 v1'!$A$9</c15:sqref>
                        </c15:formulaRef>
                      </c:ext>
                    </c:extLst>
                    <c:strCache>
                      <c:ptCount val="1"/>
                      <c:pt idx="0">
                        <c:v>Заливка верхний предел уверенности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v1'!$B$2:$Y$2</c15:sqref>
                        </c15:fullRef>
                        <c15:formulaRef>
                          <c15:sqref>'курс 2022-2023 v1'!$G$2:$Y$2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6</c:v>
                      </c:pt>
                      <c:pt idx="1">
                        <c:v>7</c:v>
                      </c:pt>
                      <c:pt idx="2">
                        <c:v>8</c:v>
                      </c:pt>
                      <c:pt idx="3">
                        <c:v>9</c:v>
                      </c:pt>
                      <c:pt idx="4">
                        <c:v>10</c:v>
                      </c:pt>
                      <c:pt idx="5">
                        <c:v>11</c:v>
                      </c:pt>
                      <c:pt idx="6">
                        <c:v>12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3</c:v>
                      </c:pt>
                      <c:pt idx="10">
                        <c:v>4</c:v>
                      </c:pt>
                      <c:pt idx="11">
                        <c:v>5</c:v>
                      </c:pt>
                      <c:pt idx="12">
                        <c:v>6</c:v>
                      </c:pt>
                      <c:pt idx="13">
                        <c:v>7</c:v>
                      </c:pt>
                      <c:pt idx="14">
                        <c:v>8</c:v>
                      </c:pt>
                      <c:pt idx="15">
                        <c:v>9</c:v>
                      </c:pt>
                      <c:pt idx="16">
                        <c:v>10</c:v>
                      </c:pt>
                      <c:pt idx="17">
                        <c:v>11</c:v>
                      </c:pt>
                      <c:pt idx="18">
                        <c:v>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v1'!$B$10:$Y$10</c15:sqref>
                        </c15:fullRef>
                        <c15:formulaRef>
                          <c15:sqref>'курс 2022-2023 v1'!$G$10:$Y$10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-0.71266969139801972</c:v>
                      </c:pt>
                      <c:pt idx="8">
                        <c:v>-1.7495510839218156</c:v>
                      </c:pt>
                      <c:pt idx="9">
                        <c:v>-2.9628841488234627</c:v>
                      </c:pt>
                      <c:pt idx="10">
                        <c:v>-3.6710682421819172</c:v>
                      </c:pt>
                      <c:pt idx="11">
                        <c:v>-4.3968901416268267</c:v>
                      </c:pt>
                      <c:pt idx="12">
                        <c:v>-5.4217086373776553</c:v>
                      </c:pt>
                      <c:pt idx="13">
                        <c:v>-6.3751778005040194</c:v>
                      </c:pt>
                      <c:pt idx="14">
                        <c:v>-6.7254923706581025</c:v>
                      </c:pt>
                      <c:pt idx="15">
                        <c:v>-7.3005978693343536</c:v>
                      </c:pt>
                      <c:pt idx="16">
                        <c:v>-7.7177410663238106</c:v>
                      </c:pt>
                      <c:pt idx="17">
                        <c:v>-8.1648915981940178</c:v>
                      </c:pt>
                      <c:pt idx="18">
                        <c:v>-8.6833101644401367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4C0-484E-A3E1-AC3FA9CA93CD}"/>
                  </c:ext>
                </c:extLst>
              </c15:ser>
            </c15:filteredLineSeries>
          </c:ext>
        </c:extLst>
      </c:lineChart>
      <c:catAx>
        <c:axId val="516438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low"/>
        <c:spPr>
          <a:noFill/>
          <a:ln w="317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36128"/>
        <c:crosses val="autoZero"/>
        <c:auto val="1"/>
        <c:lblAlgn val="ctr"/>
        <c:lblOffset val="100"/>
        <c:noMultiLvlLbl val="0"/>
      </c:catAx>
      <c:valAx>
        <c:axId val="516436128"/>
        <c:scaling>
          <c:orientation val="minMax"/>
          <c:max val="8000"/>
          <c:min val="-6000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38752"/>
        <c:crosses val="autoZero"/>
        <c:crossBetween val="between"/>
        <c:majorUnit val="4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6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516452528"/>
        <c:scaling>
          <c:orientation val="minMax"/>
          <c:min val="24"/>
        </c:scaling>
        <c:delete val="0"/>
        <c:axPos val="r"/>
        <c:numFmt formatCode="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accent5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445312"/>
        <c:crosses val="max"/>
        <c:crossBetween val="between"/>
      </c:valAx>
      <c:catAx>
        <c:axId val="516445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6452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2.729479258605472E-3"/>
          <c:y val="0.1184253003003003"/>
          <c:w val="0.99727052074139455"/>
          <c:h val="0.1273292042042042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0092950592861913E-2"/>
          <c:y val="0.15609451907775435"/>
          <c:w val="0.64868910973832217"/>
          <c:h val="0.7059672106879834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фінрах!$A$31</c:f>
              <c:strCache>
                <c:ptCount val="1"/>
                <c:pt idx="0">
                  <c:v>Портфельные инвестиции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фінрах!$B$31:$M$31</c:f>
              <c:numCache>
                <c:formatCode>#\ ##0.0</c:formatCode>
                <c:ptCount val="12"/>
                <c:pt idx="0">
                  <c:v>-186</c:v>
                </c:pt>
                <c:pt idx="1">
                  <c:v>-180</c:v>
                </c:pt>
                <c:pt idx="2">
                  <c:v>-224</c:v>
                </c:pt>
                <c:pt idx="3">
                  <c:v>-187</c:v>
                </c:pt>
                <c:pt idx="4">
                  <c:v>-132</c:v>
                </c:pt>
                <c:pt idx="5">
                  <c:v>-189</c:v>
                </c:pt>
                <c:pt idx="6">
                  <c:v>-303</c:v>
                </c:pt>
                <c:pt idx="7">
                  <c:v>-249</c:v>
                </c:pt>
                <c:pt idx="8">
                  <c:v>-237</c:v>
                </c:pt>
                <c:pt idx="9">
                  <c:v>-177</c:v>
                </c:pt>
                <c:pt idx="10">
                  <c:v>-281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A-4EC3-A444-3EF651AC1B0A}"/>
            </c:ext>
          </c:extLst>
        </c:ser>
        <c:ser>
          <c:idx val="2"/>
          <c:order val="2"/>
          <c:tx>
            <c:strRef>
              <c:f>фінрах!$A$30</c:f>
              <c:strCache>
                <c:ptCount val="1"/>
                <c:pt idx="0">
                  <c:v>Прямые инвестиции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-2.14527027027027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23A-4EC3-A444-3EF651AC1B0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фінрах!$B$30:$M$30</c:f>
              <c:numCache>
                <c:formatCode>#\ ##0.0</c:formatCode>
                <c:ptCount val="12"/>
                <c:pt idx="0">
                  <c:v>370</c:v>
                </c:pt>
                <c:pt idx="1">
                  <c:v>387</c:v>
                </c:pt>
                <c:pt idx="2">
                  <c:v>388</c:v>
                </c:pt>
                <c:pt idx="3">
                  <c:v>536</c:v>
                </c:pt>
                <c:pt idx="4">
                  <c:v>376</c:v>
                </c:pt>
                <c:pt idx="5">
                  <c:v>392</c:v>
                </c:pt>
                <c:pt idx="6">
                  <c:v>663</c:v>
                </c:pt>
                <c:pt idx="7">
                  <c:v>445</c:v>
                </c:pt>
                <c:pt idx="8">
                  <c:v>532</c:v>
                </c:pt>
                <c:pt idx="9">
                  <c:v>174</c:v>
                </c:pt>
                <c:pt idx="10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3A-4EC3-A444-3EF651AC1B0A}"/>
            </c:ext>
          </c:extLst>
        </c:ser>
        <c:ser>
          <c:idx val="3"/>
          <c:order val="3"/>
          <c:tx>
            <c:strRef>
              <c:f>фінрах!$A$32</c:f>
              <c:strCache>
                <c:ptCount val="1"/>
                <c:pt idx="0">
                  <c:v>Прочие инвестиции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-5.7083123382825739E-17"/>
                  <c:y val="4.607732732732689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23A-4EC3-A444-3EF651AC1B0A}"/>
                </c:ext>
              </c:extLst>
            </c:dLbl>
            <c:numFmt formatCode="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фінрах!$B$32:$M$32</c:f>
              <c:numCache>
                <c:formatCode>#\ ##0.0</c:formatCode>
                <c:ptCount val="12"/>
                <c:pt idx="0">
                  <c:v>-1370</c:v>
                </c:pt>
                <c:pt idx="1">
                  <c:v>-989</c:v>
                </c:pt>
                <c:pt idx="2">
                  <c:v>-171</c:v>
                </c:pt>
                <c:pt idx="3">
                  <c:v>-800</c:v>
                </c:pt>
                <c:pt idx="4">
                  <c:v>-561</c:v>
                </c:pt>
                <c:pt idx="5">
                  <c:v>-963</c:v>
                </c:pt>
                <c:pt idx="6">
                  <c:v>58</c:v>
                </c:pt>
                <c:pt idx="7">
                  <c:v>-538</c:v>
                </c:pt>
                <c:pt idx="8">
                  <c:v>-843</c:v>
                </c:pt>
                <c:pt idx="9">
                  <c:v>-1600</c:v>
                </c:pt>
                <c:pt idx="10">
                  <c:v>-928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3A-4EC3-A444-3EF651AC1B0A}"/>
            </c:ext>
          </c:extLst>
        </c:ser>
        <c:ser>
          <c:idx val="5"/>
          <c:order val="5"/>
          <c:tx>
            <c:strRef>
              <c:f>фінрах!$A$34</c:f>
              <c:strCache>
                <c:ptCount val="1"/>
                <c:pt idx="0">
                  <c:v>Прямые инвестиции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фінрах!$B$34:$M$34</c:f>
              <c:numCache>
                <c:formatCode>#\ ##0.0</c:formatCode>
                <c:ptCount val="12"/>
                <c:pt idx="11">
                  <c:v>337.10870130221758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23A-4EC3-A444-3EF651AC1B0A}"/>
            </c:ext>
          </c:extLst>
        </c:ser>
        <c:ser>
          <c:idx val="6"/>
          <c:order val="6"/>
          <c:tx>
            <c:strRef>
              <c:f>фінрах!$A$35</c:f>
              <c:strCache>
                <c:ptCount val="1"/>
                <c:pt idx="0">
                  <c:v>Портфельные инвестиции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фінрах!$B$35:$M$35</c:f>
              <c:numCache>
                <c:formatCode>#\ ##0.0</c:formatCode>
                <c:ptCount val="12"/>
                <c:pt idx="11">
                  <c:v>-154.75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23A-4EC3-A444-3EF651AC1B0A}"/>
            </c:ext>
          </c:extLst>
        </c:ser>
        <c:ser>
          <c:idx val="7"/>
          <c:order val="7"/>
          <c:tx>
            <c:strRef>
              <c:f>фінрах!$A$36</c:f>
              <c:strCache>
                <c:ptCount val="1"/>
                <c:pt idx="0">
                  <c:v>Другие инвестиции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фінрах!$B$36:$M$36</c:f>
              <c:numCache>
                <c:formatCode>#\ ##0.0</c:formatCode>
                <c:ptCount val="12"/>
                <c:pt idx="11">
                  <c:v>-1869.5323082133743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3A-4EC3-A444-3EF651AC1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448269951"/>
        <c:axId val="448270783"/>
      </c:barChart>
      <c:lineChart>
        <c:grouping val="standard"/>
        <c:varyColors val="0"/>
        <c:ser>
          <c:idx val="0"/>
          <c:order val="0"/>
          <c:tx>
            <c:strRef>
              <c:f>фінрах!$A$29</c:f>
              <c:strCache>
                <c:ptCount val="1"/>
                <c:pt idx="0">
                  <c:v>Финансовый счет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20000"/>
                  <a:lumOff val="80000"/>
                </a:schemeClr>
              </a:solidFill>
              <a:ln w="3175">
                <a:solidFill>
                  <a:schemeClr val="accent4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871587781437528E-2"/>
                  <c:y val="-3.23063443852490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23A-4EC3-A444-3EF651AC1B0A}"/>
                </c:ext>
              </c:extLst>
            </c:dLbl>
            <c:dLbl>
              <c:idx val="1"/>
              <c:layout>
                <c:manualLayout>
                  <c:x val="-4.4370857029636182E-2"/>
                  <c:y val="3.07779543492822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23A-4EC3-A444-3EF651AC1B0A}"/>
                </c:ext>
              </c:extLst>
            </c:dLbl>
            <c:dLbl>
              <c:idx val="2"/>
              <c:layout>
                <c:manualLayout>
                  <c:x val="-4.0812733325617148E-2"/>
                  <c:y val="-2.26010676568596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23A-4EC3-A444-3EF651AC1B0A}"/>
                </c:ext>
              </c:extLst>
            </c:dLbl>
            <c:dLbl>
              <c:idx val="3"/>
              <c:layout>
                <c:manualLayout>
                  <c:x val="-4.5731085298843184E-2"/>
                  <c:y val="2.15739895526899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23A-4EC3-A444-3EF651AC1B0A}"/>
                </c:ext>
              </c:extLst>
            </c:dLbl>
            <c:dLbl>
              <c:idx val="4"/>
              <c:layout>
                <c:manualLayout>
                  <c:x val="-4.1195519755801442E-2"/>
                  <c:y val="4.08989531674546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23A-4EC3-A444-3EF651AC1B0A}"/>
                </c:ext>
              </c:extLst>
            </c:dLbl>
            <c:dLbl>
              <c:idx val="5"/>
              <c:layout>
                <c:manualLayout>
                  <c:x val="-3.7472609068384635E-2"/>
                  <c:y val="3.07779543492822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23A-4EC3-A444-3EF651AC1B0A}"/>
                </c:ext>
              </c:extLst>
            </c:dLbl>
            <c:dLbl>
              <c:idx val="6"/>
              <c:layout>
                <c:manualLayout>
                  <c:x val="-3.8518466931764403E-2"/>
                  <c:y val="1.195392056880559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23A-4EC3-A444-3EF651AC1B0A}"/>
                </c:ext>
              </c:extLst>
            </c:dLbl>
            <c:dLbl>
              <c:idx val="7"/>
              <c:layout>
                <c:manualLayout>
                  <c:x val="-4.3483165244071156E-2"/>
                  <c:y val="-2.74537060210543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23A-4EC3-A444-3EF651AC1B0A}"/>
                </c:ext>
              </c:extLst>
            </c:dLbl>
            <c:dLbl>
              <c:idx val="8"/>
              <c:layout>
                <c:manualLayout>
                  <c:x val="-4.3888021359531959E-2"/>
                  <c:y val="-3.230634438524904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C23A-4EC3-A444-3EF651AC1B0A}"/>
                </c:ext>
              </c:extLst>
            </c:dLbl>
            <c:numFmt formatCode="0.0" sourceLinked="0"/>
            <c:spPr>
              <a:solidFill>
                <a:schemeClr val="bg1"/>
              </a:solidFill>
              <a:ln>
                <a:solidFill>
                  <a:schemeClr val="accent4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фінрах!$B$1:$Y$2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фінрах!$B$29:$M$29</c:f>
              <c:numCache>
                <c:formatCode>#\ ##0.0</c:formatCode>
                <c:ptCount val="12"/>
                <c:pt idx="0">
                  <c:v>-1052</c:v>
                </c:pt>
                <c:pt idx="1">
                  <c:v>-396</c:v>
                </c:pt>
                <c:pt idx="2">
                  <c:v>55</c:v>
                </c:pt>
                <c:pt idx="3">
                  <c:v>-254</c:v>
                </c:pt>
                <c:pt idx="4">
                  <c:v>-129</c:v>
                </c:pt>
                <c:pt idx="5">
                  <c:v>-692</c:v>
                </c:pt>
                <c:pt idx="6">
                  <c:v>370</c:v>
                </c:pt>
                <c:pt idx="7">
                  <c:v>-280</c:v>
                </c:pt>
                <c:pt idx="8">
                  <c:v>-361</c:v>
                </c:pt>
                <c:pt idx="9">
                  <c:v>-1402</c:v>
                </c:pt>
                <c:pt idx="10">
                  <c:v>-724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23A-4EC3-A444-3EF651AC1B0A}"/>
            </c:ext>
          </c:extLst>
        </c:ser>
        <c:ser>
          <c:idx val="4"/>
          <c:order val="4"/>
          <c:tx>
            <c:strRef>
              <c:f>фінрах!$A$33</c:f>
              <c:strCache>
                <c:ptCount val="1"/>
                <c:pt idx="0">
                  <c:v>Финансовый счет</c:v>
                </c:pt>
              </c:strCache>
            </c:strRef>
          </c:tx>
          <c:spPr>
            <a:ln w="15875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20000"/>
                  <a:lumOff val="80000"/>
                </a:schemeClr>
              </a:solidFill>
              <a:ln w="3175">
                <a:solidFill>
                  <a:schemeClr val="accent4"/>
                </a:solidFill>
              </a:ln>
              <a:effectLst/>
            </c:spPr>
          </c:marker>
          <c:dLbls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C23A-4EC3-A444-3EF651AC1B0A}"/>
                </c:ext>
              </c:extLst>
            </c:dLbl>
            <c:dLbl>
              <c:idx val="9"/>
              <c:layout>
                <c:manualLayout>
                  <c:x val="-4.1568006999523295E-2"/>
                  <c:y val="-3.71589827494438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C23A-4EC3-A444-3EF651AC1B0A}"/>
                </c:ext>
              </c:extLst>
            </c:dLbl>
            <c:numFmt formatCode="0.0" sourceLinked="0"/>
            <c:spPr>
              <a:solidFill>
                <a:schemeClr val="bg1"/>
              </a:solidFill>
              <a:ln>
                <a:solidFill>
                  <a:schemeClr val="accent4"/>
                </a:solidFill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фінрах!$B$33:$M$33</c:f>
              <c:numCache>
                <c:formatCode>#\ ##0.0</c:formatCode>
                <c:ptCount val="12"/>
                <c:pt idx="10">
                  <c:v>-724</c:v>
                </c:pt>
                <c:pt idx="11">
                  <c:v>-1687.1736069111566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23A-4EC3-A444-3EF651AC1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269951"/>
        <c:axId val="448270783"/>
      </c:lineChart>
      <c:catAx>
        <c:axId val="44826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270783"/>
        <c:crosses val="autoZero"/>
        <c:auto val="1"/>
        <c:lblAlgn val="ctr"/>
        <c:lblOffset val="100"/>
        <c:noMultiLvlLbl val="0"/>
      </c:catAx>
      <c:valAx>
        <c:axId val="448270783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26995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712759613064469"/>
          <c:y val="9.9317459219688126E-2"/>
          <c:w val="0.287240386935531"/>
          <c:h val="0.743359622915610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6551690511122394E-2"/>
          <c:y val="0.19424214017882896"/>
          <c:w val="0.87133122470600444"/>
          <c:h val="0.617320904055758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  Експорт IT + Мігранти'!$A$9</c:f>
              <c:strCache>
                <c:ptCount val="1"/>
                <c:pt idx="0">
                  <c:v>Экспорт, $ млрд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2"/>
              </a:solidFill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tx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7E0-40A8-9AE5-3364FCEFCF70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solidFill>
                  <a:schemeClr val="tx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7E0-40A8-9AE5-3364FCEFCF70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solidFill>
                  <a:schemeClr val="tx2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7E0-40A8-9AE5-3364FCEFCF70}"/>
              </c:ext>
            </c:extLst>
          </c:dPt>
          <c:dLbls>
            <c:dLbl>
              <c:idx val="0"/>
              <c:layout>
                <c:manualLayout>
                  <c:x val="0"/>
                  <c:y val="4.2564746369413889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7E0-40A8-9AE5-3364FCEFCF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 Експорт IT + Мігранти'!$B$8:$P$8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  <c:pt idx="14">
                  <c:v>2024F</c:v>
                </c:pt>
              </c:strCache>
            </c:strRef>
          </c:cat>
          <c:val>
            <c:numRef>
              <c:f>'  Експорт IT + Мігранти'!$B$9:$P$9</c:f>
              <c:numCache>
                <c:formatCode>0.0</c:formatCode>
                <c:ptCount val="15"/>
                <c:pt idx="0">
                  <c:v>0.71899999999999997</c:v>
                </c:pt>
                <c:pt idx="1">
                  <c:v>1.04</c:v>
                </c:pt>
                <c:pt idx="2">
                  <c:v>1.321</c:v>
                </c:pt>
                <c:pt idx="3">
                  <c:v>1.782</c:v>
                </c:pt>
                <c:pt idx="4">
                  <c:v>2.0419999999999998</c:v>
                </c:pt>
                <c:pt idx="5">
                  <c:v>2.105</c:v>
                </c:pt>
                <c:pt idx="6">
                  <c:v>2.31</c:v>
                </c:pt>
                <c:pt idx="7">
                  <c:v>2.76</c:v>
                </c:pt>
                <c:pt idx="8">
                  <c:v>3.4729999999999999</c:v>
                </c:pt>
                <c:pt idx="9">
                  <c:v>4.3310000000000004</c:v>
                </c:pt>
                <c:pt idx="10">
                  <c:v>5.181</c:v>
                </c:pt>
                <c:pt idx="11">
                  <c:v>7.1070000000000002</c:v>
                </c:pt>
                <c:pt idx="12">
                  <c:v>7.5209999999999999</c:v>
                </c:pt>
                <c:pt idx="13">
                  <c:v>6.8540000000000001</c:v>
                </c:pt>
                <c:pt idx="14">
                  <c:v>7.0720617931879604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E0-40A8-9AE5-3364FCEFC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1560647359"/>
        <c:axId val="1560637375"/>
      </c:barChart>
      <c:lineChart>
        <c:grouping val="standard"/>
        <c:varyColors val="0"/>
        <c:ser>
          <c:idx val="1"/>
          <c:order val="1"/>
          <c:tx>
            <c:strRef>
              <c:f>'  Експорт IT + Мігранти'!$A$10</c:f>
              <c:strCache>
                <c:ptCount val="1"/>
                <c:pt idx="0">
                  <c:v>г-г, 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Pt>
            <c:idx val="12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5"/>
                  </a:solidFill>
                  <a:prstDash val="dash"/>
                </a:ln>
                <a:effectLst/>
              </c:spPr>
            </c:marker>
            <c:bubble3D val="0"/>
            <c:spPr>
              <a:ln w="28575" cap="rnd">
                <a:solidFill>
                  <a:schemeClr val="accent5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9-07E0-40A8-9AE5-3364FCEFCF70}"/>
              </c:ext>
            </c:extLst>
          </c:dPt>
          <c:dPt>
            <c:idx val="13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5"/>
                  </a:solidFill>
                  <a:prstDash val="dash"/>
                </a:ln>
                <a:effectLst/>
              </c:spPr>
            </c:marker>
            <c:bubble3D val="0"/>
            <c:spPr>
              <a:ln w="28575" cap="rnd">
                <a:solidFill>
                  <a:schemeClr val="accent5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B-07E0-40A8-9AE5-3364FCEFCF70}"/>
              </c:ext>
            </c:extLst>
          </c:dPt>
          <c:dPt>
            <c:idx val="14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accent5"/>
                  </a:solidFill>
                  <a:prstDash val="dash"/>
                </a:ln>
                <a:effectLst/>
              </c:spPr>
            </c:marker>
            <c:bubble3D val="0"/>
            <c:spPr>
              <a:ln w="28575" cap="rnd">
                <a:solidFill>
                  <a:schemeClr val="accent5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D-07E0-40A8-9AE5-3364FCEFCF70}"/>
              </c:ext>
            </c:extLst>
          </c:dPt>
          <c:dLbls>
            <c:dLbl>
              <c:idx val="2"/>
              <c:layout>
                <c:manualLayout>
                  <c:x val="-6.5388421452916595E-2"/>
                  <c:y val="2.86609732947608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7E0-40A8-9AE5-3364FCEFCF70}"/>
                </c:ext>
              </c:extLst>
            </c:dLbl>
            <c:dLbl>
              <c:idx val="4"/>
              <c:layout>
                <c:manualLayout>
                  <c:x val="-9.1306990411564579E-2"/>
                  <c:y val="-2.2861445423417285E-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7E0-40A8-9AE5-3364FCEFCF70}"/>
                </c:ext>
              </c:extLst>
            </c:dLbl>
            <c:dLbl>
              <c:idx val="5"/>
              <c:layout>
                <c:manualLayout>
                  <c:x val="-4.079315438706925E-2"/>
                  <c:y val="2.38460420032615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7E0-40A8-9AE5-3364FCEFCF70}"/>
                </c:ext>
              </c:extLst>
            </c:dLbl>
            <c:dLbl>
              <c:idx val="9"/>
              <c:layout>
                <c:manualLayout>
                  <c:x val="-2.9215649141332508E-2"/>
                  <c:y val="-2.430327091172998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7E0-40A8-9AE5-3364FCEFCF70}"/>
                </c:ext>
              </c:extLst>
            </c:dLbl>
            <c:dLbl>
              <c:idx val="10"/>
              <c:layout>
                <c:manualLayout>
                  <c:x val="-4.3802216862546151E-2"/>
                  <c:y val="2.143857635751205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7E0-40A8-9AE5-3364FCEFCF70}"/>
                </c:ext>
              </c:extLst>
            </c:dLbl>
            <c:dLbl>
              <c:idx val="12"/>
              <c:layout>
                <c:manualLayout>
                  <c:x val="-6.6307839551905681E-2"/>
                  <c:y val="1.64505492578150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E0-40A8-9AE5-3364FCEFCF70}"/>
                </c:ext>
              </c:extLst>
            </c:dLbl>
            <c:dLbl>
              <c:idx val="13"/>
              <c:layout>
                <c:manualLayout>
                  <c:x val="-4.651002859177699E-2"/>
                  <c:y val="-2.931149377001800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E0-40A8-9AE5-3364FCEFCF7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 Експорт IT + Мігранти'!$B$8:$P$8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  <c:pt idx="14">
                  <c:v>2024F</c:v>
                </c:pt>
              </c:strCache>
            </c:strRef>
          </c:cat>
          <c:val>
            <c:numRef>
              <c:f>'  Експорт IT + Мігранти'!$B$10:$P$10</c:f>
              <c:numCache>
                <c:formatCode>0.0%</c:formatCode>
                <c:ptCount val="15"/>
                <c:pt idx="0">
                  <c:v>0.22696245733788389</c:v>
                </c:pt>
                <c:pt idx="1">
                  <c:v>0.44645340751043117</c:v>
                </c:pt>
                <c:pt idx="2">
                  <c:v>0.27019230769230762</c:v>
                </c:pt>
                <c:pt idx="3">
                  <c:v>0.34897804693414081</c:v>
                </c:pt>
                <c:pt idx="4">
                  <c:v>0.14590347923681235</c:v>
                </c:pt>
                <c:pt idx="5">
                  <c:v>3.0852105778648387E-2</c:v>
                </c:pt>
                <c:pt idx="6">
                  <c:v>9.7387173396674687E-2</c:v>
                </c:pt>
                <c:pt idx="7">
                  <c:v>0.19480519480519476</c:v>
                </c:pt>
                <c:pt idx="8">
                  <c:v>0.2583333333333333</c:v>
                </c:pt>
                <c:pt idx="9">
                  <c:v>0.24704866109991386</c:v>
                </c:pt>
                <c:pt idx="10">
                  <c:v>0.19625952435927019</c:v>
                </c:pt>
                <c:pt idx="11">
                  <c:v>0.37174290677475397</c:v>
                </c:pt>
                <c:pt idx="12">
                  <c:v>5.8252427184465994E-2</c:v>
                </c:pt>
                <c:pt idx="13">
                  <c:v>-8.8685015290519864E-2</c:v>
                </c:pt>
                <c:pt idx="14">
                  <c:v>3.1815260167487702E-2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7E0-40A8-9AE5-3364FCEFCF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658959"/>
        <c:axId val="1805647727"/>
      </c:lineChart>
      <c:catAx>
        <c:axId val="156064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37375"/>
        <c:crosses val="autoZero"/>
        <c:auto val="1"/>
        <c:lblAlgn val="ctr"/>
        <c:lblOffset val="100"/>
        <c:noMultiLvlLbl val="0"/>
      </c:catAx>
      <c:valAx>
        <c:axId val="1560637375"/>
        <c:scaling>
          <c:orientation val="minMax"/>
          <c:max val="15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47359"/>
        <c:crosses val="autoZero"/>
        <c:crossBetween val="between"/>
      </c:valAx>
      <c:valAx>
        <c:axId val="1805647727"/>
        <c:scaling>
          <c:orientation val="minMax"/>
          <c:max val="0.5"/>
          <c:min val="-0.70000000000000007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658959"/>
        <c:crosses val="max"/>
        <c:crossBetween val="between"/>
      </c:valAx>
      <c:catAx>
        <c:axId val="18056589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056477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212938472135717E-2"/>
          <c:y val="9.5879611386229108E-2"/>
          <c:w val="0.98787055167738091"/>
          <c:h val="4.49521227117465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16067936570631"/>
          <c:y val="0.18856227344850943"/>
          <c:w val="0.78266591239009986"/>
          <c:h val="0.679798524914552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  Експорт IT + Мігранти'!$A$5</c:f>
              <c:strCache>
                <c:ptCount val="1"/>
                <c:pt idx="0">
                  <c:v>Экспорт, $ млн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062-4774-9874-C37347863A74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062-4774-9874-C37347863A74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062-4774-9874-C37347863A74}"/>
              </c:ext>
            </c:extLst>
          </c:dPt>
          <c:dPt>
            <c:idx val="3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062-4774-9874-C37347863A74}"/>
              </c:ext>
            </c:extLst>
          </c:dPt>
          <c:dPt>
            <c:idx val="4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062-4774-9874-C37347863A74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062-4774-9874-C37347863A74}"/>
              </c:ext>
            </c:extLst>
          </c:dPt>
          <c:dPt>
            <c:idx val="6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062-4774-9874-C37347863A74}"/>
              </c:ext>
            </c:extLst>
          </c:dPt>
          <c:dPt>
            <c:idx val="7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062-4774-9874-C37347863A74}"/>
              </c:ext>
            </c:extLst>
          </c:dPt>
          <c:dPt>
            <c:idx val="8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062-4774-9874-C37347863A74}"/>
              </c:ext>
            </c:extLst>
          </c:dPt>
          <c:dPt>
            <c:idx val="9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062-4774-9874-C37347863A74}"/>
              </c:ext>
            </c:extLst>
          </c:dPt>
          <c:dPt>
            <c:idx val="10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062-4774-9874-C37347863A74}"/>
              </c:ext>
            </c:extLst>
          </c:dPt>
          <c:dPt>
            <c:idx val="11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062-4774-9874-C37347863A74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9062-4774-9874-C37347863A74}"/>
              </c:ext>
            </c:extLst>
          </c:dPt>
          <c:dPt>
            <c:idx val="13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9062-4774-9874-C37347863A74}"/>
              </c:ext>
            </c:extLst>
          </c:dPt>
          <c:dPt>
            <c:idx val="14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9062-4774-9874-C37347863A74}"/>
              </c:ext>
            </c:extLst>
          </c:dPt>
          <c:dPt>
            <c:idx val="1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9062-4774-9874-C37347863A74}"/>
              </c:ext>
            </c:extLst>
          </c:dPt>
          <c:dPt>
            <c:idx val="16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9062-4774-9874-C37347863A74}"/>
              </c:ext>
            </c:extLst>
          </c:dPt>
          <c:dPt>
            <c:idx val="17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9062-4774-9874-C37347863A74}"/>
              </c:ext>
            </c:extLst>
          </c:dPt>
          <c:dPt>
            <c:idx val="18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9062-4774-9874-C37347863A74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9062-4774-9874-C37347863A74}"/>
              </c:ext>
            </c:extLst>
          </c:dPt>
          <c:dPt>
            <c:idx val="20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9062-4774-9874-C37347863A74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9062-4774-9874-C37347863A74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9062-4774-9874-C37347863A74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9062-4774-9874-C37347863A74}"/>
              </c:ext>
            </c:extLst>
          </c:dPt>
          <c:cat>
            <c:multiLvlStrRef>
              <c:f>'  Експорт IT + Мігранти'!$EP$3:$FM$4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</c:lvl>
              </c:multiLvlStrCache>
            </c:multiLvlStrRef>
          </c:cat>
          <c:val>
            <c:numRef>
              <c:f>'  Експорт IT + Мігранти'!$EP$5:$FM$5</c:f>
              <c:numCache>
                <c:formatCode>0</c:formatCode>
                <c:ptCount val="24"/>
                <c:pt idx="0">
                  <c:v>656</c:v>
                </c:pt>
                <c:pt idx="1">
                  <c:v>854</c:v>
                </c:pt>
                <c:pt idx="2">
                  <c:v>531</c:v>
                </c:pt>
                <c:pt idx="3">
                  <c:v>589</c:v>
                </c:pt>
                <c:pt idx="4">
                  <c:v>617</c:v>
                </c:pt>
                <c:pt idx="5">
                  <c:v>581</c:v>
                </c:pt>
                <c:pt idx="6">
                  <c:v>558</c:v>
                </c:pt>
                <c:pt idx="7">
                  <c:v>637</c:v>
                </c:pt>
                <c:pt idx="8">
                  <c:v>592</c:v>
                </c:pt>
                <c:pt idx="9">
                  <c:v>546</c:v>
                </c:pt>
                <c:pt idx="10">
                  <c:v>598</c:v>
                </c:pt>
                <c:pt idx="11">
                  <c:v>762</c:v>
                </c:pt>
                <c:pt idx="12">
                  <c:v>542</c:v>
                </c:pt>
                <c:pt idx="13">
                  <c:v>558</c:v>
                </c:pt>
                <c:pt idx="14">
                  <c:v>616</c:v>
                </c:pt>
                <c:pt idx="15">
                  <c:v>551</c:v>
                </c:pt>
                <c:pt idx="16">
                  <c:v>605</c:v>
                </c:pt>
                <c:pt idx="17">
                  <c:v>586</c:v>
                </c:pt>
                <c:pt idx="18">
                  <c:v>574</c:v>
                </c:pt>
                <c:pt idx="19">
                  <c:v>578</c:v>
                </c:pt>
                <c:pt idx="20">
                  <c:v>533</c:v>
                </c:pt>
                <c:pt idx="21">
                  <c:v>542</c:v>
                </c:pt>
                <c:pt idx="22">
                  <c:v>576</c:v>
                </c:pt>
                <c:pt idx="23">
                  <c:v>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9062-4774-9874-C37347863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1560647359"/>
        <c:axId val="1560637375"/>
      </c:barChart>
      <c:lineChart>
        <c:grouping val="standard"/>
        <c:varyColors val="0"/>
        <c:ser>
          <c:idx val="1"/>
          <c:order val="1"/>
          <c:tx>
            <c:strRef>
              <c:f>'  Експорт IT + Мігранти'!$A$6</c:f>
              <c:strCache>
                <c:ptCount val="1"/>
                <c:pt idx="0">
                  <c:v>г-г, %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2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tx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tx2"/>
                </a:solidFill>
                <a:prstDash val="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2-9062-4774-9874-C37347863A74}"/>
              </c:ext>
            </c:extLst>
          </c:dPt>
          <c:dPt>
            <c:idx val="23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tx2"/>
                  </a:solidFill>
                  <a:prstDash val="dash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9062-4774-9874-C37347863A74}"/>
              </c:ext>
            </c:extLst>
          </c:dPt>
          <c:dLbls>
            <c:dLbl>
              <c:idx val="0"/>
              <c:layout>
                <c:manualLayout>
                  <c:x val="-7.0946722278002777E-2"/>
                  <c:y val="-2.876809922209303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9062-4774-9874-C37347863A74}"/>
                </c:ext>
              </c:extLst>
            </c:dLbl>
            <c:dLbl>
              <c:idx val="2"/>
              <c:layout>
                <c:manualLayout>
                  <c:x val="-3.3007685193230163E-2"/>
                  <c:y val="2.355932889043378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9062-4774-9874-C37347863A7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9062-4774-9874-C37347863A7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9062-4774-9874-C37347863A74}"/>
                </c:ext>
              </c:extLst>
            </c:dLbl>
            <c:dLbl>
              <c:idx val="6"/>
              <c:layout>
                <c:manualLayout>
                  <c:x val="-5.2733428225515161E-2"/>
                  <c:y val="1.880228997111316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9062-4774-9874-C37347863A74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9062-4774-9874-C37347863A74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9062-4774-9874-C37347863A74}"/>
                </c:ext>
              </c:extLst>
            </c:dLbl>
            <c:dLbl>
              <c:idx val="10"/>
              <c:layout>
                <c:manualLayout>
                  <c:x val="-7.6676986722586632E-2"/>
                  <c:y val="-3.828217706073427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B-9062-4774-9874-C37347863A74}"/>
                </c:ext>
              </c:extLst>
            </c:dLbl>
            <c:dLbl>
              <c:idx val="12"/>
              <c:layout>
                <c:manualLayout>
                  <c:x val="-4.1604301507877001E-2"/>
                  <c:y val="-2.53752002106286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C-9062-4774-9874-C37347863A74}"/>
                </c:ext>
              </c:extLst>
            </c:dLbl>
            <c:dLbl>
              <c:idx val="13"/>
              <c:layout>
                <c:manualLayout>
                  <c:x val="-5.7862733354312801E-2"/>
                  <c:y val="2.41038718077567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9062-4774-9874-C37347863A74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9062-4774-9874-C37347863A74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9062-4774-9874-C37347863A74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9062-4774-9874-C37347863A74}"/>
                </c:ext>
              </c:extLst>
            </c:dLbl>
            <c:dLbl>
              <c:idx val="18"/>
              <c:layout>
                <c:manualLayout>
                  <c:x val="-4.2886205629283136E-2"/>
                  <c:y val="3.529685816317896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1-9062-4774-9874-C37347863A74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2-9062-4774-9874-C37347863A74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9062-4774-9874-C37347863A7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  Експорт IT + Мігранти'!$EP$3:$FM$4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</c:lvl>
              </c:multiLvlStrCache>
            </c:multiLvlStrRef>
          </c:cat>
          <c:val>
            <c:numRef>
              <c:f>'  Експорт IT + Мігранти'!$EP$6:$FM$6</c:f>
              <c:numCache>
                <c:formatCode>0.0%</c:formatCode>
                <c:ptCount val="24"/>
                <c:pt idx="0">
                  <c:v>0.5255813953488373</c:v>
                </c:pt>
                <c:pt idx="1">
                  <c:v>0.7357723577235773</c:v>
                </c:pt>
                <c:pt idx="2">
                  <c:v>-5.0089445438282643E-2</c:v>
                </c:pt>
                <c:pt idx="3">
                  <c:v>3.6971830985915499E-2</c:v>
                </c:pt>
                <c:pt idx="4">
                  <c:v>0.19805825242718456</c:v>
                </c:pt>
                <c:pt idx="5">
                  <c:v>4.1218637992831431E-2</c:v>
                </c:pt>
                <c:pt idx="6">
                  <c:v>-4.9403747870528147E-2</c:v>
                </c:pt>
                <c:pt idx="7">
                  <c:v>4.7697368421052655E-2</c:v>
                </c:pt>
                <c:pt idx="8">
                  <c:v>-6.9182389937106903E-2</c:v>
                </c:pt>
                <c:pt idx="9">
                  <c:v>-0.16768292682926833</c:v>
                </c:pt>
                <c:pt idx="10">
                  <c:v>-0.13207547169811318</c:v>
                </c:pt>
                <c:pt idx="11">
                  <c:v>-5.8096415327564932E-2</c:v>
                </c:pt>
                <c:pt idx="12">
                  <c:v>-0.17378048780487809</c:v>
                </c:pt>
                <c:pt idx="13">
                  <c:v>-0.34660421545667452</c:v>
                </c:pt>
                <c:pt idx="14">
                  <c:v>0.16007532956685488</c:v>
                </c:pt>
                <c:pt idx="15">
                  <c:v>-6.4516129032258118E-2</c:v>
                </c:pt>
                <c:pt idx="16">
                  <c:v>-1.9448946515397081E-2</c:v>
                </c:pt>
                <c:pt idx="17">
                  <c:v>8.6058519793459354E-3</c:v>
                </c:pt>
                <c:pt idx="18">
                  <c:v>2.8673835125448077E-2</c:v>
                </c:pt>
                <c:pt idx="19">
                  <c:v>-9.262166405023553E-2</c:v>
                </c:pt>
                <c:pt idx="20">
                  <c:v>-9.9662162162162171E-2</c:v>
                </c:pt>
                <c:pt idx="21">
                  <c:v>-7.3260073260073E-3</c:v>
                </c:pt>
                <c:pt idx="22">
                  <c:v>-3.6789297658862852E-2</c:v>
                </c:pt>
                <c:pt idx="23">
                  <c:v>-0.22178477690288712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062-4774-9874-C37347863A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2609023"/>
        <c:axId val="1908101455"/>
      </c:lineChart>
      <c:catAx>
        <c:axId val="1560647359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37375"/>
        <c:crosses val="autoZero"/>
        <c:auto val="1"/>
        <c:lblAlgn val="ctr"/>
        <c:lblOffset val="100"/>
        <c:tickMarkSkip val="1"/>
        <c:noMultiLvlLbl val="0"/>
      </c:catAx>
      <c:valAx>
        <c:axId val="1560637375"/>
        <c:scaling>
          <c:orientation val="minMax"/>
          <c:max val="1000"/>
          <c:min val="40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47359"/>
        <c:crosses val="autoZero"/>
        <c:crossBetween val="between"/>
      </c:valAx>
      <c:valAx>
        <c:axId val="1908101455"/>
        <c:scaling>
          <c:orientation val="minMax"/>
          <c:min val="-2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609023"/>
        <c:crosses val="max"/>
        <c:crossBetween val="between"/>
      </c:valAx>
      <c:catAx>
        <c:axId val="19026090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081014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604559338230551E-3"/>
          <c:y val="0.11086350736949424"/>
          <c:w val="0.99402143803532816"/>
          <c:h val="4.0102399944863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186996084604653E-2"/>
          <c:y val="0.20610640738933336"/>
          <c:w val="0.85015696463522339"/>
          <c:h val="0.665331094854933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  Експорт IT + Мігранти'!$A$40</c:f>
              <c:strCache>
                <c:ptCount val="1"/>
                <c:pt idx="0">
                  <c:v>Переводы мигрантов, $ млрд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5"/>
              </a:solidFill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111-4339-8612-AC27200B61C5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solidFill>
                  <a:schemeClr val="accent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111-4339-8612-AC27200B61C5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solidFill>
                  <a:schemeClr val="accent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0111-4339-8612-AC27200B61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 Експорт IT + Мігранти'!$B$8:$P$8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  <c:pt idx="14">
                  <c:v>2024F</c:v>
                </c:pt>
              </c:strCache>
            </c:strRef>
          </c:cat>
          <c:val>
            <c:numRef>
              <c:f>'  Експорт IT + Мігранти'!$B$40:$P$40</c:f>
              <c:numCache>
                <c:formatCode>0.0</c:formatCode>
                <c:ptCount val="15"/>
                <c:pt idx="0">
                  <c:v>4.0460000000000003</c:v>
                </c:pt>
                <c:pt idx="1">
                  <c:v>4.8250000000000002</c:v>
                </c:pt>
                <c:pt idx="2">
                  <c:v>5.5419999999999998</c:v>
                </c:pt>
                <c:pt idx="3">
                  <c:v>6.782</c:v>
                </c:pt>
                <c:pt idx="4">
                  <c:v>5.1829999999999998</c:v>
                </c:pt>
                <c:pt idx="5">
                  <c:v>5.6310000000000002</c:v>
                </c:pt>
                <c:pt idx="6">
                  <c:v>6.7309999999999999</c:v>
                </c:pt>
                <c:pt idx="7">
                  <c:v>9.1370000000000005</c:v>
                </c:pt>
                <c:pt idx="8">
                  <c:v>11.494</c:v>
                </c:pt>
                <c:pt idx="9">
                  <c:v>12.773999999999999</c:v>
                </c:pt>
                <c:pt idx="10">
                  <c:v>11.738</c:v>
                </c:pt>
                <c:pt idx="11">
                  <c:v>13.590999999999999</c:v>
                </c:pt>
                <c:pt idx="12">
                  <c:v>13.089</c:v>
                </c:pt>
                <c:pt idx="13">
                  <c:v>11.685</c:v>
                </c:pt>
                <c:pt idx="14">
                  <c:v>11.036505710295653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11-4339-8612-AC27200B6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1560647359"/>
        <c:axId val="1560637375"/>
      </c:barChart>
      <c:lineChart>
        <c:grouping val="standard"/>
        <c:varyColors val="0"/>
        <c:ser>
          <c:idx val="1"/>
          <c:order val="1"/>
          <c:tx>
            <c:strRef>
              <c:f>'  Експорт IT + Мігранти'!$A$41</c:f>
              <c:strCache>
                <c:ptCount val="1"/>
                <c:pt idx="0">
                  <c:v>г-г, %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2"/>
                </a:solidFill>
              </a:ln>
              <a:effectLst/>
            </c:spPr>
          </c:marker>
          <c:dPt>
            <c:idx val="12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tx2"/>
                  </a:solidFill>
                  <a:prstDash val="lgDash"/>
                </a:ln>
                <a:effectLst/>
              </c:spPr>
            </c:marker>
            <c:bubble3D val="0"/>
            <c:spPr>
              <a:ln w="28575" cap="rnd">
                <a:solidFill>
                  <a:schemeClr val="tx2"/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0111-4339-8612-AC27200B61C5}"/>
              </c:ext>
            </c:extLst>
          </c:dPt>
          <c:dPt>
            <c:idx val="13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tx2"/>
                  </a:solidFill>
                  <a:prstDash val="lgDash"/>
                </a:ln>
                <a:effectLst/>
              </c:spPr>
            </c:marker>
            <c:bubble3D val="0"/>
            <c:spPr>
              <a:ln w="28575" cap="rnd">
                <a:solidFill>
                  <a:schemeClr val="tx2"/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0111-4339-8612-AC27200B61C5}"/>
              </c:ext>
            </c:extLst>
          </c:dPt>
          <c:dLbls>
            <c:dLbl>
              <c:idx val="4"/>
              <c:layout>
                <c:manualLayout>
                  <c:x val="-5.0425337401521511E-2"/>
                  <c:y val="2.05203202233343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111-4339-8612-AC27200B61C5}"/>
                </c:ext>
              </c:extLst>
            </c:dLbl>
            <c:dLbl>
              <c:idx val="5"/>
              <c:layout>
                <c:manualLayout>
                  <c:x val="-6.73658380422123E-2"/>
                  <c:y val="-2.04478337258420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111-4339-8612-AC27200B61C5}"/>
                </c:ext>
              </c:extLst>
            </c:dLbl>
            <c:dLbl>
              <c:idx val="6"/>
              <c:layout>
                <c:manualLayout>
                  <c:x val="-5.7672619417894394E-2"/>
                  <c:y val="-3.00873993609423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111-4339-8612-AC27200B61C5}"/>
                </c:ext>
              </c:extLst>
            </c:dLbl>
            <c:dLbl>
              <c:idx val="8"/>
              <c:layout>
                <c:manualLayout>
                  <c:x val="-1.9118899761778767E-2"/>
                  <c:y val="-2.28577251346171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111-4339-8612-AC27200B61C5}"/>
                </c:ext>
              </c:extLst>
            </c:dLbl>
            <c:dLbl>
              <c:idx val="9"/>
              <c:layout>
                <c:manualLayout>
                  <c:x val="-1.2679961947976428E-2"/>
                  <c:y val="-1.80379423170669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111-4339-8612-AC27200B61C5}"/>
                </c:ext>
              </c:extLst>
            </c:dLbl>
            <c:dLbl>
              <c:idx val="10"/>
              <c:layout>
                <c:manualLayout>
                  <c:x val="-4.3033581770632878E-2"/>
                  <c:y val="2.29302116321093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111-4339-8612-AC27200B61C5}"/>
                </c:ext>
              </c:extLst>
            </c:dLbl>
            <c:dLbl>
              <c:idx val="12"/>
              <c:layout>
                <c:manualLayout>
                  <c:x val="-4.1401215365316789E-2"/>
                  <c:y val="2.29302116321093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111-4339-8612-AC27200B61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 Експорт IT + Мігранти'!$B$8:$P$8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  <c:pt idx="14">
                  <c:v>2024F</c:v>
                </c:pt>
              </c:strCache>
            </c:strRef>
          </c:cat>
          <c:val>
            <c:numRef>
              <c:f>'  Експорт IT + Мігранти'!$B$41:$P$41</c:f>
              <c:numCache>
                <c:formatCode>0.0%</c:formatCode>
                <c:ptCount val="15"/>
                <c:pt idx="0">
                  <c:v>0.18096906012842973</c:v>
                </c:pt>
                <c:pt idx="1">
                  <c:v>0.19253583786455764</c:v>
                </c:pt>
                <c:pt idx="2">
                  <c:v>0.14860103626942989</c:v>
                </c:pt>
                <c:pt idx="3">
                  <c:v>0.22374594009382909</c:v>
                </c:pt>
                <c:pt idx="4">
                  <c:v>-0.23577115895016221</c:v>
                </c:pt>
                <c:pt idx="5">
                  <c:v>8.6436426779857412E-2</c:v>
                </c:pt>
                <c:pt idx="6">
                  <c:v>0.19534718522464911</c:v>
                </c:pt>
                <c:pt idx="7">
                  <c:v>0.35745060169365628</c:v>
                </c:pt>
                <c:pt idx="8">
                  <c:v>0.25796213199080653</c:v>
                </c:pt>
                <c:pt idx="9">
                  <c:v>0.11136244997389944</c:v>
                </c:pt>
                <c:pt idx="10">
                  <c:v>-8.1102238922811987E-2</c:v>
                </c:pt>
                <c:pt idx="11">
                  <c:v>0.15786334980405514</c:v>
                </c:pt>
                <c:pt idx="12">
                  <c:v>-3.6936207784563191E-2</c:v>
                </c:pt>
                <c:pt idx="13">
                  <c:v>-0.10726564290625717</c:v>
                </c:pt>
                <c:pt idx="14">
                  <c:v>-5.5498013667466539E-2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0111-4339-8612-AC27200B6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658959"/>
        <c:axId val="1805647727"/>
      </c:lineChart>
      <c:catAx>
        <c:axId val="156064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37375"/>
        <c:crosses val="autoZero"/>
        <c:auto val="1"/>
        <c:lblAlgn val="ctr"/>
        <c:lblOffset val="100"/>
        <c:noMultiLvlLbl val="0"/>
      </c:catAx>
      <c:valAx>
        <c:axId val="1560637375"/>
        <c:scaling>
          <c:orientation val="minMax"/>
          <c:max val="25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47359"/>
        <c:crosses val="autoZero"/>
        <c:crossBetween val="between"/>
      </c:valAx>
      <c:valAx>
        <c:axId val="1805647727"/>
        <c:scaling>
          <c:orientation val="minMax"/>
          <c:max val="0.5"/>
          <c:min val="-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658959"/>
        <c:crosses val="max"/>
        <c:crossBetween val="between"/>
      </c:valAx>
      <c:catAx>
        <c:axId val="18056589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056477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2129420012843218E-2"/>
          <c:y val="0.12110005280281709"/>
          <c:w val="0.98787055167738091"/>
          <c:h val="4.49521227117465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743842435591351E-2"/>
          <c:y val="0.18607067245657852"/>
          <c:w val="0.89302275345014537"/>
          <c:h val="0.66693230335767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  Експорт IT + Мігранти'!$A$34</c:f>
              <c:strCache>
                <c:ptCount val="1"/>
                <c:pt idx="0">
                  <c:v>Переводы мигрантов, $ млн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464-4865-9221-D326ED382080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464-4865-9221-D326ED382080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464-4865-9221-D326ED382080}"/>
              </c:ext>
            </c:extLst>
          </c:dPt>
          <c:dPt>
            <c:idx val="3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464-4865-9221-D326ED382080}"/>
              </c:ext>
            </c:extLst>
          </c:dPt>
          <c:dPt>
            <c:idx val="4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F464-4865-9221-D326ED382080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F464-4865-9221-D326ED382080}"/>
              </c:ext>
            </c:extLst>
          </c:dPt>
          <c:dPt>
            <c:idx val="6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F464-4865-9221-D326ED382080}"/>
              </c:ext>
            </c:extLst>
          </c:dPt>
          <c:dPt>
            <c:idx val="7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F464-4865-9221-D326ED382080}"/>
              </c:ext>
            </c:extLst>
          </c:dPt>
          <c:dPt>
            <c:idx val="8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F464-4865-9221-D326ED382080}"/>
              </c:ext>
            </c:extLst>
          </c:dPt>
          <c:dPt>
            <c:idx val="9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F464-4865-9221-D326ED382080}"/>
              </c:ext>
            </c:extLst>
          </c:dPt>
          <c:dPt>
            <c:idx val="10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F464-4865-9221-D326ED382080}"/>
              </c:ext>
            </c:extLst>
          </c:dPt>
          <c:dPt>
            <c:idx val="11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F464-4865-9221-D326ED382080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F464-4865-9221-D326ED382080}"/>
              </c:ext>
            </c:extLst>
          </c:dPt>
          <c:dPt>
            <c:idx val="13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F464-4865-9221-D326ED382080}"/>
              </c:ext>
            </c:extLst>
          </c:dPt>
          <c:dPt>
            <c:idx val="14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F464-4865-9221-D326ED382080}"/>
              </c:ext>
            </c:extLst>
          </c:dPt>
          <c:dPt>
            <c:idx val="1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F464-4865-9221-D326ED382080}"/>
              </c:ext>
            </c:extLst>
          </c:dPt>
          <c:dPt>
            <c:idx val="16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F464-4865-9221-D326ED382080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F464-4865-9221-D326ED382080}"/>
              </c:ext>
            </c:extLst>
          </c:dPt>
          <c:dPt>
            <c:idx val="20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F464-4865-9221-D326ED382080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F464-4865-9221-D326ED382080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F464-4865-9221-D326ED382080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F464-4865-9221-D326ED382080}"/>
              </c:ext>
            </c:extLst>
          </c:dPt>
          <c:cat>
            <c:multiLvlStrRef>
              <c:extLst>
                <c:ext xmlns:c15="http://schemas.microsoft.com/office/drawing/2012/chart" uri="{02D57815-91ED-43cb-92C2-25804820EDAC}">
                  <c15:fullRef>
                    <c15:sqref>'  Експорт IT + Мігранти'!$ED$3:$FM$4</c15:sqref>
                  </c15:fullRef>
                </c:ext>
              </c:extLst>
              <c:f>'  Експорт IT + Мігранти'!$EP$3:$FM$4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  Експорт IT + Мігранти'!$ED$34:$FM$34</c15:sqref>
                  </c15:fullRef>
                </c:ext>
              </c:extLst>
              <c:f>'  Експорт IT + Мігранти'!$EP$34:$FM$34</c:f>
              <c:numCache>
                <c:formatCode>0</c:formatCode>
                <c:ptCount val="24"/>
                <c:pt idx="0">
                  <c:v>1159</c:v>
                </c:pt>
                <c:pt idx="1">
                  <c:v>1136</c:v>
                </c:pt>
                <c:pt idx="2">
                  <c:v>1045</c:v>
                </c:pt>
                <c:pt idx="3">
                  <c:v>1086</c:v>
                </c:pt>
                <c:pt idx="4">
                  <c:v>1082</c:v>
                </c:pt>
                <c:pt idx="5">
                  <c:v>1101</c:v>
                </c:pt>
                <c:pt idx="6">
                  <c:v>1033</c:v>
                </c:pt>
                <c:pt idx="7">
                  <c:v>1068</c:v>
                </c:pt>
                <c:pt idx="8">
                  <c:v>1065</c:v>
                </c:pt>
                <c:pt idx="9">
                  <c:v>1070</c:v>
                </c:pt>
                <c:pt idx="10">
                  <c:v>1083</c:v>
                </c:pt>
                <c:pt idx="11" formatCode="General">
                  <c:v>1161</c:v>
                </c:pt>
                <c:pt idx="12">
                  <c:v>1020</c:v>
                </c:pt>
                <c:pt idx="13">
                  <c:v>1045</c:v>
                </c:pt>
                <c:pt idx="14">
                  <c:v>1101</c:v>
                </c:pt>
                <c:pt idx="15">
                  <c:v>960</c:v>
                </c:pt>
                <c:pt idx="16">
                  <c:v>965</c:v>
                </c:pt>
                <c:pt idx="17">
                  <c:v>949</c:v>
                </c:pt>
                <c:pt idx="18">
                  <c:v>921</c:v>
                </c:pt>
                <c:pt idx="19">
                  <c:v>933</c:v>
                </c:pt>
                <c:pt idx="20">
                  <c:v>918</c:v>
                </c:pt>
                <c:pt idx="21">
                  <c:v>901</c:v>
                </c:pt>
                <c:pt idx="22">
                  <c:v>922</c:v>
                </c:pt>
                <c:pt idx="23">
                  <c:v>1050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F464-4865-9221-D326ED382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1560647359"/>
        <c:axId val="1560637375"/>
      </c:barChart>
      <c:lineChart>
        <c:grouping val="standard"/>
        <c:varyColors val="0"/>
        <c:ser>
          <c:idx val="1"/>
          <c:order val="1"/>
          <c:tx>
            <c:strRef>
              <c:f>'  Експорт IT + Мігранти'!$A$35</c:f>
              <c:strCache>
                <c:ptCount val="1"/>
                <c:pt idx="0">
                  <c:v>г-г, %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2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tx2"/>
                  </a:solidFill>
                  <a:prstDash val="dash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F464-4865-9221-D326ED382080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F464-4865-9221-D326ED382080}"/>
                </c:ext>
              </c:extLst>
            </c:dLbl>
            <c:dLbl>
              <c:idx val="2"/>
              <c:layout>
                <c:manualLayout>
                  <c:x val="-4.7871182353677232E-2"/>
                  <c:y val="2.025115772667032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F-F464-4865-9221-D326ED382080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F464-4865-9221-D326ED382080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F464-4865-9221-D326ED382080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F464-4865-9221-D326ED382080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F464-4865-9221-D326ED382080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F464-4865-9221-D326ED382080}"/>
                </c:ext>
              </c:extLst>
            </c:dLbl>
            <c:dLbl>
              <c:idx val="12"/>
              <c:layout>
                <c:manualLayout>
                  <c:x val="-4.8811191277905161E-2"/>
                  <c:y val="3.350619584991322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F464-4865-9221-D326ED382080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F464-4865-9221-D326ED382080}"/>
                </c:ext>
              </c:extLst>
            </c:dLbl>
            <c:dLbl>
              <c:idx val="17"/>
              <c:layout>
                <c:manualLayout>
                  <c:x val="-4.4757248448309563E-2"/>
                  <c:y val="2.998480255381423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F464-4865-9221-D326ED382080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F464-4865-9221-D326ED382080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F464-4865-9221-D326ED382080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F464-4865-9221-D326ED3820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  Експорт IT + Мігранти'!$ED$3:$FM$4</c15:sqref>
                  </c15:fullRef>
                </c:ext>
              </c:extLst>
              <c:f>'  Експорт IT + Мігранти'!$EP$3:$FM$4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  Експорт IT + Мігранти'!$ED$35:$FM$35</c15:sqref>
                  </c15:fullRef>
                </c:ext>
              </c:extLst>
              <c:f>'  Експорт IT + Мігранти'!$EP$35:$FM$35</c:f>
              <c:numCache>
                <c:formatCode>0.0%</c:formatCode>
                <c:ptCount val="24"/>
                <c:pt idx="0">
                  <c:v>0.154382470119522</c:v>
                </c:pt>
                <c:pt idx="1">
                  <c:v>3.4608378870673917E-2</c:v>
                </c:pt>
                <c:pt idx="2">
                  <c:v>-0.15316045380875198</c:v>
                </c:pt>
                <c:pt idx="3">
                  <c:v>-6.8610634648370472E-2</c:v>
                </c:pt>
                <c:pt idx="4">
                  <c:v>-1.7257039055404211E-2</c:v>
                </c:pt>
                <c:pt idx="5">
                  <c:v>-5.4123711340206215E-2</c:v>
                </c:pt>
                <c:pt idx="6">
                  <c:v>-7.7678571428571375E-2</c:v>
                </c:pt>
                <c:pt idx="7">
                  <c:v>-7.4349442379182396E-3</c:v>
                </c:pt>
                <c:pt idx="8">
                  <c:v>-6.5298507462686617E-3</c:v>
                </c:pt>
                <c:pt idx="9">
                  <c:v>-4.1218637992831542E-2</c:v>
                </c:pt>
                <c:pt idx="10">
                  <c:v>-7.4358974358974317E-2</c:v>
                </c:pt>
                <c:pt idx="11">
                  <c:v>-6.8965517241379337E-2</c:v>
                </c:pt>
                <c:pt idx="12">
                  <c:v>-0.11993097497842964</c:v>
                </c:pt>
                <c:pt idx="13">
                  <c:v>-8.0105633802816878E-2</c:v>
                </c:pt>
                <c:pt idx="14">
                  <c:v>5.3588516746411408E-2</c:v>
                </c:pt>
                <c:pt idx="15">
                  <c:v>-0.11602209944751385</c:v>
                </c:pt>
                <c:pt idx="16">
                  <c:v>-0.1081330868761553</c:v>
                </c:pt>
                <c:pt idx="17">
                  <c:v>-0.13805631244323346</c:v>
                </c:pt>
                <c:pt idx="18">
                  <c:v>-0.10842207163601159</c:v>
                </c:pt>
                <c:pt idx="19">
                  <c:v>-0.1264044943820225</c:v>
                </c:pt>
                <c:pt idx="20">
                  <c:v>-0.13802816901408455</c:v>
                </c:pt>
                <c:pt idx="21">
                  <c:v>-0.15794392523364487</c:v>
                </c:pt>
                <c:pt idx="22">
                  <c:v>-0.1486611265004617</c:v>
                </c:pt>
                <c:pt idx="23">
                  <c:v>-9.5607235142118885E-2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  Експорт IT + Мігранти'!$EE$35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D-CC67-45C8-8450-725399C9FC3C}"/>
                      </c:ext>
                    </c:extLst>
                  </c15:dLbl>
                </c15:categoryFilterException>
                <c15:categoryFilterException>
                  <c15:sqref>'  Експорт IT + Мігранти'!$EF$35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E-CC67-45C8-8450-725399C9FC3C}"/>
                      </c:ext>
                    </c:extLst>
                  </c15:dLbl>
                </c15:categoryFilterException>
                <c15:categoryFilterException>
                  <c15:sqref>'  Експорт IT + Мігранти'!$EH$35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F-CC67-45C8-8450-725399C9FC3C}"/>
                      </c:ext>
                    </c:extLst>
                  </c15:dLbl>
                </c15:categoryFilterException>
                <c15:categoryFilterException>
                  <c15:sqref>'  Експорт IT + Мігранти'!$EJ$35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30-CC67-45C8-8450-725399C9FC3C}"/>
                      </c:ext>
                    </c:extLst>
                  </c15:dLbl>
                </c15:categoryFilterException>
                <c15:categoryFilterException>
                  <c15:sqref>'  Експорт IT + Мігранти'!$EL$35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31-CC67-45C8-8450-725399C9FC3C}"/>
                      </c:ext>
                    </c:extLst>
                  </c15:dLbl>
                </c15:categoryFilterException>
                <c15:categoryFilterException>
                  <c15:sqref>'  Експорт IT + Мігранти'!$EM$35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32-CC67-45C8-8450-725399C9FC3C}"/>
                      </c:ext>
                    </c:extLst>
                  </c15:dLbl>
                </c15:categoryFilterException>
                <c15:categoryFilterException>
                  <c15:sqref>'  Експорт IT + Мігранти'!$EO$35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33-CC67-45C8-8450-725399C9FC3C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3B-F464-4865-9221-D326ED382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2609023"/>
        <c:axId val="1908101455"/>
      </c:lineChart>
      <c:catAx>
        <c:axId val="1560647359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37375"/>
        <c:crosses val="autoZero"/>
        <c:auto val="1"/>
        <c:lblAlgn val="ctr"/>
        <c:lblOffset val="100"/>
        <c:tickMarkSkip val="1"/>
        <c:noMultiLvlLbl val="0"/>
      </c:catAx>
      <c:valAx>
        <c:axId val="1560637375"/>
        <c:scaling>
          <c:orientation val="minMax"/>
          <c:max val="1400"/>
          <c:min val="90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47359"/>
        <c:crosses val="autoZero"/>
        <c:crossBetween val="between"/>
      </c:valAx>
      <c:valAx>
        <c:axId val="1908101455"/>
        <c:scaling>
          <c:orientation val="minMax"/>
          <c:min val="-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609023"/>
        <c:crosses val="max"/>
        <c:crossBetween val="between"/>
      </c:valAx>
      <c:catAx>
        <c:axId val="19026090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081014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603757582462161E-3"/>
          <c:y val="0.10903973332695578"/>
          <c:w val="0.96842760658010074"/>
          <c:h val="4.0102399944863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186996084604653E-2"/>
          <c:y val="0.20610640738933336"/>
          <c:w val="0.85015696463522339"/>
          <c:h val="0.6653310948549335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  Експорт IT + Мігранти'!$A$40</c:f>
              <c:strCache>
                <c:ptCount val="1"/>
                <c:pt idx="0">
                  <c:v>Переводы мигрантов, $ млрд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5"/>
              </a:solidFill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323-493E-803F-7AB59CE4349A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solidFill>
                  <a:schemeClr val="accent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323-493E-803F-7AB59CE4349A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solidFill>
                  <a:schemeClr val="accent5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323-493E-803F-7AB59CE4349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 Експорт IT + Мігранти'!$B$8:$P$8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  <c:pt idx="14">
                  <c:v>2024F</c:v>
                </c:pt>
              </c:strCache>
            </c:strRef>
          </c:cat>
          <c:val>
            <c:numRef>
              <c:f>'  Експорт IT + Мігранти'!$B$40:$P$40</c:f>
              <c:numCache>
                <c:formatCode>0.0</c:formatCode>
                <c:ptCount val="15"/>
                <c:pt idx="0">
                  <c:v>4.0460000000000003</c:v>
                </c:pt>
                <c:pt idx="1">
                  <c:v>4.8250000000000002</c:v>
                </c:pt>
                <c:pt idx="2">
                  <c:v>5.5419999999999998</c:v>
                </c:pt>
                <c:pt idx="3">
                  <c:v>6.782</c:v>
                </c:pt>
                <c:pt idx="4">
                  <c:v>5.1829999999999998</c:v>
                </c:pt>
                <c:pt idx="5">
                  <c:v>5.6310000000000002</c:v>
                </c:pt>
                <c:pt idx="6">
                  <c:v>6.7309999999999999</c:v>
                </c:pt>
                <c:pt idx="7">
                  <c:v>9.1370000000000005</c:v>
                </c:pt>
                <c:pt idx="8">
                  <c:v>11.494</c:v>
                </c:pt>
                <c:pt idx="9">
                  <c:v>12.773999999999999</c:v>
                </c:pt>
                <c:pt idx="10">
                  <c:v>11.738</c:v>
                </c:pt>
                <c:pt idx="11">
                  <c:v>13.590999999999999</c:v>
                </c:pt>
                <c:pt idx="12">
                  <c:v>13.089</c:v>
                </c:pt>
                <c:pt idx="13">
                  <c:v>11.685</c:v>
                </c:pt>
                <c:pt idx="14">
                  <c:v>11.036505710295653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323-493E-803F-7AB59CE4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1560647359"/>
        <c:axId val="1560637375"/>
      </c:barChart>
      <c:lineChart>
        <c:grouping val="standard"/>
        <c:varyColors val="0"/>
        <c:ser>
          <c:idx val="1"/>
          <c:order val="1"/>
          <c:tx>
            <c:strRef>
              <c:f>'  Експорт IT + Мігранти'!$A$41</c:f>
              <c:strCache>
                <c:ptCount val="1"/>
                <c:pt idx="0">
                  <c:v>г-г, %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2"/>
                </a:solidFill>
              </a:ln>
              <a:effectLst/>
            </c:spPr>
          </c:marker>
          <c:dPt>
            <c:idx val="12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tx2"/>
                  </a:solidFill>
                  <a:prstDash val="lgDash"/>
                </a:ln>
                <a:effectLst/>
              </c:spPr>
            </c:marker>
            <c:bubble3D val="0"/>
            <c:spPr>
              <a:ln w="28575" cap="rnd">
                <a:solidFill>
                  <a:schemeClr val="tx2"/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8-C323-493E-803F-7AB59CE4349A}"/>
              </c:ext>
            </c:extLst>
          </c:dPt>
          <c:dPt>
            <c:idx val="13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tx2"/>
                  </a:solidFill>
                  <a:prstDash val="lgDash"/>
                </a:ln>
                <a:effectLst/>
              </c:spPr>
            </c:marker>
            <c:bubble3D val="0"/>
            <c:spPr>
              <a:ln w="28575" cap="rnd">
                <a:solidFill>
                  <a:schemeClr val="tx2"/>
                </a:solidFill>
                <a:prstDash val="lg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A-C323-493E-803F-7AB59CE4349A}"/>
              </c:ext>
            </c:extLst>
          </c:dPt>
          <c:dLbls>
            <c:dLbl>
              <c:idx val="4"/>
              <c:layout>
                <c:manualLayout>
                  <c:x val="-5.0425337401521511E-2"/>
                  <c:y val="2.052032022333431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323-493E-803F-7AB59CE4349A}"/>
                </c:ext>
              </c:extLst>
            </c:dLbl>
            <c:dLbl>
              <c:idx val="5"/>
              <c:layout>
                <c:manualLayout>
                  <c:x val="-6.73658380422123E-2"/>
                  <c:y val="-2.044783372584202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323-493E-803F-7AB59CE4349A}"/>
                </c:ext>
              </c:extLst>
            </c:dLbl>
            <c:dLbl>
              <c:idx val="6"/>
              <c:layout>
                <c:manualLayout>
                  <c:x val="-5.7672619417894394E-2"/>
                  <c:y val="-3.00873993609423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323-493E-803F-7AB59CE4349A}"/>
                </c:ext>
              </c:extLst>
            </c:dLbl>
            <c:dLbl>
              <c:idx val="8"/>
              <c:layout>
                <c:manualLayout>
                  <c:x val="-1.9118899761778767E-2"/>
                  <c:y val="-2.28577251346171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C323-493E-803F-7AB59CE4349A}"/>
                </c:ext>
              </c:extLst>
            </c:dLbl>
            <c:dLbl>
              <c:idx val="9"/>
              <c:layout>
                <c:manualLayout>
                  <c:x val="-1.2679961947976428E-2"/>
                  <c:y val="-1.803794231706698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323-493E-803F-7AB59CE4349A}"/>
                </c:ext>
              </c:extLst>
            </c:dLbl>
            <c:dLbl>
              <c:idx val="10"/>
              <c:layout>
                <c:manualLayout>
                  <c:x val="-4.3033581770632878E-2"/>
                  <c:y val="2.29302116321093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C323-493E-803F-7AB59CE4349A}"/>
                </c:ext>
              </c:extLst>
            </c:dLbl>
            <c:dLbl>
              <c:idx val="12"/>
              <c:layout>
                <c:manualLayout>
                  <c:x val="-4.1401215365316789E-2"/>
                  <c:y val="2.29302116321093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323-493E-803F-7AB59CE4349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  Експорт IT + Мігранти'!$B$8:$P$8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  <c:pt idx="14">
                  <c:v>2024F</c:v>
                </c:pt>
              </c:strCache>
            </c:strRef>
          </c:cat>
          <c:val>
            <c:numRef>
              <c:f>'  Експорт IT + Мігранти'!$B$41:$P$41</c:f>
              <c:numCache>
                <c:formatCode>0.0%</c:formatCode>
                <c:ptCount val="15"/>
                <c:pt idx="0">
                  <c:v>0.18096906012842973</c:v>
                </c:pt>
                <c:pt idx="1">
                  <c:v>0.19253583786455764</c:v>
                </c:pt>
                <c:pt idx="2">
                  <c:v>0.14860103626942989</c:v>
                </c:pt>
                <c:pt idx="3">
                  <c:v>0.22374594009382909</c:v>
                </c:pt>
                <c:pt idx="4">
                  <c:v>-0.23577115895016221</c:v>
                </c:pt>
                <c:pt idx="5">
                  <c:v>8.6436426779857412E-2</c:v>
                </c:pt>
                <c:pt idx="6">
                  <c:v>0.19534718522464911</c:v>
                </c:pt>
                <c:pt idx="7">
                  <c:v>0.35745060169365628</c:v>
                </c:pt>
                <c:pt idx="8">
                  <c:v>0.25796213199080653</c:v>
                </c:pt>
                <c:pt idx="9">
                  <c:v>0.11136244997389944</c:v>
                </c:pt>
                <c:pt idx="10">
                  <c:v>-8.1102238922811987E-2</c:v>
                </c:pt>
                <c:pt idx="11">
                  <c:v>0.15786334980405514</c:v>
                </c:pt>
                <c:pt idx="12">
                  <c:v>-3.6936207784563191E-2</c:v>
                </c:pt>
                <c:pt idx="13">
                  <c:v>-0.10726564290625717</c:v>
                </c:pt>
                <c:pt idx="14">
                  <c:v>-5.5498013667466539E-2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323-493E-803F-7AB59CE4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658959"/>
        <c:axId val="1805647727"/>
      </c:lineChart>
      <c:catAx>
        <c:axId val="156064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37375"/>
        <c:crosses val="autoZero"/>
        <c:auto val="1"/>
        <c:lblAlgn val="ctr"/>
        <c:lblOffset val="100"/>
        <c:noMultiLvlLbl val="0"/>
      </c:catAx>
      <c:valAx>
        <c:axId val="1560637375"/>
        <c:scaling>
          <c:orientation val="minMax"/>
          <c:max val="25"/>
          <c:min val="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47359"/>
        <c:crosses val="autoZero"/>
        <c:crossBetween val="between"/>
      </c:valAx>
      <c:valAx>
        <c:axId val="1805647727"/>
        <c:scaling>
          <c:orientation val="minMax"/>
          <c:max val="0.5"/>
          <c:min val="-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5658959"/>
        <c:crosses val="max"/>
        <c:crossBetween val="between"/>
      </c:valAx>
      <c:catAx>
        <c:axId val="180565895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80564772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1.2129420012843218E-2"/>
          <c:y val="0.12110005280281709"/>
          <c:w val="0.98787055167738091"/>
          <c:h val="4.49521227117465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16067936570631"/>
          <c:y val="0.18856227344850943"/>
          <c:w val="0.78266591239009986"/>
          <c:h val="0.679798524914552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  Експорт IT + Мігранти'!$A$5</c:f>
              <c:strCache>
                <c:ptCount val="1"/>
                <c:pt idx="0">
                  <c:v>Экспорт, $ млн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4344-4C7B-B0E7-DCC88B1DE9F4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344-4C7B-B0E7-DCC88B1DE9F4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4344-4C7B-B0E7-DCC88B1DE9F4}"/>
              </c:ext>
            </c:extLst>
          </c:dPt>
          <c:dPt>
            <c:idx val="3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4344-4C7B-B0E7-DCC88B1DE9F4}"/>
              </c:ext>
            </c:extLst>
          </c:dPt>
          <c:dPt>
            <c:idx val="4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4344-4C7B-B0E7-DCC88B1DE9F4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4344-4C7B-B0E7-DCC88B1DE9F4}"/>
              </c:ext>
            </c:extLst>
          </c:dPt>
          <c:dPt>
            <c:idx val="6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4344-4C7B-B0E7-DCC88B1DE9F4}"/>
              </c:ext>
            </c:extLst>
          </c:dPt>
          <c:dPt>
            <c:idx val="7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4344-4C7B-B0E7-DCC88B1DE9F4}"/>
              </c:ext>
            </c:extLst>
          </c:dPt>
          <c:dPt>
            <c:idx val="8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4344-4C7B-B0E7-DCC88B1DE9F4}"/>
              </c:ext>
            </c:extLst>
          </c:dPt>
          <c:dPt>
            <c:idx val="9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4344-4C7B-B0E7-DCC88B1DE9F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4344-4C7B-B0E7-DCC88B1DE9F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4344-4C7B-B0E7-DCC88B1DE9F4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4344-4C7B-B0E7-DCC88B1DE9F4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4344-4C7B-B0E7-DCC88B1DE9F4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4344-4C7B-B0E7-DCC88B1DE9F4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4344-4C7B-B0E7-DCC88B1DE9F4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4344-4C7B-B0E7-DCC88B1DE9F4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4344-4C7B-B0E7-DCC88B1DE9F4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4344-4C7B-B0E7-DCC88B1DE9F4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4344-4C7B-B0E7-DCC88B1DE9F4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4344-4C7B-B0E7-DCC88B1DE9F4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4344-4C7B-B0E7-DCC88B1DE9F4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4344-4C7B-B0E7-DCC88B1DE9F4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2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4344-4C7B-B0E7-DCC88B1DE9F4}"/>
              </c:ext>
            </c:extLst>
          </c:dPt>
          <c:cat>
            <c:multiLvlStrRef>
              <c:f>'  Експорт IT + Мігранти'!$FB$3:$FY$4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'  Експорт IT + Мігранти'!$FB$5:$FY$5</c:f>
              <c:numCache>
                <c:formatCode>0</c:formatCode>
                <c:ptCount val="24"/>
                <c:pt idx="0">
                  <c:v>542</c:v>
                </c:pt>
                <c:pt idx="1">
                  <c:v>558</c:v>
                </c:pt>
                <c:pt idx="2">
                  <c:v>616</c:v>
                </c:pt>
                <c:pt idx="3">
                  <c:v>551</c:v>
                </c:pt>
                <c:pt idx="4">
                  <c:v>605</c:v>
                </c:pt>
                <c:pt idx="5">
                  <c:v>586</c:v>
                </c:pt>
                <c:pt idx="6">
                  <c:v>574</c:v>
                </c:pt>
                <c:pt idx="7">
                  <c:v>578</c:v>
                </c:pt>
                <c:pt idx="8">
                  <c:v>533</c:v>
                </c:pt>
                <c:pt idx="9">
                  <c:v>542</c:v>
                </c:pt>
                <c:pt idx="10">
                  <c:v>576</c:v>
                </c:pt>
                <c:pt idx="11">
                  <c:v>593</c:v>
                </c:pt>
                <c:pt idx="12">
                  <c:v>542</c:v>
                </c:pt>
                <c:pt idx="13">
                  <c:v>523.49540398163299</c:v>
                </c:pt>
                <c:pt idx="14">
                  <c:v>586.00927954816189</c:v>
                </c:pt>
                <c:pt idx="15">
                  <c:v>562.40081353601806</c:v>
                </c:pt>
                <c:pt idx="16">
                  <c:v>556.18323837268781</c:v>
                </c:pt>
                <c:pt idx="17">
                  <c:v>580.15180212346354</c:v>
                </c:pt>
                <c:pt idx="18">
                  <c:v>584.50562413040984</c:v>
                </c:pt>
                <c:pt idx="19">
                  <c:v>599.89232911334534</c:v>
                </c:pt>
                <c:pt idx="20">
                  <c:v>589.86192182269485</c:v>
                </c:pt>
                <c:pt idx="21">
                  <c:v>610.18893283877208</c:v>
                </c:pt>
                <c:pt idx="22">
                  <c:v>633.37244772077304</c:v>
                </c:pt>
                <c:pt idx="23">
                  <c:v>704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4344-4C7B-B0E7-DCC88B1DE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1560647359"/>
        <c:axId val="1560637375"/>
      </c:barChart>
      <c:lineChart>
        <c:grouping val="standard"/>
        <c:varyColors val="0"/>
        <c:ser>
          <c:idx val="1"/>
          <c:order val="1"/>
          <c:tx>
            <c:strRef>
              <c:f>'  Експорт IT + Мігранти'!$A$6</c:f>
              <c:strCache>
                <c:ptCount val="1"/>
                <c:pt idx="0">
                  <c:v>г-г, %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2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tx2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tx2"/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32-4344-4C7B-B0E7-DCC88B1DE9F4}"/>
              </c:ext>
            </c:extLst>
          </c:dPt>
          <c:dPt>
            <c:idx val="23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tx2"/>
                  </a:solidFill>
                  <a:prstDash val="dash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33-4344-4C7B-B0E7-DCC88B1DE9F4}"/>
              </c:ext>
            </c:extLst>
          </c:dPt>
          <c:dLbls>
            <c:dLbl>
              <c:idx val="1"/>
              <c:layout>
                <c:manualLayout>
                  <c:x val="-5.4040207983264275E-2"/>
                  <c:y val="1.91131210094981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4344-4C7B-B0E7-DCC88B1DE9F4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4344-4C7B-B0E7-DCC88B1DE9F4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7-4344-4C7B-B0E7-DCC88B1DE9F4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4344-4C7B-B0E7-DCC88B1DE9F4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4344-4C7B-B0E7-DCC88B1DE9F4}"/>
                </c:ext>
              </c:extLst>
            </c:dLbl>
            <c:dLbl>
              <c:idx val="11"/>
              <c:layout>
                <c:manualLayout>
                  <c:x val="-5.502534287520805E-2"/>
                  <c:y val="3.206011073244281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4344-4C7B-B0E7-DCC88B1DE9F4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D-4344-4C7B-B0E7-DCC88B1DE9F4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E-4344-4C7B-B0E7-DCC88B1DE9F4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4344-4C7B-B0E7-DCC88B1DE9F4}"/>
                </c:ext>
              </c:extLst>
            </c:dLbl>
            <c:dLbl>
              <c:idx val="1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0-4344-4C7B-B0E7-DCC88B1DE9F4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7-4344-4C7B-B0E7-DCC88B1DE9F4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2-4344-4C7B-B0E7-DCC88B1DE9F4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4344-4C7B-B0E7-DCC88B1DE9F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'  Експорт IT + Мігранти'!$FB$3:$FY$4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'  Експорт IT + Мігранти'!$FB$6:$FY$6</c:f>
              <c:numCache>
                <c:formatCode>0.0%</c:formatCode>
                <c:ptCount val="24"/>
                <c:pt idx="0">
                  <c:v>-0.17378048780487809</c:v>
                </c:pt>
                <c:pt idx="1">
                  <c:v>-0.34660421545667452</c:v>
                </c:pt>
                <c:pt idx="2">
                  <c:v>0.16007532956685488</c:v>
                </c:pt>
                <c:pt idx="3">
                  <c:v>-6.4516129032258118E-2</c:v>
                </c:pt>
                <c:pt idx="4">
                  <c:v>-1.9448946515397081E-2</c:v>
                </c:pt>
                <c:pt idx="5">
                  <c:v>8.6058519793459354E-3</c:v>
                </c:pt>
                <c:pt idx="6">
                  <c:v>2.8673835125448077E-2</c:v>
                </c:pt>
                <c:pt idx="7">
                  <c:v>-9.262166405023553E-2</c:v>
                </c:pt>
                <c:pt idx="8">
                  <c:v>-9.9662162162162171E-2</c:v>
                </c:pt>
                <c:pt idx="9">
                  <c:v>-7.3260073260073E-3</c:v>
                </c:pt>
                <c:pt idx="10">
                  <c:v>-3.6789297658862852E-2</c:v>
                </c:pt>
                <c:pt idx="11">
                  <c:v>-0.22178477690288712</c:v>
                </c:pt>
                <c:pt idx="12">
                  <c:v>0</c:v>
                </c:pt>
                <c:pt idx="13">
                  <c:v>-6.1836193581302878E-2</c:v>
                </c:pt>
                <c:pt idx="14">
                  <c:v>-4.8686234499737191E-2</c:v>
                </c:pt>
                <c:pt idx="15">
                  <c:v>2.0691131644315908E-2</c:v>
                </c:pt>
                <c:pt idx="16">
                  <c:v>-8.0688862193904476E-2</c:v>
                </c:pt>
                <c:pt idx="17">
                  <c:v>-9.979859857570772E-3</c:v>
                </c:pt>
                <c:pt idx="18">
                  <c:v>1.8302481063431797E-2</c:v>
                </c:pt>
                <c:pt idx="19">
                  <c:v>3.7876001926202996E-2</c:v>
                </c:pt>
                <c:pt idx="20">
                  <c:v>0.10668278015514976</c:v>
                </c:pt>
                <c:pt idx="21">
                  <c:v>0.12580983918592636</c:v>
                </c:pt>
                <c:pt idx="22">
                  <c:v>9.9604943959675341E-2</c:v>
                </c:pt>
                <c:pt idx="23">
                  <c:v>0.18718381112984828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4344-4C7B-B0E7-DCC88B1DE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2609023"/>
        <c:axId val="1908101455"/>
      </c:lineChart>
      <c:catAx>
        <c:axId val="1560647359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37375"/>
        <c:crosses val="autoZero"/>
        <c:auto val="1"/>
        <c:lblAlgn val="ctr"/>
        <c:lblOffset val="100"/>
        <c:tickMarkSkip val="1"/>
        <c:noMultiLvlLbl val="0"/>
      </c:catAx>
      <c:valAx>
        <c:axId val="1560637375"/>
        <c:scaling>
          <c:orientation val="minMax"/>
          <c:max val="900"/>
          <c:min val="40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47359"/>
        <c:crosses val="autoZero"/>
        <c:crossBetween val="between"/>
      </c:valAx>
      <c:valAx>
        <c:axId val="1908101455"/>
        <c:scaling>
          <c:orientation val="minMax"/>
          <c:min val="-2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609023"/>
        <c:crosses val="max"/>
        <c:crossBetween val="between"/>
      </c:valAx>
      <c:catAx>
        <c:axId val="19026090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081014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604559338230551E-3"/>
          <c:y val="0.11086350736949424"/>
          <c:w val="0.99402143803532816"/>
          <c:h val="4.0102399944863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0743842435591351E-2"/>
          <c:y val="0.18607067245657852"/>
          <c:w val="0.89302275345014537"/>
          <c:h val="0.66693230335767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  Експорт IT + Мігранти'!$A$34</c:f>
              <c:strCache>
                <c:ptCount val="1"/>
                <c:pt idx="0">
                  <c:v>Переводы мигрантов, $ млн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F5D-4026-8239-CB7EE3633D45}"/>
              </c:ext>
            </c:extLst>
          </c:dPt>
          <c:dPt>
            <c:idx val="1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F5D-4026-8239-CB7EE3633D45}"/>
              </c:ext>
            </c:extLst>
          </c:dPt>
          <c:dPt>
            <c:idx val="2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DF5D-4026-8239-CB7EE3633D45}"/>
              </c:ext>
            </c:extLst>
          </c:dPt>
          <c:dPt>
            <c:idx val="3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DF5D-4026-8239-CB7EE3633D45}"/>
              </c:ext>
            </c:extLst>
          </c:dPt>
          <c:dPt>
            <c:idx val="4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DF5D-4026-8239-CB7EE3633D45}"/>
              </c:ext>
            </c:extLst>
          </c:dPt>
          <c:dPt>
            <c:idx val="5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DF5D-4026-8239-CB7EE3633D45}"/>
              </c:ext>
            </c:extLst>
          </c:dPt>
          <c:dPt>
            <c:idx val="6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DF5D-4026-8239-CB7EE3633D45}"/>
              </c:ext>
            </c:extLst>
          </c:dPt>
          <c:dPt>
            <c:idx val="7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DF5D-4026-8239-CB7EE3633D45}"/>
              </c:ext>
            </c:extLst>
          </c:dPt>
          <c:dPt>
            <c:idx val="8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DF5D-4026-8239-CB7EE3633D45}"/>
              </c:ext>
            </c:extLst>
          </c:dPt>
          <c:dPt>
            <c:idx val="9"/>
            <c:invertIfNegative val="0"/>
            <c:bubble3D val="0"/>
            <c:spPr>
              <a:solidFill>
                <a:schemeClr val="tx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DF5D-4026-8239-CB7EE3633D45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DF5D-4026-8239-CB7EE3633D45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DF5D-4026-8239-CB7EE3633D45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DF5D-4026-8239-CB7EE3633D45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DF5D-4026-8239-CB7EE3633D45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DF5D-4026-8239-CB7EE3633D45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DF5D-4026-8239-CB7EE3633D45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DF5D-4026-8239-CB7EE3633D45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5-DF5D-4026-8239-CB7EE3633D45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46-DF5D-4026-8239-CB7EE3633D45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DF5D-4026-8239-CB7EE3633D45}"/>
              </c:ext>
            </c:extLst>
          </c:dPt>
          <c:dPt>
            <c:idx val="20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DF5D-4026-8239-CB7EE3633D45}"/>
              </c:ext>
            </c:extLst>
          </c:dPt>
          <c:dPt>
            <c:idx val="21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DF5D-4026-8239-CB7EE3633D45}"/>
              </c:ext>
            </c:extLst>
          </c:dPt>
          <c:dPt>
            <c:idx val="22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DF5D-4026-8239-CB7EE3633D45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1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DF5D-4026-8239-CB7EE3633D45}"/>
              </c:ext>
            </c:extLst>
          </c:dPt>
          <c:cat>
            <c:multiLvlStrRef>
              <c:extLst>
                <c:ext xmlns:c15="http://schemas.microsoft.com/office/drawing/2012/chart" uri="{02D57815-91ED-43cb-92C2-25804820EDAC}">
                  <c15:fullRef>
                    <c15:sqref>'  Експорт IT + Мігранти'!$EP$3:$FY$4</c15:sqref>
                  </c15:fullRef>
                </c:ext>
              </c:extLst>
              <c:f>'  Експорт IT + Мігранти'!$FB$3:$FY$4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  Експорт IT + Мігранти'!$EP$34:$FY$34</c15:sqref>
                  </c15:fullRef>
                </c:ext>
              </c:extLst>
              <c:f>'  Експорт IT + Мігранти'!$FB$34:$FY$34</c:f>
              <c:numCache>
                <c:formatCode>0</c:formatCode>
                <c:ptCount val="24"/>
                <c:pt idx="0">
                  <c:v>1020</c:v>
                </c:pt>
                <c:pt idx="1">
                  <c:v>1045</c:v>
                </c:pt>
                <c:pt idx="2">
                  <c:v>1101</c:v>
                </c:pt>
                <c:pt idx="3">
                  <c:v>960</c:v>
                </c:pt>
                <c:pt idx="4">
                  <c:v>965</c:v>
                </c:pt>
                <c:pt idx="5">
                  <c:v>949</c:v>
                </c:pt>
                <c:pt idx="6">
                  <c:v>921</c:v>
                </c:pt>
                <c:pt idx="7">
                  <c:v>933</c:v>
                </c:pt>
                <c:pt idx="8">
                  <c:v>918</c:v>
                </c:pt>
                <c:pt idx="9">
                  <c:v>901</c:v>
                </c:pt>
                <c:pt idx="10">
                  <c:v>922</c:v>
                </c:pt>
                <c:pt idx="11">
                  <c:v>1050</c:v>
                </c:pt>
                <c:pt idx="12">
                  <c:v>855</c:v>
                </c:pt>
                <c:pt idx="13">
                  <c:v>790.27370804348277</c:v>
                </c:pt>
                <c:pt idx="14">
                  <c:v>865.98981637847476</c:v>
                </c:pt>
                <c:pt idx="15">
                  <c:v>875.41252534724288</c:v>
                </c:pt>
                <c:pt idx="16">
                  <c:v>879.25608192226764</c:v>
                </c:pt>
                <c:pt idx="17">
                  <c:v>872.40882549649132</c:v>
                </c:pt>
                <c:pt idx="18">
                  <c:v>1050</c:v>
                </c:pt>
                <c:pt idx="19">
                  <c:v>942.47215809801219</c:v>
                </c:pt>
                <c:pt idx="20">
                  <c:v>924.28789727037099</c:v>
                </c:pt>
                <c:pt idx="21">
                  <c:v>954.63320834828403</c:v>
                </c:pt>
                <c:pt idx="22">
                  <c:v>946.7714893910246</c:v>
                </c:pt>
                <c:pt idx="23">
                  <c:v>1080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DF5D-4026-8239-CB7EE3633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6"/>
        <c:overlap val="-27"/>
        <c:axId val="1560647359"/>
        <c:axId val="1560637375"/>
      </c:barChart>
      <c:lineChart>
        <c:grouping val="standard"/>
        <c:varyColors val="0"/>
        <c:ser>
          <c:idx val="1"/>
          <c:order val="1"/>
          <c:tx>
            <c:strRef>
              <c:f>'  Експорт IT + Мігранти'!$A$35</c:f>
              <c:strCache>
                <c:ptCount val="1"/>
                <c:pt idx="0">
                  <c:v>г-г, %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9525">
                <a:solidFill>
                  <a:schemeClr val="tx2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chemeClr val="bg1"/>
                </a:solidFill>
                <a:ln w="9525">
                  <a:solidFill>
                    <a:schemeClr val="tx2"/>
                  </a:solidFill>
                  <a:prstDash val="dash"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2D-DF5D-4026-8239-CB7EE3633D45}"/>
              </c:ext>
            </c:extLst>
          </c:dPt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DF5D-4026-8239-CB7EE3633D45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DF5D-4026-8239-CB7EE3633D45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1-DF5D-4026-8239-CB7EE3633D45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2-DF5D-4026-8239-CB7EE3633D45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3-DF5D-4026-8239-CB7EE3633D45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4-DF5D-4026-8239-CB7EE3633D45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5-DF5D-4026-8239-CB7EE3633D45}"/>
                </c:ext>
              </c:extLst>
            </c:dLbl>
            <c:dLbl>
              <c:idx val="13"/>
              <c:layout>
                <c:manualLayout>
                  <c:x val="-4.3056717211533826E-2"/>
                  <c:y val="3.08908448156904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4-DF5D-4026-8239-CB7EE3633D45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DF5D-4026-8239-CB7EE3633D45}"/>
                </c:ext>
              </c:extLst>
            </c:dLbl>
            <c:dLbl>
              <c:idx val="1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8-DF5D-4026-8239-CB7EE3633D45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9-DF5D-4026-8239-CB7EE3633D45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DF5D-4026-8239-CB7EE3633D4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  Експорт IT + Мігранти'!$ED$3:$FM$4</c15:sqref>
                  </c15:fullRef>
                </c:ext>
              </c:extLst>
              <c:f>'  Експорт IT + Мігранти'!$EP$3:$FM$4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2022</c:v>
                  </c:pt>
                  <c:pt idx="12">
                    <c:v>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  Експорт IT + Мігранти'!$EP$35:$FY$35</c15:sqref>
                  </c15:fullRef>
                </c:ext>
              </c:extLst>
              <c:f>'  Експорт IT + Мігранти'!$FB$35:$FY$35</c:f>
              <c:numCache>
                <c:formatCode>0.0%</c:formatCode>
                <c:ptCount val="24"/>
                <c:pt idx="0">
                  <c:v>-0.11993097497842964</c:v>
                </c:pt>
                <c:pt idx="1">
                  <c:v>-8.0105633802816878E-2</c:v>
                </c:pt>
                <c:pt idx="2">
                  <c:v>5.3588516746411408E-2</c:v>
                </c:pt>
                <c:pt idx="3">
                  <c:v>-0.11602209944751385</c:v>
                </c:pt>
                <c:pt idx="4">
                  <c:v>-0.1081330868761553</c:v>
                </c:pt>
                <c:pt idx="5">
                  <c:v>-0.13805631244323346</c:v>
                </c:pt>
                <c:pt idx="6">
                  <c:v>-0.10842207163601159</c:v>
                </c:pt>
                <c:pt idx="7">
                  <c:v>-0.1264044943820225</c:v>
                </c:pt>
                <c:pt idx="8">
                  <c:v>-0.13802816901408455</c:v>
                </c:pt>
                <c:pt idx="9">
                  <c:v>-0.15794392523364487</c:v>
                </c:pt>
                <c:pt idx="10">
                  <c:v>-0.1486611265004617</c:v>
                </c:pt>
                <c:pt idx="11">
                  <c:v>-9.5607235142118885E-2</c:v>
                </c:pt>
                <c:pt idx="12">
                  <c:v>-0.16176470588235292</c:v>
                </c:pt>
                <c:pt idx="13">
                  <c:v>-0.24375721718327004</c:v>
                </c:pt>
                <c:pt idx="14">
                  <c:v>-0.21345157458812469</c:v>
                </c:pt>
                <c:pt idx="15">
                  <c:v>-8.8111952763288648E-2</c:v>
                </c:pt>
                <c:pt idx="16">
                  <c:v>-8.8853801116821063E-2</c:v>
                </c:pt>
                <c:pt idx="17">
                  <c:v>-8.0707243944687757E-2</c:v>
                </c:pt>
                <c:pt idx="18">
                  <c:v>0.14006514657980462</c:v>
                </c:pt>
                <c:pt idx="19">
                  <c:v>1.0152366664536006E-2</c:v>
                </c:pt>
                <c:pt idx="20">
                  <c:v>6.849561296700335E-3</c:v>
                </c:pt>
                <c:pt idx="21">
                  <c:v>5.952631337212444E-2</c:v>
                </c:pt>
                <c:pt idx="22">
                  <c:v>2.6867125152955085E-2</c:v>
                </c:pt>
                <c:pt idx="23">
                  <c:v>2.857142857142847E-2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DF5D-4026-8239-CB7EE3633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2609023"/>
        <c:axId val="1908101455"/>
      </c:lineChart>
      <c:catAx>
        <c:axId val="1560647359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37375"/>
        <c:crosses val="autoZero"/>
        <c:auto val="1"/>
        <c:lblAlgn val="ctr"/>
        <c:lblOffset val="100"/>
        <c:tickMarkSkip val="1"/>
        <c:noMultiLvlLbl val="0"/>
      </c:catAx>
      <c:valAx>
        <c:axId val="1560637375"/>
        <c:scaling>
          <c:orientation val="minMax"/>
          <c:max val="1250"/>
          <c:min val="700"/>
        </c:scaling>
        <c:delete val="0"/>
        <c:axPos val="l"/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647359"/>
        <c:crosses val="autoZero"/>
        <c:crossBetween val="between"/>
      </c:valAx>
      <c:valAx>
        <c:axId val="1908101455"/>
        <c:scaling>
          <c:orientation val="minMax"/>
          <c:min val="-1"/>
        </c:scaling>
        <c:delete val="0"/>
        <c:axPos val="r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609023"/>
        <c:crosses val="max"/>
        <c:crossBetween val="between"/>
      </c:valAx>
      <c:catAx>
        <c:axId val="190260902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0810145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4.2603757582462161E-3"/>
          <c:y val="0.10903973332695578"/>
          <c:w val="0.96842760658010074"/>
          <c:h val="4.01023999448632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758716108918473E-2"/>
          <c:y val="0.13559595202090596"/>
          <c:w val="0.72031948485416319"/>
          <c:h val="0.77088099543381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'Імпорт послуг'!$A$4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'Імпорт послуг'!$B$2:$M$2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'Імпорт послуг'!$B$4:$M$4</c:f>
              <c:numCache>
                <c:formatCode>0.0</c:formatCode>
                <c:ptCount val="12"/>
                <c:pt idx="0">
                  <c:v>0.70399999999999996</c:v>
                </c:pt>
                <c:pt idx="1">
                  <c:v>0.81399999999999995</c:v>
                </c:pt>
                <c:pt idx="2">
                  <c:v>1.627</c:v>
                </c:pt>
                <c:pt idx="3">
                  <c:v>1.667</c:v>
                </c:pt>
                <c:pt idx="4">
                  <c:v>1.9379999999999999</c:v>
                </c:pt>
                <c:pt idx="5">
                  <c:v>1.917</c:v>
                </c:pt>
                <c:pt idx="6">
                  <c:v>1.829</c:v>
                </c:pt>
                <c:pt idx="7">
                  <c:v>1.788</c:v>
                </c:pt>
                <c:pt idx="8">
                  <c:v>1.798</c:v>
                </c:pt>
                <c:pt idx="9">
                  <c:v>1.792</c:v>
                </c:pt>
                <c:pt idx="10">
                  <c:v>1.855</c:v>
                </c:pt>
                <c:pt idx="11">
                  <c:v>2.1070000000000002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40-4427-8D51-C4598EF6F8E9}"/>
            </c:ext>
          </c:extLst>
        </c:ser>
        <c:ser>
          <c:idx val="1"/>
          <c:order val="1"/>
          <c:tx>
            <c:strRef>
              <c:f>'Імпорт послуг'!$A$5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'Імпорт послуг'!$B$2:$M$2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'Імпорт послуг'!$B$5:$M$5</c:f>
              <c:numCache>
                <c:formatCode>0.0</c:formatCode>
                <c:ptCount val="12"/>
                <c:pt idx="0">
                  <c:v>2.056</c:v>
                </c:pt>
                <c:pt idx="1">
                  <c:v>1.9870000000000001</c:v>
                </c:pt>
                <c:pt idx="2">
                  <c:v>1.577</c:v>
                </c:pt>
                <c:pt idx="3">
                  <c:v>1.339</c:v>
                </c:pt>
                <c:pt idx="4">
                  <c:v>1.369</c:v>
                </c:pt>
                <c:pt idx="5">
                  <c:v>1.3380000000000001</c:v>
                </c:pt>
                <c:pt idx="6">
                  <c:v>1.3640000000000001</c:v>
                </c:pt>
                <c:pt idx="7">
                  <c:v>1.3540000000000001</c:v>
                </c:pt>
                <c:pt idx="8">
                  <c:v>1.3180000000000001</c:v>
                </c:pt>
                <c:pt idx="9">
                  <c:v>1.286</c:v>
                </c:pt>
                <c:pt idx="10">
                  <c:v>1.383</c:v>
                </c:pt>
                <c:pt idx="11">
                  <c:v>1.54272666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40-4427-8D51-C4598EF6F8E9}"/>
            </c:ext>
          </c:extLst>
        </c:ser>
        <c:ser>
          <c:idx val="2"/>
          <c:order val="2"/>
          <c:tx>
            <c:strRef>
              <c:f>'Імпорт послуг'!$A$6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'Імпорт послуг'!$B$2:$M$2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'Імпорт послуг'!$B$6:$M$6</c:f>
              <c:numCache>
                <c:formatCode>0.0</c:formatCode>
                <c:ptCount val="12"/>
                <c:pt idx="0">
                  <c:v>1.3516937941916294</c:v>
                </c:pt>
                <c:pt idx="1">
                  <c:v>1.3574686031326169</c:v>
                </c:pt>
                <c:pt idx="2">
                  <c:v>1.3278965464789223</c:v>
                </c:pt>
                <c:pt idx="3">
                  <c:v>1.2669760330920623</c:v>
                </c:pt>
                <c:pt idx="4">
                  <c:v>1.2925702896959703</c:v>
                </c:pt>
                <c:pt idx="5">
                  <c:v>1.3054861094405696</c:v>
                </c:pt>
                <c:pt idx="6">
                  <c:v>1.2919892159560369</c:v>
                </c:pt>
                <c:pt idx="7">
                  <c:v>1.31646341564606</c:v>
                </c:pt>
                <c:pt idx="8">
                  <c:v>1.3475982809337443</c:v>
                </c:pt>
                <c:pt idx="9">
                  <c:v>1.2465532419908256</c:v>
                </c:pt>
                <c:pt idx="10">
                  <c:v>1.2414001752205734</c:v>
                </c:pt>
                <c:pt idx="11">
                  <c:v>1.4503403570232736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40-4427-8D51-C4598EF6F8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overlap val="-90"/>
        <c:axId val="2046168143"/>
        <c:axId val="2046169807"/>
      </c:barChart>
      <c:catAx>
        <c:axId val="204616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69807"/>
        <c:crosses val="autoZero"/>
        <c:auto val="1"/>
        <c:lblAlgn val="ctr"/>
        <c:lblOffset val="100"/>
        <c:noMultiLvlLbl val="0"/>
      </c:catAx>
      <c:valAx>
        <c:axId val="2046169807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6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31033670017542"/>
          <c:y val="0.22694742122713249"/>
          <c:w val="0.1358027179075445"/>
          <c:h val="0.55814435007273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3758716108918473E-2"/>
          <c:y val="0.13559595202090596"/>
          <c:w val="0.72031948485416319"/>
          <c:h val="0.77088099543381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'Імпорт послуг'!$A$3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'Імпорт послуг'!$B$2:$M$2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'Імпорт послуг'!$B$3:$M$3</c:f>
              <c:numCache>
                <c:formatCode>0.0</c:formatCode>
                <c:ptCount val="12"/>
                <c:pt idx="0">
                  <c:v>0.39</c:v>
                </c:pt>
                <c:pt idx="1">
                  <c:v>0.38300000000000001</c:v>
                </c:pt>
                <c:pt idx="2">
                  <c:v>0.438</c:v>
                </c:pt>
                <c:pt idx="3">
                  <c:v>0.44800000000000001</c:v>
                </c:pt>
                <c:pt idx="4">
                  <c:v>0.505</c:v>
                </c:pt>
                <c:pt idx="5">
                  <c:v>0.56200000000000006</c:v>
                </c:pt>
                <c:pt idx="6">
                  <c:v>0.60699999999999998</c:v>
                </c:pt>
                <c:pt idx="7">
                  <c:v>0.68799999999999994</c:v>
                </c:pt>
                <c:pt idx="8">
                  <c:v>0.629</c:v>
                </c:pt>
                <c:pt idx="9">
                  <c:v>0.56499999999999995</c:v>
                </c:pt>
                <c:pt idx="10">
                  <c:v>0.51600000000000001</c:v>
                </c:pt>
                <c:pt idx="11">
                  <c:v>0.52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7C-456B-9352-2073FA68DA8C}"/>
            </c:ext>
          </c:extLst>
        </c:ser>
        <c:ser>
          <c:idx val="1"/>
          <c:order val="1"/>
          <c:tx>
            <c:strRef>
              <c:f>'Імпорт послуг'!$A$4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'Імпорт послуг'!$B$2:$M$2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'Імпорт послуг'!$B$4:$M$4</c:f>
              <c:numCache>
                <c:formatCode>0.0</c:formatCode>
                <c:ptCount val="12"/>
                <c:pt idx="0">
                  <c:v>0.70399999999999996</c:v>
                </c:pt>
                <c:pt idx="1">
                  <c:v>0.81399999999999995</c:v>
                </c:pt>
                <c:pt idx="2">
                  <c:v>1.627</c:v>
                </c:pt>
                <c:pt idx="3">
                  <c:v>1.667</c:v>
                </c:pt>
                <c:pt idx="4">
                  <c:v>1.9379999999999999</c:v>
                </c:pt>
                <c:pt idx="5">
                  <c:v>1.917</c:v>
                </c:pt>
                <c:pt idx="6">
                  <c:v>1.829</c:v>
                </c:pt>
                <c:pt idx="7">
                  <c:v>1.788</c:v>
                </c:pt>
                <c:pt idx="8">
                  <c:v>1.798</c:v>
                </c:pt>
                <c:pt idx="9">
                  <c:v>1.792</c:v>
                </c:pt>
                <c:pt idx="10">
                  <c:v>1.855</c:v>
                </c:pt>
                <c:pt idx="11">
                  <c:v>2.1070000000000002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7C-456B-9352-2073FA68DA8C}"/>
            </c:ext>
          </c:extLst>
        </c:ser>
        <c:ser>
          <c:idx val="2"/>
          <c:order val="2"/>
          <c:tx>
            <c:strRef>
              <c:f>'Імпорт послуг'!$A$5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'Імпорт послуг'!$B$2:$M$2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'Імпорт послуг'!$B$5:$M$5</c:f>
              <c:numCache>
                <c:formatCode>0.0</c:formatCode>
                <c:ptCount val="12"/>
                <c:pt idx="0">
                  <c:v>2.056</c:v>
                </c:pt>
                <c:pt idx="1">
                  <c:v>1.9870000000000001</c:v>
                </c:pt>
                <c:pt idx="2">
                  <c:v>1.577</c:v>
                </c:pt>
                <c:pt idx="3">
                  <c:v>1.339</c:v>
                </c:pt>
                <c:pt idx="4">
                  <c:v>1.369</c:v>
                </c:pt>
                <c:pt idx="5">
                  <c:v>1.3380000000000001</c:v>
                </c:pt>
                <c:pt idx="6">
                  <c:v>1.3640000000000001</c:v>
                </c:pt>
                <c:pt idx="7">
                  <c:v>1.3540000000000001</c:v>
                </c:pt>
                <c:pt idx="8">
                  <c:v>1.3180000000000001</c:v>
                </c:pt>
                <c:pt idx="9">
                  <c:v>1.286</c:v>
                </c:pt>
                <c:pt idx="10">
                  <c:v>1.383</c:v>
                </c:pt>
                <c:pt idx="11">
                  <c:v>1.54272666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7C-456B-9352-2073FA68D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0"/>
        <c:overlap val="-90"/>
        <c:axId val="2046168143"/>
        <c:axId val="2046169807"/>
      </c:barChart>
      <c:catAx>
        <c:axId val="2046168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69807"/>
        <c:crosses val="autoZero"/>
        <c:auto val="1"/>
        <c:lblAlgn val="ctr"/>
        <c:lblOffset val="100"/>
        <c:noMultiLvlLbl val="0"/>
      </c:catAx>
      <c:valAx>
        <c:axId val="2046169807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6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31033670017542"/>
          <c:y val="0.22694742122713249"/>
          <c:w val="0.1358027179075445"/>
          <c:h val="0.55814435007273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uk-UA" sz="2000">
                <a:solidFill>
                  <a:schemeClr val="accent1"/>
                </a:solidFill>
              </a:rPr>
              <a:t>Прямі іноземні інвестиції (сальдо), </a:t>
            </a:r>
            <a:r>
              <a:rPr lang="en-US" sz="2000">
                <a:solidFill>
                  <a:schemeClr val="accent1"/>
                </a:solidFill>
              </a:rPr>
              <a:t>$ </a:t>
            </a:r>
            <a:r>
              <a:rPr lang="ru-RU" sz="2000">
                <a:solidFill>
                  <a:schemeClr val="accent1"/>
                </a:solidFill>
              </a:rPr>
              <a:t>млрд</a:t>
            </a:r>
            <a:endParaRPr lang="uk-UA" sz="2000">
              <a:solidFill>
                <a:schemeClr val="accent1"/>
              </a:solidFill>
            </a:endParaRPr>
          </a:p>
        </c:rich>
      </c:tx>
      <c:layout>
        <c:manualLayout>
          <c:xMode val="edge"/>
          <c:yMode val="edge"/>
          <c:x val="4.1666666666668252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'окремі статті'!$A$2</c:f>
              <c:strCache>
                <c:ptCount val="1"/>
                <c:pt idx="0">
                  <c:v>Прямі інвестиції (сальдо)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2D2-4B81-86B5-01E2638724B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2D2-4B81-86B5-01E2638724BF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3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'окремі статті'!$B$1:$O$1</c:f>
              <c:strCache>
                <c:ptCount val="14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</c:strCache>
            </c:strRef>
          </c:cat>
          <c:val>
            <c:numRef>
              <c:f>'окремі статті'!$B$2:$O$2</c:f>
              <c:numCache>
                <c:formatCode>#,##0</c:formatCode>
                <c:ptCount val="14"/>
                <c:pt idx="0">
                  <c:v>5759</c:v>
                </c:pt>
                <c:pt idx="1">
                  <c:v>7015</c:v>
                </c:pt>
                <c:pt idx="2">
                  <c:v>7195</c:v>
                </c:pt>
                <c:pt idx="3">
                  <c:v>4079</c:v>
                </c:pt>
                <c:pt idx="4">
                  <c:v>299</c:v>
                </c:pt>
                <c:pt idx="5">
                  <c:v>-236</c:v>
                </c:pt>
                <c:pt idx="6">
                  <c:v>3955</c:v>
                </c:pt>
                <c:pt idx="7">
                  <c:v>3446</c:v>
                </c:pt>
                <c:pt idx="8">
                  <c:v>4859</c:v>
                </c:pt>
                <c:pt idx="9">
                  <c:v>5175</c:v>
                </c:pt>
                <c:pt idx="10">
                  <c:v>-58</c:v>
                </c:pt>
                <c:pt idx="11">
                  <c:v>7518</c:v>
                </c:pt>
                <c:pt idx="12">
                  <c:v>504</c:v>
                </c:pt>
                <c:pt idx="13">
                  <c:v>4694.1087013022179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2D2-4B81-86B5-01E2638724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6008719"/>
        <c:axId val="756002479"/>
      </c:barChart>
      <c:catAx>
        <c:axId val="75600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2479"/>
        <c:crosses val="autoZero"/>
        <c:auto val="1"/>
        <c:lblAlgn val="ctr"/>
        <c:lblOffset val="100"/>
        <c:noMultiLvlLbl val="0"/>
      </c:catAx>
      <c:valAx>
        <c:axId val="75600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871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3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uk-UA" sz="2000">
                <a:solidFill>
                  <a:schemeClr val="accent1"/>
                </a:solidFill>
              </a:rPr>
              <a:t>Торгові кредити пасиви, </a:t>
            </a:r>
            <a:r>
              <a:rPr lang="en-US" sz="2000">
                <a:solidFill>
                  <a:schemeClr val="accent1"/>
                </a:solidFill>
              </a:rPr>
              <a:t>$ </a:t>
            </a:r>
            <a:r>
              <a:rPr lang="ru-RU" sz="2000">
                <a:solidFill>
                  <a:schemeClr val="accent1"/>
                </a:solidFill>
              </a:rPr>
              <a:t>млрд</a:t>
            </a:r>
            <a:endParaRPr lang="uk-UA" sz="2000">
              <a:solidFill>
                <a:schemeClr val="accent1"/>
              </a:solidFill>
            </a:endParaRPr>
          </a:p>
        </c:rich>
      </c:tx>
      <c:layout>
        <c:manualLayout>
          <c:xMode val="edge"/>
          <c:yMode val="edge"/>
          <c:x val="4.1666666666668252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'окремі статті'!$A$3</c:f>
              <c:strCache>
                <c:ptCount val="1"/>
                <c:pt idx="0">
                  <c:v>Торгові кредити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195-4094-9996-2083CD25F509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195-4094-9996-2083CD25F509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3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'окремі статті'!$B$1:$O$1</c:f>
              <c:strCache>
                <c:ptCount val="14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</c:strCache>
            </c:strRef>
          </c:cat>
          <c:val>
            <c:numRef>
              <c:f>'окремі статті'!$B$3:$O$3</c:f>
              <c:numCache>
                <c:formatCode>#,##0</c:formatCode>
                <c:ptCount val="14"/>
                <c:pt idx="0">
                  <c:v>3087</c:v>
                </c:pt>
                <c:pt idx="1">
                  <c:v>4081</c:v>
                </c:pt>
                <c:pt idx="2">
                  <c:v>2602</c:v>
                </c:pt>
                <c:pt idx="3">
                  <c:v>3898</c:v>
                </c:pt>
                <c:pt idx="4">
                  <c:v>-6646</c:v>
                </c:pt>
                <c:pt idx="5">
                  <c:v>-1727</c:v>
                </c:pt>
                <c:pt idx="6">
                  <c:v>600</c:v>
                </c:pt>
                <c:pt idx="7">
                  <c:v>1599</c:v>
                </c:pt>
                <c:pt idx="8">
                  <c:v>1104</c:v>
                </c:pt>
                <c:pt idx="9">
                  <c:v>2422</c:v>
                </c:pt>
                <c:pt idx="10">
                  <c:v>2411</c:v>
                </c:pt>
                <c:pt idx="11">
                  <c:v>-369</c:v>
                </c:pt>
                <c:pt idx="12">
                  <c:v>-1321</c:v>
                </c:pt>
                <c:pt idx="13">
                  <c:v>410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195-4094-9996-2083CD25F50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6008719"/>
        <c:axId val="756002479"/>
      </c:barChart>
      <c:catAx>
        <c:axId val="75600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2479"/>
        <c:crosses val="autoZero"/>
        <c:auto val="1"/>
        <c:lblAlgn val="ctr"/>
        <c:lblOffset val="100"/>
        <c:noMultiLvlLbl val="0"/>
      </c:catAx>
      <c:valAx>
        <c:axId val="75600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871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3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uk-UA" sz="2000">
                <a:solidFill>
                  <a:schemeClr val="accent1"/>
                </a:solidFill>
              </a:rPr>
              <a:t>Отримані кредити</a:t>
            </a:r>
            <a:r>
              <a:rPr lang="uk-UA" sz="2000" baseline="0">
                <a:solidFill>
                  <a:schemeClr val="accent1"/>
                </a:solidFill>
              </a:rPr>
              <a:t> </a:t>
            </a:r>
            <a:r>
              <a:rPr lang="uk-UA" sz="2000">
                <a:solidFill>
                  <a:schemeClr val="accent1"/>
                </a:solidFill>
              </a:rPr>
              <a:t>, </a:t>
            </a:r>
            <a:r>
              <a:rPr lang="en-US" sz="2000">
                <a:solidFill>
                  <a:schemeClr val="accent1"/>
                </a:solidFill>
              </a:rPr>
              <a:t>$ </a:t>
            </a:r>
            <a:r>
              <a:rPr lang="ru-RU" sz="2000">
                <a:solidFill>
                  <a:schemeClr val="accent1"/>
                </a:solidFill>
              </a:rPr>
              <a:t>млрд</a:t>
            </a:r>
            <a:endParaRPr lang="uk-UA" sz="2000">
              <a:solidFill>
                <a:schemeClr val="accent1"/>
              </a:solidFill>
            </a:endParaRPr>
          </a:p>
        </c:rich>
      </c:tx>
      <c:layout>
        <c:manualLayout>
          <c:xMode val="edge"/>
          <c:yMode val="edge"/>
          <c:x val="4.1666666666668252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'окремі статті'!$A$4</c:f>
              <c:strCache>
                <c:ptCount val="1"/>
                <c:pt idx="0">
                  <c:v>Кредити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A6D-4C90-8A2D-31148E07112D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A6D-4C90-8A2D-31148E07112D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3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'окремі статті'!$B$1:$O$1</c:f>
              <c:strCache>
                <c:ptCount val="14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</c:strCache>
            </c:strRef>
          </c:cat>
          <c:val>
            <c:numRef>
              <c:f>'окремі статті'!$B$4:$O$4</c:f>
              <c:numCache>
                <c:formatCode>#,##0</c:formatCode>
                <c:ptCount val="14"/>
                <c:pt idx="0">
                  <c:v>4603</c:v>
                </c:pt>
                <c:pt idx="1">
                  <c:v>5952</c:v>
                </c:pt>
                <c:pt idx="2">
                  <c:v>7748</c:v>
                </c:pt>
                <c:pt idx="3">
                  <c:v>1834</c:v>
                </c:pt>
                <c:pt idx="4">
                  <c:v>-254</c:v>
                </c:pt>
                <c:pt idx="5">
                  <c:v>-1453</c:v>
                </c:pt>
                <c:pt idx="6">
                  <c:v>-236</c:v>
                </c:pt>
                <c:pt idx="7">
                  <c:v>297</c:v>
                </c:pt>
                <c:pt idx="8">
                  <c:v>1086</c:v>
                </c:pt>
                <c:pt idx="9">
                  <c:v>1342</c:v>
                </c:pt>
                <c:pt idx="10">
                  <c:v>-287</c:v>
                </c:pt>
                <c:pt idx="11">
                  <c:v>352</c:v>
                </c:pt>
                <c:pt idx="12">
                  <c:v>741</c:v>
                </c:pt>
                <c:pt idx="13">
                  <c:v>784.30429602666663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6D-4C90-8A2D-31148E07112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6008719"/>
        <c:axId val="756002479"/>
      </c:barChart>
      <c:catAx>
        <c:axId val="75600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2479"/>
        <c:crosses val="autoZero"/>
        <c:auto val="1"/>
        <c:lblAlgn val="ctr"/>
        <c:lblOffset val="100"/>
        <c:noMultiLvlLbl val="0"/>
      </c:catAx>
      <c:valAx>
        <c:axId val="75600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871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3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[12]Чарти!$G$15</c:f>
          <c:strCache>
            <c:ptCount val="1"/>
            <c:pt idx="0">
              <c:v>Прямі іноземні інвестиції (сальдо), $ млрд</c:v>
            </c:pt>
          </c:strCache>
        </c:strRef>
      </c:tx>
      <c:layout>
        <c:manualLayout>
          <c:xMode val="edge"/>
          <c:yMode val="edge"/>
          <c:x val="4.1666666666668252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747774667958829E-2"/>
          <c:y val="0.240829924418407"/>
          <c:w val="0.90795118694606092"/>
          <c:h val="0.563359619677538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'окремі статті'!$A$2</c:f>
              <c:strCache>
                <c:ptCount val="1"/>
                <c:pt idx="0">
                  <c:v>Прямі інвестиції (сальдо)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B6C-4862-BB41-2A5100AFD8F7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B6C-4862-BB41-2A5100AFD8F7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B6C-4862-BB41-2A5100AFD8F7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'окремі статті'!$B$1:$P$1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  <c:pt idx="14">
                  <c:v>2024F</c:v>
                </c:pt>
              </c:strCache>
            </c:strRef>
          </c:cat>
          <c:val>
            <c:numRef>
              <c:f>'окремі статті'!$B$2:$P$2</c:f>
              <c:numCache>
                <c:formatCode>#,##0</c:formatCode>
                <c:ptCount val="15"/>
                <c:pt idx="0">
                  <c:v>5759</c:v>
                </c:pt>
                <c:pt idx="1">
                  <c:v>7015</c:v>
                </c:pt>
                <c:pt idx="2">
                  <c:v>7195</c:v>
                </c:pt>
                <c:pt idx="3">
                  <c:v>4079</c:v>
                </c:pt>
                <c:pt idx="4">
                  <c:v>299</c:v>
                </c:pt>
                <c:pt idx="5">
                  <c:v>-236</c:v>
                </c:pt>
                <c:pt idx="6">
                  <c:v>3955</c:v>
                </c:pt>
                <c:pt idx="7">
                  <c:v>3446</c:v>
                </c:pt>
                <c:pt idx="8">
                  <c:v>4859</c:v>
                </c:pt>
                <c:pt idx="9">
                  <c:v>5175</c:v>
                </c:pt>
                <c:pt idx="10">
                  <c:v>-58</c:v>
                </c:pt>
                <c:pt idx="11">
                  <c:v>7518</c:v>
                </c:pt>
                <c:pt idx="12">
                  <c:v>504</c:v>
                </c:pt>
                <c:pt idx="13">
                  <c:v>4694.1087013022179</c:v>
                </c:pt>
                <c:pt idx="14">
                  <c:v>4926.1653957529552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6C-4862-BB41-2A5100AFD8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6008719"/>
        <c:axId val="756002479"/>
      </c:barChart>
      <c:catAx>
        <c:axId val="756008719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2479"/>
        <c:crosses val="autoZero"/>
        <c:auto val="1"/>
        <c:lblAlgn val="ctr"/>
        <c:lblOffset val="100"/>
        <c:noMultiLvlLbl val="0"/>
      </c:catAx>
      <c:valAx>
        <c:axId val="75600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871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[12]Чарти!$G$16</c:f>
          <c:strCache>
            <c:ptCount val="1"/>
            <c:pt idx="0">
              <c:v>Торгові кредити пасиви, $ млрд</c:v>
            </c:pt>
          </c:strCache>
        </c:strRef>
      </c:tx>
      <c:layout>
        <c:manualLayout>
          <c:xMode val="edge"/>
          <c:yMode val="edge"/>
          <c:x val="4.1666666666668252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spc="0" baseline="0">
              <a:solidFill>
                <a:schemeClr val="accent4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966706876879401E-2"/>
          <c:y val="0.23119935724598148"/>
          <c:w val="0.90073225473714036"/>
          <c:h val="0.57176338091420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'окремі статті'!$A$3</c:f>
              <c:strCache>
                <c:ptCount val="1"/>
                <c:pt idx="0">
                  <c:v>Торгові кредити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0DC-4EB0-A14C-BE1BE44A45B0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0DC-4EB0-A14C-BE1BE44A45B0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30DC-4EB0-A14C-BE1BE44A45B0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'окремі статті'!$B$1:$P$1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  <c:pt idx="14">
                  <c:v>2024F</c:v>
                </c:pt>
              </c:strCache>
            </c:strRef>
          </c:cat>
          <c:val>
            <c:numRef>
              <c:f>'окремі статті'!$B$3:$P$3</c:f>
              <c:numCache>
                <c:formatCode>#,##0</c:formatCode>
                <c:ptCount val="15"/>
                <c:pt idx="0">
                  <c:v>3087</c:v>
                </c:pt>
                <c:pt idx="1">
                  <c:v>4081</c:v>
                </c:pt>
                <c:pt idx="2">
                  <c:v>2602</c:v>
                </c:pt>
                <c:pt idx="3">
                  <c:v>3898</c:v>
                </c:pt>
                <c:pt idx="4">
                  <c:v>-6646</c:v>
                </c:pt>
                <c:pt idx="5">
                  <c:v>-1727</c:v>
                </c:pt>
                <c:pt idx="6">
                  <c:v>600</c:v>
                </c:pt>
                <c:pt idx="7">
                  <c:v>1599</c:v>
                </c:pt>
                <c:pt idx="8">
                  <c:v>1104</c:v>
                </c:pt>
                <c:pt idx="9">
                  <c:v>2422</c:v>
                </c:pt>
                <c:pt idx="10">
                  <c:v>2411</c:v>
                </c:pt>
                <c:pt idx="11">
                  <c:v>-369</c:v>
                </c:pt>
                <c:pt idx="12">
                  <c:v>-1321</c:v>
                </c:pt>
                <c:pt idx="13">
                  <c:v>410</c:v>
                </c:pt>
                <c:pt idx="14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DC-4EB0-A14C-BE1BE44A45B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6008719"/>
        <c:axId val="756002479"/>
      </c:barChart>
      <c:catAx>
        <c:axId val="75600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2479"/>
        <c:crosses val="autoZero"/>
        <c:auto val="1"/>
        <c:lblAlgn val="ctr"/>
        <c:lblOffset val="100"/>
        <c:noMultiLvlLbl val="0"/>
      </c:catAx>
      <c:valAx>
        <c:axId val="756002479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871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[12]Чарти!$G$17</c:f>
          <c:strCache>
            <c:ptCount val="1"/>
            <c:pt idx="0">
              <c:v>Отримані кредити, $ млрд</c:v>
            </c:pt>
          </c:strCache>
        </c:strRef>
      </c:tx>
      <c:layout>
        <c:manualLayout>
          <c:xMode val="edge"/>
          <c:yMode val="edge"/>
          <c:x val="4.1666666666668252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spc="0" baseline="0"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747774667958829E-2"/>
          <c:y val="0.2423390021691213"/>
          <c:w val="0.90795118694606092"/>
          <c:h val="0.560623563165461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'окремі статті'!$A$4</c:f>
              <c:strCache>
                <c:ptCount val="1"/>
                <c:pt idx="0">
                  <c:v>Кредити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914-4E5F-B30A-92E2EDDABB2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914-4E5F-B30A-92E2EDDABB2F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914-4E5F-B30A-92E2EDDABB2F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'окремі статті'!$B$1:$P$1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  <c:pt idx="14">
                  <c:v>2024F</c:v>
                </c:pt>
              </c:strCache>
            </c:strRef>
          </c:cat>
          <c:val>
            <c:numRef>
              <c:f>'окремі статті'!$B$4:$P$4</c:f>
              <c:numCache>
                <c:formatCode>#,##0</c:formatCode>
                <c:ptCount val="15"/>
                <c:pt idx="0">
                  <c:v>4603</c:v>
                </c:pt>
                <c:pt idx="1">
                  <c:v>5952</c:v>
                </c:pt>
                <c:pt idx="2">
                  <c:v>7748</c:v>
                </c:pt>
                <c:pt idx="3">
                  <c:v>1834</c:v>
                </c:pt>
                <c:pt idx="4">
                  <c:v>-254</c:v>
                </c:pt>
                <c:pt idx="5">
                  <c:v>-1453</c:v>
                </c:pt>
                <c:pt idx="6">
                  <c:v>-236</c:v>
                </c:pt>
                <c:pt idx="7">
                  <c:v>297</c:v>
                </c:pt>
                <c:pt idx="8">
                  <c:v>1086</c:v>
                </c:pt>
                <c:pt idx="9">
                  <c:v>1342</c:v>
                </c:pt>
                <c:pt idx="10">
                  <c:v>-287</c:v>
                </c:pt>
                <c:pt idx="11">
                  <c:v>352</c:v>
                </c:pt>
                <c:pt idx="12">
                  <c:v>741</c:v>
                </c:pt>
                <c:pt idx="13">
                  <c:v>784.30429602666663</c:v>
                </c:pt>
                <c:pt idx="14">
                  <c:v>1184.67674371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914-4E5F-B30A-92E2EDDABB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6008719"/>
        <c:axId val="756002479"/>
      </c:barChart>
      <c:catAx>
        <c:axId val="756008719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2479"/>
        <c:crosses val="autoZero"/>
        <c:auto val="1"/>
        <c:lblAlgn val="ctr"/>
        <c:lblOffset val="100"/>
        <c:noMultiLvlLbl val="0"/>
      </c:catAx>
      <c:valAx>
        <c:axId val="75600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871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[12]Чарти!$G$15</c:f>
          <c:strCache>
            <c:ptCount val="1"/>
            <c:pt idx="0">
              <c:v>Прямі іноземні інвестиції (сальдо), $ млрд</c:v>
            </c:pt>
          </c:strCache>
        </c:strRef>
      </c:tx>
      <c:layout>
        <c:manualLayout>
          <c:xMode val="edge"/>
          <c:yMode val="edge"/>
          <c:x val="4.1666666666668252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747774667958829E-2"/>
          <c:y val="0.240829924418407"/>
          <c:w val="0.90795118694606092"/>
          <c:h val="0.5633596196775383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'окремі статті'!$A$2</c:f>
              <c:strCache>
                <c:ptCount val="1"/>
                <c:pt idx="0">
                  <c:v>Прямі інвестиції (сальдо)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8CB-41D8-8AF0-6AD6F3D3987B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8CB-41D8-8AF0-6AD6F3D3987B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8CB-41D8-8AF0-6AD6F3D3987B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'окремі статті'!$B$1:$P$1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  <c:pt idx="14">
                  <c:v>2024F</c:v>
                </c:pt>
              </c:strCache>
            </c:strRef>
          </c:cat>
          <c:val>
            <c:numRef>
              <c:f>'окремі статті'!$B$2:$P$2</c:f>
              <c:numCache>
                <c:formatCode>#,##0</c:formatCode>
                <c:ptCount val="15"/>
                <c:pt idx="0">
                  <c:v>5759</c:v>
                </c:pt>
                <c:pt idx="1">
                  <c:v>7015</c:v>
                </c:pt>
                <c:pt idx="2">
                  <c:v>7195</c:v>
                </c:pt>
                <c:pt idx="3">
                  <c:v>4079</c:v>
                </c:pt>
                <c:pt idx="4">
                  <c:v>299</c:v>
                </c:pt>
                <c:pt idx="5">
                  <c:v>-236</c:v>
                </c:pt>
                <c:pt idx="6">
                  <c:v>3955</c:v>
                </c:pt>
                <c:pt idx="7">
                  <c:v>3446</c:v>
                </c:pt>
                <c:pt idx="8">
                  <c:v>4859</c:v>
                </c:pt>
                <c:pt idx="9">
                  <c:v>5175</c:v>
                </c:pt>
                <c:pt idx="10">
                  <c:v>-58</c:v>
                </c:pt>
                <c:pt idx="11">
                  <c:v>7518</c:v>
                </c:pt>
                <c:pt idx="12">
                  <c:v>504</c:v>
                </c:pt>
                <c:pt idx="13">
                  <c:v>4694.1087013022179</c:v>
                </c:pt>
                <c:pt idx="14">
                  <c:v>4926.1653957529552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8CB-41D8-8AF0-6AD6F3D39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6008719"/>
        <c:axId val="756002479"/>
      </c:barChart>
      <c:catAx>
        <c:axId val="756008719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2479"/>
        <c:crosses val="autoZero"/>
        <c:auto val="1"/>
        <c:lblAlgn val="ctr"/>
        <c:lblOffset val="100"/>
        <c:noMultiLvlLbl val="0"/>
      </c:catAx>
      <c:valAx>
        <c:axId val="75600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871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[12]Чарти!$G$16</c:f>
          <c:strCache>
            <c:ptCount val="1"/>
            <c:pt idx="0">
              <c:v>Торгові кредити пасиви, $ млрд</c:v>
            </c:pt>
          </c:strCache>
        </c:strRef>
      </c:tx>
      <c:layout>
        <c:manualLayout>
          <c:xMode val="edge"/>
          <c:yMode val="edge"/>
          <c:x val="4.1666666666668252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spc="0" baseline="0">
              <a:solidFill>
                <a:schemeClr val="accent4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4966706876879401E-2"/>
          <c:y val="0.23119935724598148"/>
          <c:w val="0.90073225473714036"/>
          <c:h val="0.57176338091420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'окремі статті'!$A$3</c:f>
              <c:strCache>
                <c:ptCount val="1"/>
                <c:pt idx="0">
                  <c:v>Торгові кредити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892-4F23-9850-8172547BEBD2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892-4F23-9850-8172547BEBD2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892-4F23-9850-8172547BEBD2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'окремі статті'!$B$1:$P$1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  <c:pt idx="14">
                  <c:v>2024F</c:v>
                </c:pt>
              </c:strCache>
            </c:strRef>
          </c:cat>
          <c:val>
            <c:numRef>
              <c:f>'окремі статті'!$B$3:$P$3</c:f>
              <c:numCache>
                <c:formatCode>#,##0</c:formatCode>
                <c:ptCount val="15"/>
                <c:pt idx="0">
                  <c:v>3087</c:v>
                </c:pt>
                <c:pt idx="1">
                  <c:v>4081</c:v>
                </c:pt>
                <c:pt idx="2">
                  <c:v>2602</c:v>
                </c:pt>
                <c:pt idx="3">
                  <c:v>3898</c:v>
                </c:pt>
                <c:pt idx="4">
                  <c:v>-6646</c:v>
                </c:pt>
                <c:pt idx="5">
                  <c:v>-1727</c:v>
                </c:pt>
                <c:pt idx="6">
                  <c:v>600</c:v>
                </c:pt>
                <c:pt idx="7">
                  <c:v>1599</c:v>
                </c:pt>
                <c:pt idx="8">
                  <c:v>1104</c:v>
                </c:pt>
                <c:pt idx="9">
                  <c:v>2422</c:v>
                </c:pt>
                <c:pt idx="10">
                  <c:v>2411</c:v>
                </c:pt>
                <c:pt idx="11">
                  <c:v>-369</c:v>
                </c:pt>
                <c:pt idx="12">
                  <c:v>-1321</c:v>
                </c:pt>
                <c:pt idx="13">
                  <c:v>410</c:v>
                </c:pt>
                <c:pt idx="14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92-4F23-9850-8172547BEBD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6008719"/>
        <c:axId val="756002479"/>
      </c:barChart>
      <c:catAx>
        <c:axId val="75600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2479"/>
        <c:crosses val="autoZero"/>
        <c:auto val="1"/>
        <c:lblAlgn val="ctr"/>
        <c:lblOffset val="100"/>
        <c:noMultiLvlLbl val="0"/>
      </c:catAx>
      <c:valAx>
        <c:axId val="756002479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871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[12]Чарти!$G$17</c:f>
          <c:strCache>
            <c:ptCount val="1"/>
            <c:pt idx="0">
              <c:v>Отримані кредити, $ млрд</c:v>
            </c:pt>
          </c:strCache>
        </c:strRef>
      </c:tx>
      <c:layout>
        <c:manualLayout>
          <c:xMode val="edge"/>
          <c:yMode val="edge"/>
          <c:x val="4.1666666666668252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1" i="0" u="none" strike="noStrike" kern="1200" spc="0" baseline="0">
              <a:solidFill>
                <a:schemeClr val="accent5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7747774667958829E-2"/>
          <c:y val="0.2423390021691213"/>
          <c:w val="0.90795118694606092"/>
          <c:h val="0.560623563165461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'окремі статті'!$A$4</c:f>
              <c:strCache>
                <c:ptCount val="1"/>
                <c:pt idx="0">
                  <c:v>Кредити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12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107-455F-9BCC-AE9045F25EA5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107-455F-9BCC-AE9045F25EA5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107-455F-9BCC-AE9045F25EA5}"/>
              </c:ext>
            </c:extLst>
          </c:dPt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600" b="0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'окремі статті'!$B$1:$P$1</c:f>
              <c:strCache>
                <c:ptCount val="15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2023F</c:v>
                </c:pt>
                <c:pt idx="14">
                  <c:v>2024F</c:v>
                </c:pt>
              </c:strCache>
            </c:strRef>
          </c:cat>
          <c:val>
            <c:numRef>
              <c:f>'окремі статті'!$B$4:$P$4</c:f>
              <c:numCache>
                <c:formatCode>#,##0</c:formatCode>
                <c:ptCount val="15"/>
                <c:pt idx="0">
                  <c:v>4603</c:v>
                </c:pt>
                <c:pt idx="1">
                  <c:v>5952</c:v>
                </c:pt>
                <c:pt idx="2">
                  <c:v>7748</c:v>
                </c:pt>
                <c:pt idx="3">
                  <c:v>1834</c:v>
                </c:pt>
                <c:pt idx="4">
                  <c:v>-254</c:v>
                </c:pt>
                <c:pt idx="5">
                  <c:v>-1453</c:v>
                </c:pt>
                <c:pt idx="6">
                  <c:v>-236</c:v>
                </c:pt>
                <c:pt idx="7">
                  <c:v>297</c:v>
                </c:pt>
                <c:pt idx="8">
                  <c:v>1086</c:v>
                </c:pt>
                <c:pt idx="9">
                  <c:v>1342</c:v>
                </c:pt>
                <c:pt idx="10">
                  <c:v>-287</c:v>
                </c:pt>
                <c:pt idx="11">
                  <c:v>352</c:v>
                </c:pt>
                <c:pt idx="12">
                  <c:v>741</c:v>
                </c:pt>
                <c:pt idx="13">
                  <c:v>784.30429602666663</c:v>
                </c:pt>
                <c:pt idx="14">
                  <c:v>1184.67674371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07-455F-9BCC-AE9045F25E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56008719"/>
        <c:axId val="756002479"/>
      </c:barChart>
      <c:catAx>
        <c:axId val="756008719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127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2479"/>
        <c:crosses val="autoZero"/>
        <c:auto val="1"/>
        <c:lblAlgn val="ctr"/>
        <c:lblOffset val="100"/>
        <c:noMultiLvlLbl val="0"/>
      </c:catAx>
      <c:valAx>
        <c:axId val="756002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008719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uk-UA" sz="1800" b="1">
                <a:solidFill>
                  <a:schemeClr val="accent1"/>
                </a:solidFill>
              </a:rPr>
              <a:t>Відтік інвестицій приватного сектору (фінансовий рахунок) в 2023</a:t>
            </a:r>
            <a:r>
              <a:rPr lang="en-US" sz="1800" b="1">
                <a:solidFill>
                  <a:schemeClr val="accent1"/>
                </a:solidFill>
              </a:rPr>
              <a:t>, $ </a:t>
            </a:r>
            <a:r>
              <a:rPr lang="uk-UA" sz="1800" b="1">
                <a:solidFill>
                  <a:schemeClr val="accent1"/>
                </a:solidFill>
              </a:rPr>
              <a:t>млрд</a:t>
            </a:r>
          </a:p>
        </c:rich>
      </c:tx>
      <c:layout>
        <c:manualLayout>
          <c:xMode val="edge"/>
          <c:yMode val="edge"/>
          <c:x val="1.3169514420310589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092950592861913E-2"/>
          <c:y val="0.15609451907775435"/>
          <c:w val="0.65831302330380803"/>
          <c:h val="0.7059672106879834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фінрах!$A$31</c:f>
              <c:strCache>
                <c:ptCount val="1"/>
                <c:pt idx="0">
                  <c:v>Портфельные инвестиции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фінрах!$B$31:$M$31</c:f>
              <c:numCache>
                <c:formatCode>#\ ##0.0</c:formatCode>
                <c:ptCount val="12"/>
                <c:pt idx="0">
                  <c:v>-186</c:v>
                </c:pt>
                <c:pt idx="1">
                  <c:v>-180</c:v>
                </c:pt>
                <c:pt idx="2">
                  <c:v>-224</c:v>
                </c:pt>
                <c:pt idx="3">
                  <c:v>-187</c:v>
                </c:pt>
                <c:pt idx="4">
                  <c:v>-132</c:v>
                </c:pt>
                <c:pt idx="5">
                  <c:v>-189</c:v>
                </c:pt>
                <c:pt idx="6">
                  <c:v>-303</c:v>
                </c:pt>
                <c:pt idx="7">
                  <c:v>-249</c:v>
                </c:pt>
                <c:pt idx="8">
                  <c:v>-237</c:v>
                </c:pt>
                <c:pt idx="9">
                  <c:v>-177</c:v>
                </c:pt>
                <c:pt idx="10">
                  <c:v>-281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BA-4430-9CA8-E692575173D9}"/>
            </c:ext>
          </c:extLst>
        </c:ser>
        <c:ser>
          <c:idx val="2"/>
          <c:order val="2"/>
          <c:tx>
            <c:strRef>
              <c:f>фінрах!$A$30</c:f>
              <c:strCache>
                <c:ptCount val="1"/>
                <c:pt idx="0">
                  <c:v>Прямые инвестиции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2"/>
              <c:layout>
                <c:manualLayout>
                  <c:x val="0"/>
                  <c:y val="-2.14527027027027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6BA-4430-9CA8-E692575173D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фінрах!$B$30:$M$30</c:f>
              <c:numCache>
                <c:formatCode>#\ ##0.0</c:formatCode>
                <c:ptCount val="12"/>
                <c:pt idx="0">
                  <c:v>370</c:v>
                </c:pt>
                <c:pt idx="1">
                  <c:v>387</c:v>
                </c:pt>
                <c:pt idx="2">
                  <c:v>388</c:v>
                </c:pt>
                <c:pt idx="3">
                  <c:v>536</c:v>
                </c:pt>
                <c:pt idx="4">
                  <c:v>376</c:v>
                </c:pt>
                <c:pt idx="5">
                  <c:v>392</c:v>
                </c:pt>
                <c:pt idx="6">
                  <c:v>663</c:v>
                </c:pt>
                <c:pt idx="7">
                  <c:v>445</c:v>
                </c:pt>
                <c:pt idx="8">
                  <c:v>532</c:v>
                </c:pt>
                <c:pt idx="9">
                  <c:v>174</c:v>
                </c:pt>
                <c:pt idx="10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6BA-4430-9CA8-E692575173D9}"/>
            </c:ext>
          </c:extLst>
        </c:ser>
        <c:ser>
          <c:idx val="3"/>
          <c:order val="3"/>
          <c:tx>
            <c:strRef>
              <c:f>фінрах!$A$32</c:f>
              <c:strCache>
                <c:ptCount val="1"/>
                <c:pt idx="0">
                  <c:v>Прочие инвестиции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-5.7083123382825739E-17"/>
                  <c:y val="4.6077327327326894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6BA-4430-9CA8-E692575173D9}"/>
                </c:ext>
              </c:extLst>
            </c:dLbl>
            <c:numFmt formatCode="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фінрах!$B$32:$M$32</c:f>
              <c:numCache>
                <c:formatCode>#\ ##0.0</c:formatCode>
                <c:ptCount val="12"/>
                <c:pt idx="0">
                  <c:v>-1370</c:v>
                </c:pt>
                <c:pt idx="1">
                  <c:v>-989</c:v>
                </c:pt>
                <c:pt idx="2">
                  <c:v>-171</c:v>
                </c:pt>
                <c:pt idx="3">
                  <c:v>-800</c:v>
                </c:pt>
                <c:pt idx="4">
                  <c:v>-561</c:v>
                </c:pt>
                <c:pt idx="5">
                  <c:v>-963</c:v>
                </c:pt>
                <c:pt idx="6">
                  <c:v>58</c:v>
                </c:pt>
                <c:pt idx="7">
                  <c:v>-538</c:v>
                </c:pt>
                <c:pt idx="8">
                  <c:v>-843</c:v>
                </c:pt>
                <c:pt idx="9">
                  <c:v>-1600</c:v>
                </c:pt>
                <c:pt idx="10">
                  <c:v>-928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BA-4430-9CA8-E692575173D9}"/>
            </c:ext>
          </c:extLst>
        </c:ser>
        <c:ser>
          <c:idx val="5"/>
          <c:order val="5"/>
          <c:tx>
            <c:strRef>
              <c:f>фінрах!$A$34</c:f>
              <c:strCache>
                <c:ptCount val="1"/>
                <c:pt idx="0">
                  <c:v>Прямые инвестиции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фінрах!$B$34:$M$34</c:f>
              <c:numCache>
                <c:formatCode>#\ ##0.0</c:formatCode>
                <c:ptCount val="12"/>
                <c:pt idx="11">
                  <c:v>337.10870130221758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BA-4430-9CA8-E692575173D9}"/>
            </c:ext>
          </c:extLst>
        </c:ser>
        <c:ser>
          <c:idx val="6"/>
          <c:order val="6"/>
          <c:tx>
            <c:strRef>
              <c:f>фінрах!$A$35</c:f>
              <c:strCache>
                <c:ptCount val="1"/>
                <c:pt idx="0">
                  <c:v>Портфельные инвестиции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фінрах!$B$35:$M$35</c:f>
              <c:numCache>
                <c:formatCode>#\ ##0.0</c:formatCode>
                <c:ptCount val="12"/>
                <c:pt idx="11">
                  <c:v>-154.75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BA-4430-9CA8-E692575173D9}"/>
            </c:ext>
          </c:extLst>
        </c:ser>
        <c:ser>
          <c:idx val="7"/>
          <c:order val="7"/>
          <c:tx>
            <c:strRef>
              <c:f>фінрах!$A$36</c:f>
              <c:strCache>
                <c:ptCount val="1"/>
                <c:pt idx="0">
                  <c:v>Другие инвестиции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фінрах!$B$36:$M$36</c:f>
              <c:numCache>
                <c:formatCode>#\ ##0.0</c:formatCode>
                <c:ptCount val="12"/>
                <c:pt idx="11">
                  <c:v>-1869.5323082133743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BA-4430-9CA8-E69257517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0"/>
        <c:overlap val="100"/>
        <c:axId val="448269951"/>
        <c:axId val="448270783"/>
      </c:barChart>
      <c:lineChart>
        <c:grouping val="standard"/>
        <c:varyColors val="0"/>
        <c:ser>
          <c:idx val="0"/>
          <c:order val="0"/>
          <c:tx>
            <c:strRef>
              <c:f>фінрах!$A$29</c:f>
              <c:strCache>
                <c:ptCount val="1"/>
                <c:pt idx="0">
                  <c:v>Финансовый счет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3.0159728351475925E-2"/>
                  <c:y val="1.672128378378378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6BA-4430-9CA8-E692575173D9}"/>
                </c:ext>
              </c:extLst>
            </c:dLbl>
            <c:dLbl>
              <c:idx val="4"/>
              <c:layout>
                <c:manualLayout>
                  <c:x val="-3.1852750809061491E-2"/>
                  <c:y val="2.14885510510510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6BA-4430-9CA8-E692575173D9}"/>
                </c:ext>
              </c:extLst>
            </c:dLbl>
            <c:dLbl>
              <c:idx val="6"/>
              <c:layout>
                <c:manualLayout>
                  <c:x val="-2.6061341571050309E-2"/>
                  <c:y val="1.1954016516516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6BA-4430-9CA8-E692575173D9}"/>
                </c:ext>
              </c:extLst>
            </c:dLbl>
            <c:numFmt formatCode="#,##0.0" sourceLinked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chemeClr val="accent4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фінрах!$B$1:$Y$2</c:f>
              <c:multiLvlStrCache>
                <c:ptCount val="24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</c:lvl>
                <c:lvl>
                  <c:pt idx="0">
                    <c:v>2023</c:v>
                  </c:pt>
                  <c:pt idx="12">
                    <c:v>2024</c:v>
                  </c:pt>
                </c:lvl>
              </c:multiLvlStrCache>
            </c:multiLvlStrRef>
          </c:cat>
          <c:val>
            <c:numRef>
              <c:f>фінрах!$B$29:$M$29</c:f>
              <c:numCache>
                <c:formatCode>#\ ##0.0</c:formatCode>
                <c:ptCount val="12"/>
                <c:pt idx="0">
                  <c:v>-1052</c:v>
                </c:pt>
                <c:pt idx="1">
                  <c:v>-396</c:v>
                </c:pt>
                <c:pt idx="2">
                  <c:v>55</c:v>
                </c:pt>
                <c:pt idx="3">
                  <c:v>-254</c:v>
                </c:pt>
                <c:pt idx="4">
                  <c:v>-129</c:v>
                </c:pt>
                <c:pt idx="5">
                  <c:v>-692</c:v>
                </c:pt>
                <c:pt idx="6">
                  <c:v>370</c:v>
                </c:pt>
                <c:pt idx="7">
                  <c:v>-280</c:v>
                </c:pt>
                <c:pt idx="8">
                  <c:v>-361</c:v>
                </c:pt>
                <c:pt idx="9">
                  <c:v>-1402</c:v>
                </c:pt>
                <c:pt idx="10">
                  <c:v>-724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6BA-4430-9CA8-E692575173D9}"/>
            </c:ext>
          </c:extLst>
        </c:ser>
        <c:ser>
          <c:idx val="4"/>
          <c:order val="4"/>
          <c:tx>
            <c:strRef>
              <c:f>фінрах!$A$33</c:f>
              <c:strCache>
                <c:ptCount val="1"/>
                <c:pt idx="0">
                  <c:v>Финансовый счет</c:v>
                </c:pt>
              </c:strCache>
            </c:strRef>
          </c:tx>
          <c:spPr>
            <a:ln w="19050" cap="rnd">
              <a:solidFill>
                <a:schemeClr val="accent4"/>
              </a:solidFill>
              <a:prstDash val="sysDash"/>
              <a:round/>
            </a:ln>
            <a:effectLst/>
          </c:spPr>
          <c:marker>
            <c:symbol val="circle"/>
            <c:size val="8"/>
            <c:spPr>
              <a:solidFill>
                <a:schemeClr val="accent4">
                  <a:lumMod val="20000"/>
                  <a:lumOff val="8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chemeClr val="accent4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фінрах!$B$33:$M$33</c:f>
              <c:numCache>
                <c:formatCode>#\ ##0.0</c:formatCode>
                <c:ptCount val="12"/>
                <c:pt idx="10">
                  <c:v>-724</c:v>
                </c:pt>
                <c:pt idx="11">
                  <c:v>-1687.1736069111566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6BA-4430-9CA8-E69257517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8269951"/>
        <c:axId val="448270783"/>
      </c:lineChart>
      <c:catAx>
        <c:axId val="448269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270783"/>
        <c:crosses val="autoZero"/>
        <c:auto val="1"/>
        <c:lblAlgn val="ctr"/>
        <c:lblOffset val="100"/>
        <c:noMultiLvlLbl val="0"/>
      </c:catAx>
      <c:valAx>
        <c:axId val="448270783"/>
        <c:scaling>
          <c:orientation val="minMax"/>
        </c:scaling>
        <c:delete val="0"/>
        <c:axPos val="l"/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269951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7"/>
        <c:delete val="1"/>
      </c:legendEntry>
      <c:layout>
        <c:manualLayout>
          <c:xMode val="edge"/>
          <c:yMode val="edge"/>
          <c:x val="0.7625881483434519"/>
          <c:y val="0.10902279708374968"/>
          <c:w val="0.19233013477144378"/>
          <c:h val="0.6899805706672588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641217347252311E-2"/>
          <c:y val="0.13559595202090596"/>
          <c:w val="0.7246030437054134"/>
          <c:h val="0.770880995433812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'Готівкова валюта поза банками'!$A$3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bg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dLbls>
            <c:numFmt formatCode="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'Готівкова валюта поза банками'!$B$2:$M$2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'Готівкова валюта поза банками'!$B$3:$M$3</c:f>
              <c:numCache>
                <c:formatCode>0.0</c:formatCode>
                <c:ptCount val="12"/>
                <c:pt idx="0">
                  <c:v>0.52300000000000002</c:v>
                </c:pt>
                <c:pt idx="1">
                  <c:v>0.56999999999999995</c:v>
                </c:pt>
                <c:pt idx="2">
                  <c:v>0.28999999999999998</c:v>
                </c:pt>
                <c:pt idx="3">
                  <c:v>0.16900000000000001</c:v>
                </c:pt>
                <c:pt idx="4">
                  <c:v>0.30599999999999999</c:v>
                </c:pt>
                <c:pt idx="5">
                  <c:v>0.19600000000000001</c:v>
                </c:pt>
                <c:pt idx="6">
                  <c:v>0.19400000000000001</c:v>
                </c:pt>
                <c:pt idx="7">
                  <c:v>0.64700000000000002</c:v>
                </c:pt>
                <c:pt idx="8">
                  <c:v>0.499</c:v>
                </c:pt>
                <c:pt idx="9">
                  <c:v>0.53600000000000003</c:v>
                </c:pt>
                <c:pt idx="10">
                  <c:v>0.82399999999999995</c:v>
                </c:pt>
                <c:pt idx="11">
                  <c:v>0.36699999999999999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1-4DCA-A56D-D9EE2010BA21}"/>
            </c:ext>
          </c:extLst>
        </c:ser>
        <c:ser>
          <c:idx val="1"/>
          <c:order val="1"/>
          <c:tx>
            <c:strRef>
              <c:f>'Готівкова валюта поза банками'!$A$4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'Готівкова валюта поза банками'!$B$2:$M$2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'Готівкова валюта поза банками'!$B$4:$M$4</c:f>
              <c:numCache>
                <c:formatCode>0.0</c:formatCode>
                <c:ptCount val="12"/>
                <c:pt idx="0">
                  <c:v>0.80900000000000005</c:v>
                </c:pt>
                <c:pt idx="1">
                  <c:v>0.94299999999999995</c:v>
                </c:pt>
                <c:pt idx="2">
                  <c:v>0.74299999999999999</c:v>
                </c:pt>
                <c:pt idx="3">
                  <c:v>0.86799999999999999</c:v>
                </c:pt>
                <c:pt idx="4">
                  <c:v>1.1100000000000001</c:v>
                </c:pt>
                <c:pt idx="5">
                  <c:v>0.76800000000000002</c:v>
                </c:pt>
                <c:pt idx="6">
                  <c:v>0.77900000000000003</c:v>
                </c:pt>
                <c:pt idx="7">
                  <c:v>0.77400000000000002</c:v>
                </c:pt>
                <c:pt idx="8">
                  <c:v>1.0900000000000001</c:v>
                </c:pt>
                <c:pt idx="9">
                  <c:v>0.876</c:v>
                </c:pt>
                <c:pt idx="10">
                  <c:v>0.66600000000000004</c:v>
                </c:pt>
                <c:pt idx="11">
                  <c:v>0.86099999999999999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81-4DCA-A56D-D9EE2010BA21}"/>
            </c:ext>
          </c:extLst>
        </c:ser>
        <c:ser>
          <c:idx val="2"/>
          <c:order val="2"/>
          <c:tx>
            <c:strRef>
              <c:f>'Готівкова валюта поза банками'!$A$5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4.0959624882939867E-3"/>
                  <c:y val="-1.46356023126556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81-4DCA-A56D-D9EE2010BA2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'Готівкова валюта поза банками'!$B$2:$M$2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'Готівкова валюта поза банками'!$B$5:$M$5</c:f>
              <c:numCache>
                <c:formatCode>0.0</c:formatCode>
                <c:ptCount val="12"/>
                <c:pt idx="0">
                  <c:v>1.012</c:v>
                </c:pt>
                <c:pt idx="1">
                  <c:v>1.044</c:v>
                </c:pt>
                <c:pt idx="2">
                  <c:v>1.2</c:v>
                </c:pt>
                <c:pt idx="3">
                  <c:v>1.04</c:v>
                </c:pt>
                <c:pt idx="4">
                  <c:v>1.0780000000000001</c:v>
                </c:pt>
                <c:pt idx="5">
                  <c:v>0.751</c:v>
                </c:pt>
                <c:pt idx="6">
                  <c:v>0.55700000000000005</c:v>
                </c:pt>
                <c:pt idx="7">
                  <c:v>0.65500000000000003</c:v>
                </c:pt>
                <c:pt idx="8">
                  <c:v>0.77100000000000002</c:v>
                </c:pt>
                <c:pt idx="9">
                  <c:v>1.0900000000000001</c:v>
                </c:pt>
                <c:pt idx="10">
                  <c:v>1.1140000000000001</c:v>
                </c:pt>
                <c:pt idx="11">
                  <c:v>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81-4DCA-A56D-D9EE2010B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168143"/>
        <c:axId val="2046169807"/>
      </c:barChart>
      <c:catAx>
        <c:axId val="204616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69807"/>
        <c:crosses val="autoZero"/>
        <c:auto val="1"/>
        <c:lblAlgn val="ctr"/>
        <c:lblOffset val="100"/>
        <c:noMultiLvlLbl val="0"/>
      </c:catAx>
      <c:valAx>
        <c:axId val="2046169807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6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198200330932334"/>
          <c:y val="0.21959044924279242"/>
          <c:w val="0.12833838076706827"/>
          <c:h val="0.558144350072731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4641217347252311E-2"/>
          <c:y val="0.13559595202090596"/>
          <c:w val="0.7246030437054134"/>
          <c:h val="0.7708809954338125"/>
        </c:manualLayout>
      </c:layout>
      <c:barChart>
        <c:barDir val="col"/>
        <c:grouping val="clustered"/>
        <c:varyColors val="0"/>
        <c:ser>
          <c:idx val="1"/>
          <c:order val="1"/>
          <c:tx>
            <c:strRef>
              <c:f>'Готівкова валюта поза банками'!$A$4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'Готівкова валюта поза банками'!$B$2:$M$2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'Готівкова валюта поза банками'!$B$4:$M$4</c:f>
              <c:numCache>
                <c:formatCode>0.0</c:formatCode>
                <c:ptCount val="12"/>
                <c:pt idx="0">
                  <c:v>0.80900000000000005</c:v>
                </c:pt>
                <c:pt idx="1">
                  <c:v>0.94299999999999995</c:v>
                </c:pt>
                <c:pt idx="2">
                  <c:v>0.74299999999999999</c:v>
                </c:pt>
                <c:pt idx="3">
                  <c:v>0.86799999999999999</c:v>
                </c:pt>
                <c:pt idx="4">
                  <c:v>1.1100000000000001</c:v>
                </c:pt>
                <c:pt idx="5">
                  <c:v>0.76800000000000002</c:v>
                </c:pt>
                <c:pt idx="6">
                  <c:v>0.77900000000000003</c:v>
                </c:pt>
                <c:pt idx="7">
                  <c:v>0.77400000000000002</c:v>
                </c:pt>
                <c:pt idx="8">
                  <c:v>1.0900000000000001</c:v>
                </c:pt>
                <c:pt idx="9">
                  <c:v>0.876</c:v>
                </c:pt>
                <c:pt idx="10">
                  <c:v>0.66600000000000004</c:v>
                </c:pt>
                <c:pt idx="11">
                  <c:v>0.86099999999999999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25-4C9C-8B16-9ECCA478B222}"/>
            </c:ext>
          </c:extLst>
        </c:ser>
        <c:ser>
          <c:idx val="2"/>
          <c:order val="2"/>
          <c:tx>
            <c:strRef>
              <c:f>'Готівкова валюта поза банками'!$A$5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4.0959624882939867E-3"/>
                  <c:y val="-1.463560231265564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B25-4C9C-8B16-9ECCA478B2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'Готівкова валюта поза банками'!$B$2:$M$2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'Готівкова валюта поза банками'!$B$5:$M$5</c:f>
              <c:numCache>
                <c:formatCode>0.0</c:formatCode>
                <c:ptCount val="12"/>
                <c:pt idx="0">
                  <c:v>1.012</c:v>
                </c:pt>
                <c:pt idx="1">
                  <c:v>1.044</c:v>
                </c:pt>
                <c:pt idx="2">
                  <c:v>1.2</c:v>
                </c:pt>
                <c:pt idx="3">
                  <c:v>1.04</c:v>
                </c:pt>
                <c:pt idx="4">
                  <c:v>1.0780000000000001</c:v>
                </c:pt>
                <c:pt idx="5">
                  <c:v>0.751</c:v>
                </c:pt>
                <c:pt idx="6">
                  <c:v>0.55700000000000005</c:v>
                </c:pt>
                <c:pt idx="7">
                  <c:v>0.65500000000000003</c:v>
                </c:pt>
                <c:pt idx="8">
                  <c:v>0.77100000000000002</c:v>
                </c:pt>
                <c:pt idx="9">
                  <c:v>1.0900000000000001</c:v>
                </c:pt>
                <c:pt idx="10">
                  <c:v>1.1140000000000001</c:v>
                </c:pt>
                <c:pt idx="11">
                  <c:v>1.2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25-4C9C-8B16-9ECCA478B222}"/>
            </c:ext>
          </c:extLst>
        </c:ser>
        <c:ser>
          <c:idx val="3"/>
          <c:order val="3"/>
          <c:tx>
            <c:strRef>
              <c:f>'Готівкова валюта поза банками'!$A$6</c:f>
              <c:strCache>
                <c:ptCount val="1"/>
                <c:pt idx="0">
                  <c:v>2024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'Готівкова валюта поза банками'!$B$2:$M$2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'Готівкова валюта поза банками'!$B$6:$M$6</c:f>
              <c:numCache>
                <c:formatCode>0.0</c:formatCode>
                <c:ptCount val="12"/>
                <c:pt idx="0">
                  <c:v>1.1000000000000001</c:v>
                </c:pt>
                <c:pt idx="1">
                  <c:v>1</c:v>
                </c:pt>
                <c:pt idx="2">
                  <c:v>1.1000000000000001</c:v>
                </c:pt>
                <c:pt idx="3">
                  <c:v>0.9</c:v>
                </c:pt>
                <c:pt idx="4">
                  <c:v>0.85</c:v>
                </c:pt>
                <c:pt idx="5">
                  <c:v>0.85</c:v>
                </c:pt>
                <c:pt idx="6">
                  <c:v>0.8</c:v>
                </c:pt>
                <c:pt idx="7">
                  <c:v>0.7</c:v>
                </c:pt>
                <c:pt idx="8">
                  <c:v>0.7</c:v>
                </c:pt>
                <c:pt idx="9">
                  <c:v>0.75</c:v>
                </c:pt>
                <c:pt idx="10">
                  <c:v>0.9</c:v>
                </c:pt>
                <c:pt idx="11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25-4C9C-8B16-9ECCA478B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6168143"/>
        <c:axId val="204616980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'Готівкова валюта поза банками'!$A$3</c15:sqref>
                        </c15:formulaRef>
                      </c:ext>
                    </c:extLst>
                    <c:strCache>
                      <c:ptCount val="1"/>
                      <c:pt idx="0">
                        <c:v>2021</c:v>
                      </c:pt>
                    </c:strCache>
                  </c:strRef>
                </c:tx>
                <c:spPr>
                  <a:solidFill>
                    <a:schemeClr val="bg2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numFmt formatCode="0.0" sourceLinked="0"/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ormulaRef>
                          <c15:sqref>'Готівкова валюта поза банками'!$B$2:$M$2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'Готівкова валюта поза банками'!$B$3:$M$3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0.52300000000000002</c:v>
                      </c:pt>
                      <c:pt idx="1">
                        <c:v>0.56999999999999995</c:v>
                      </c:pt>
                      <c:pt idx="2">
                        <c:v>0.28999999999999998</c:v>
                      </c:pt>
                      <c:pt idx="3">
                        <c:v>0.16900000000000001</c:v>
                      </c:pt>
                      <c:pt idx="4">
                        <c:v>0.30599999999999999</c:v>
                      </c:pt>
                      <c:pt idx="5">
                        <c:v>0.19600000000000001</c:v>
                      </c:pt>
                      <c:pt idx="6">
                        <c:v>0.19400000000000001</c:v>
                      </c:pt>
                      <c:pt idx="7">
                        <c:v>0.64700000000000002</c:v>
                      </c:pt>
                      <c:pt idx="8">
                        <c:v>0.499</c:v>
                      </c:pt>
                      <c:pt idx="9">
                        <c:v>0.53600000000000003</c:v>
                      </c:pt>
                      <c:pt idx="10">
                        <c:v>0.82399999999999995</c:v>
                      </c:pt>
                      <c:pt idx="11">
                        <c:v>0.36699999999999999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DB25-4C9C-8B16-9ECCA478B222}"/>
                  </c:ext>
                </c:extLst>
              </c15:ser>
            </c15:filteredBarSeries>
          </c:ext>
        </c:extLst>
      </c:barChart>
      <c:catAx>
        <c:axId val="2046168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69807"/>
        <c:crosses val="autoZero"/>
        <c:auto val="1"/>
        <c:lblAlgn val="ctr"/>
        <c:lblOffset val="100"/>
        <c:noMultiLvlLbl val="0"/>
      </c:catAx>
      <c:valAx>
        <c:axId val="2046169807"/>
        <c:scaling>
          <c:orientation val="minMax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6168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840730783409609"/>
          <c:y val="0.16833230996410045"/>
          <c:w val="9.2823368825578706E-2"/>
          <c:h val="0.78040953783712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2E7-4A86-9909-649110D737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2E7-4A86-9909-649110D737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2E7-4A86-9909-649110D7370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'залучення кругові'!$A$3:$A$5</c:f>
              <c:strCache>
                <c:ptCount val="3"/>
                <c:pt idx="0">
                  <c:v>Внешнее финансирование</c:v>
                </c:pt>
                <c:pt idx="1">
                  <c:v>Гранты</c:v>
                </c:pt>
                <c:pt idx="2">
                  <c:v>Валютные ОВГЗ</c:v>
                </c:pt>
              </c:strCache>
            </c:strRef>
          </c:cat>
          <c:val>
            <c:numRef>
              <c:f>'залучення кругові'!$D$3:$D$5</c:f>
              <c:numCache>
                <c:formatCode>0.0</c:formatCode>
                <c:ptCount val="3"/>
                <c:pt idx="0">
                  <c:v>31.447819264006835</c:v>
                </c:pt>
                <c:pt idx="1">
                  <c:v>11.583</c:v>
                </c:pt>
                <c:pt idx="2">
                  <c:v>4.4906000000000006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E7-4A86-9909-649110D73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84024945058563"/>
          <c:y val="7.6690813648293943E-2"/>
          <c:w val="0.34049410426880605"/>
          <c:h val="0.824657341361741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49D-481A-A981-D4E84608B5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49D-481A-A981-D4E84608B5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49D-481A-A981-D4E84608B5B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'залучення кругові'!$A$3:$A$5</c:f>
              <c:strCache>
                <c:ptCount val="3"/>
                <c:pt idx="0">
                  <c:v>Внешнее финансирование</c:v>
                </c:pt>
                <c:pt idx="1">
                  <c:v>Гранты</c:v>
                </c:pt>
                <c:pt idx="2">
                  <c:v>Валютные ОВГЗ</c:v>
                </c:pt>
              </c:strCache>
            </c:strRef>
          </c:cat>
          <c:val>
            <c:numRef>
              <c:f>'залучення кругові'!$D$3:$D$5</c:f>
              <c:numCache>
                <c:formatCode>0.0</c:formatCode>
                <c:ptCount val="3"/>
                <c:pt idx="0">
                  <c:v>31.447819264006835</c:v>
                </c:pt>
                <c:pt idx="1">
                  <c:v>11.583</c:v>
                </c:pt>
                <c:pt idx="2">
                  <c:v>4.4906000000000006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9D-481A-A981-D4E84608B5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84024945058563"/>
          <c:y val="7.6690813648293943E-2"/>
          <c:w val="0.34049410426880605"/>
          <c:h val="0.824657341361741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312438544739436E-2"/>
          <c:y val="0.11493993993993994"/>
          <c:w val="0.50432645034414947"/>
          <c:h val="0.770120120120120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C90-4B89-AC85-51FB226A7C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C90-4B89-AC85-51FB226A7C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C90-4B89-AC85-51FB226A7CB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'залучення кругові'!$A$3:$A$5</c:f>
              <c:strCache>
                <c:ptCount val="3"/>
                <c:pt idx="0">
                  <c:v>Внешнее финансирование</c:v>
                </c:pt>
                <c:pt idx="1">
                  <c:v>Гранты</c:v>
                </c:pt>
                <c:pt idx="2">
                  <c:v>Валютные ОВГЗ</c:v>
                </c:pt>
              </c:strCache>
            </c:strRef>
          </c:cat>
          <c:val>
            <c:numRef>
              <c:f>'залучення кругові'!$D$3:$D$5</c:f>
              <c:numCache>
                <c:formatCode>0.0</c:formatCode>
                <c:ptCount val="3"/>
                <c:pt idx="0">
                  <c:v>31.447819264006835</c:v>
                </c:pt>
                <c:pt idx="1">
                  <c:v>11.583</c:v>
                </c:pt>
                <c:pt idx="2">
                  <c:v>4.4906000000000006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C90-4B89-AC85-51FB226A7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84024945058563"/>
          <c:y val="7.6690813648293943E-2"/>
          <c:w val="0.34049410426880605"/>
          <c:h val="0.824657341361741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2312438544739436E-2"/>
          <c:y val="0.11493993993993994"/>
          <c:w val="0.50432645034414947"/>
          <c:h val="0.7701201201201201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A7A-48C2-9725-27C7E600020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A7A-48C2-9725-27C7E600020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A7A-48C2-9725-27C7E600020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'залучення кругові'!$A$3:$A$5</c:f>
              <c:strCache>
                <c:ptCount val="3"/>
                <c:pt idx="0">
                  <c:v>Внешнее финансирование</c:v>
                </c:pt>
                <c:pt idx="1">
                  <c:v>Гранты</c:v>
                </c:pt>
                <c:pt idx="2">
                  <c:v>Валютные ОВГЗ</c:v>
                </c:pt>
              </c:strCache>
            </c:strRef>
          </c:cat>
          <c:val>
            <c:numRef>
              <c:f>'залучення кругові'!$E$3:$E$5</c:f>
              <c:numCache>
                <c:formatCode>0.0</c:formatCode>
                <c:ptCount val="3"/>
                <c:pt idx="0">
                  <c:v>30.699999999999996</c:v>
                </c:pt>
                <c:pt idx="1">
                  <c:v>13</c:v>
                </c:pt>
                <c:pt idx="2">
                  <c:v>4.1944428604000006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A7A-48C2-9725-27C7E6000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484024945058563"/>
          <c:y val="7.6690813648293943E-2"/>
          <c:w val="0.34049410426880605"/>
          <c:h val="0.824657341361741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6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 b="1" i="0" u="none" strike="noStrike" baseline="0">
                <a:solidFill>
                  <a:srgbClr val="33CCCC"/>
                </a:solidFill>
                <a:latin typeface="Montserrat"/>
                <a:ea typeface="Montserrat"/>
                <a:cs typeface="Montserrat"/>
              </a:defRPr>
            </a:pPr>
            <a:r>
              <a:rPr lang="uk-UA"/>
              <a:t>Динамика основных пунктов платежного баланса, 2020, млн. долл.</a:t>
            </a:r>
          </a:p>
        </c:rich>
      </c:tx>
      <c:layout>
        <c:manualLayout>
          <c:xMode val="edge"/>
          <c:yMode val="edge"/>
          <c:x val="1.6989579272887918E-2"/>
          <c:y val="1.38142628678530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5053309326764673E-2"/>
          <c:y val="0.2703747993197414"/>
          <c:w val="0.9285775951605163"/>
          <c:h val="0.673044033669424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'ПБ - стандартный формат чарта'!$E$6</c:f>
              <c:strCache>
                <c:ptCount val="1"/>
                <c:pt idx="0">
                  <c:v>Баланс товаров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'ПБ - стандартный формат чарта'!$C$7:$C$18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'ПБ - стандартный формат чарта'!$E$7:$E$18</c:f>
              <c:numCache>
                <c:formatCode>_-* #\ ##0_-;\-* #\ ##0_-;_-* "-"??_-;_-@_-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8C-4785-8A5E-2F0102610B06}"/>
            </c:ext>
          </c:extLst>
        </c:ser>
        <c:ser>
          <c:idx val="1"/>
          <c:order val="1"/>
          <c:tx>
            <c:strRef>
              <c:f>'ПБ - стандартный формат чарта'!$F$6</c:f>
              <c:strCache>
                <c:ptCount val="1"/>
                <c:pt idx="0">
                  <c:v>Баланс услуг</c:v>
                </c:pt>
              </c:strCache>
            </c:strRef>
          </c:tx>
          <c:spPr>
            <a:solidFill>
              <a:srgbClr val="F37021"/>
            </a:solidFill>
            <a:ln w="25400">
              <a:noFill/>
            </a:ln>
          </c:spPr>
          <c:invertIfNegative val="0"/>
          <c:cat>
            <c:numRef>
              <c:f>'ПБ - стандартный формат чарта'!$C$7:$C$18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'ПБ - стандартный формат чарта'!$F$7:$F$18</c:f>
              <c:numCache>
                <c:formatCode>_-* #\ ##0_-;\-* #\ ##0_-;_-* "-"??_-;_-@_-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8C-4785-8A5E-2F0102610B06}"/>
            </c:ext>
          </c:extLst>
        </c:ser>
        <c:ser>
          <c:idx val="2"/>
          <c:order val="2"/>
          <c:tx>
            <c:strRef>
              <c:f>'ПБ - стандартный формат чарта'!$G$6</c:f>
              <c:strCache>
                <c:ptCount val="1"/>
                <c:pt idx="0">
                  <c:v>Баланс первичных доходов</c:v>
                </c:pt>
              </c:strCache>
            </c:strRef>
          </c:tx>
          <c:spPr>
            <a:solidFill>
              <a:srgbClr val="4D656D"/>
            </a:solidFill>
            <a:ln w="25400">
              <a:noFill/>
            </a:ln>
          </c:spPr>
          <c:invertIfNegative val="0"/>
          <c:cat>
            <c:numRef>
              <c:f>'ПБ - стандартный формат чарта'!$C$7:$C$18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'ПБ - стандартный формат чарта'!$G$7:$G$18</c:f>
              <c:numCache>
                <c:formatCode>_-* #\ ##0_-;\-* #\ ##0_-;_-* "-"??_-;_-@_-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8C-4785-8A5E-2F0102610B06}"/>
            </c:ext>
          </c:extLst>
        </c:ser>
        <c:ser>
          <c:idx val="3"/>
          <c:order val="3"/>
          <c:tx>
            <c:strRef>
              <c:f>'ПБ - стандартный формат чарта'!$H$6</c:f>
              <c:strCache>
                <c:ptCount val="1"/>
                <c:pt idx="0">
                  <c:v>Баланс вторичных доходов</c:v>
                </c:pt>
              </c:strCache>
            </c:strRef>
          </c:tx>
          <c:spPr>
            <a:solidFill>
              <a:srgbClr val="991C1F"/>
            </a:solidFill>
            <a:ln w="25400">
              <a:noFill/>
            </a:ln>
          </c:spPr>
          <c:invertIfNegative val="0"/>
          <c:cat>
            <c:numRef>
              <c:f>'ПБ - стандартный формат чарта'!$C$7:$C$18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'ПБ - стандартный формат чарта'!$H$7:$H$18</c:f>
              <c:numCache>
                <c:formatCode>_-* #\ ##0_-;\-* #\ ##0_-;_-* "-"??_-;_-@_-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8C-4785-8A5E-2F0102610B06}"/>
            </c:ext>
          </c:extLst>
        </c:ser>
        <c:ser>
          <c:idx val="5"/>
          <c:order val="5"/>
          <c:tx>
            <c:strRef>
              <c:f>'ПБ - стандартный формат чарта'!$J$6</c:f>
              <c:strCache>
                <c:ptCount val="1"/>
                <c:pt idx="0">
                  <c:v>Финансовый счет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'ПБ - стандартный формат чарта'!$C$7:$C$18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'ПБ - стандартный формат чарта'!$J$7:$J$18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A8C-4785-8A5E-2F0102610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0963376"/>
        <c:axId val="1"/>
      </c:barChart>
      <c:lineChart>
        <c:grouping val="standard"/>
        <c:varyColors val="0"/>
        <c:ser>
          <c:idx val="4"/>
          <c:order val="4"/>
          <c:tx>
            <c:strRef>
              <c:f>'ПБ - стандартный формат чарта'!$I$6</c:f>
              <c:strCache>
                <c:ptCount val="1"/>
                <c:pt idx="0">
                  <c:v>Счет текущих операций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Lbls>
            <c:dLbl>
              <c:idx val="2"/>
              <c:layout>
                <c:manualLayout>
                  <c:x val="-2.7680363377001593E-2"/>
                  <c:y val="2.7495966515582077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FF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A8C-4785-8A5E-2F0102610B06}"/>
                </c:ext>
              </c:extLst>
            </c:dLbl>
            <c:dLbl>
              <c:idx val="5"/>
              <c:layout>
                <c:manualLayout>
                  <c:x val="-2.7988484968835166E-2"/>
                  <c:y val="2.8011381555334069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FF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A8C-4785-8A5E-2F0102610B06}"/>
                </c:ext>
              </c:extLst>
            </c:dLbl>
            <c:dLbl>
              <c:idx val="8"/>
              <c:layout>
                <c:manualLayout>
                  <c:x val="-2.9150575218044355E-2"/>
                  <c:y val="2.3242001338758606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FF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A8C-4785-8A5E-2F0102610B06}"/>
                </c:ext>
              </c:extLst>
            </c:dLbl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800" b="1" i="0" u="none" strike="noStrike" baseline="0">
                    <a:solidFill>
                      <a:srgbClr val="FF0000"/>
                    </a:solidFill>
                    <a:latin typeface="Montserrat"/>
                    <a:ea typeface="Montserrat"/>
                    <a:cs typeface="Montserra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'ПБ - стандартный формат чарта'!$C$7:$C$18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'ПБ - стандартный формат чарта'!$I$7:$I$18</c:f>
              <c:numCache>
                <c:formatCode>_-* #\ ##0_-;\-* #\ ##0_-;_-* "-"??_-;_-@_-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A8C-4785-8A5E-2F0102610B06}"/>
            </c:ext>
          </c:extLst>
        </c:ser>
        <c:ser>
          <c:idx val="6"/>
          <c:order val="6"/>
          <c:tx>
            <c:strRef>
              <c:f>'ПБ - стандартный формат чарта'!$K$6</c:f>
              <c:strCache>
                <c:ptCount val="1"/>
                <c:pt idx="0">
                  <c:v>Сальдо</c:v>
                </c:pt>
              </c:strCache>
            </c:strRef>
          </c:tx>
          <c:spPr>
            <a:ln w="28575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dLbls>
            <c:dLbl>
              <c:idx val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BA8C-4785-8A5E-2F0102610B06}"/>
                </c:ext>
              </c:extLst>
            </c:dLbl>
            <c:dLbl>
              <c:idx val="2"/>
              <c:layout>
                <c:manualLayout>
                  <c:x val="-3.1174541467367308E-2"/>
                  <c:y val="1.7644841943372437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A8C-4785-8A5E-2F0102610B06}"/>
                </c:ext>
              </c:extLst>
            </c:dLbl>
            <c:dLbl>
              <c:idx val="3"/>
              <c:layout>
                <c:manualLayout>
                  <c:x val="-2.5901406356464603E-2"/>
                  <c:y val="-1.6007647640982309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A8C-4785-8A5E-2F0102610B06}"/>
                </c:ext>
              </c:extLst>
            </c:dLbl>
            <c:dLbl>
              <c:idx val="6"/>
              <c:layout>
                <c:manualLayout>
                  <c:x val="-2.9392596517858853E-2"/>
                  <c:y val="1.7889776477884846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A8C-4785-8A5E-2F0102610B06}"/>
                </c:ext>
              </c:extLst>
            </c:dLbl>
            <c:dLbl>
              <c:idx val="7"/>
              <c:layout>
                <c:manualLayout>
                  <c:x val="-3.48505128731358E-2"/>
                  <c:y val="3.9298675921379762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A8C-4785-8A5E-2F0102610B06}"/>
                </c:ext>
              </c:extLst>
            </c:dLbl>
            <c:dLbl>
              <c:idx val="8"/>
              <c:layout>
                <c:manualLayout>
                  <c:x val="-3.4069503972045535E-2"/>
                  <c:y val="2.3242001338758606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A8C-4785-8A5E-2F0102610B06}"/>
                </c:ext>
              </c:extLst>
            </c:dLbl>
            <c:dLbl>
              <c:idx val="10"/>
              <c:layout>
                <c:manualLayout>
                  <c:x val="-3.5554474054388205E-2"/>
                  <c:y val="-2.1359872501856069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A8C-4785-8A5E-2F0102610B06}"/>
                </c:ext>
              </c:extLst>
            </c:dLbl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Montserrat"/>
                    <a:ea typeface="Montserrat"/>
                    <a:cs typeface="Montserra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'ПБ - стандартный формат чарта'!$C$7:$C$18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'ПБ - стандартный формат чарта'!$K$7:$K$18</c:f>
              <c:numCache>
                <c:formatCode>_-* #\ ##0_-;\-* #\ ##0_-;_-* "-"??_-;_-@_-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BA8C-4785-8A5E-2F0102610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00096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Montserrat"/>
                <a:ea typeface="Montserrat"/>
                <a:cs typeface="Montserrat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-* #\ ##0_-;\-* #\ ##0_-;_-* &quot;-&quot;??_-;_-@_-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Montserrat"/>
                <a:ea typeface="Montserrat"/>
                <a:cs typeface="Montserrat"/>
              </a:defRPr>
            </a:pPr>
            <a:endParaRPr lang="en-US"/>
          </a:p>
        </c:txPr>
        <c:crossAx val="2000963376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1"/>
        <c:axPos val="r"/>
        <c:numFmt formatCode="_-* #\ ##0_-;\-* #\ ##0_-;_-* &quot;-&quot;??_-;_-@_-" sourceLinked="1"/>
        <c:majorTickMark val="out"/>
        <c:minorTickMark val="none"/>
        <c:tickLblPos val="nextTo"/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3829131259582653"/>
          <c:y val="0.94586860342327839"/>
          <c:w val="0.42311561549855775"/>
          <c:h val="1.3210418555377856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5" b="1" i="0" u="none" strike="noStrike" baseline="0">
              <a:solidFill>
                <a:srgbClr val="000000"/>
              </a:solidFill>
              <a:latin typeface="Montserrat"/>
              <a:ea typeface="Montserrat"/>
              <a:cs typeface="Montserra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Montserrat"/>
          <a:ea typeface="Montserrat"/>
          <a:cs typeface="Montserra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2400" b="1" i="0" u="none" strike="noStrike" baseline="0">
                <a:solidFill>
                  <a:srgbClr val="33CCCC"/>
                </a:solidFill>
                <a:latin typeface="Montserrat"/>
                <a:ea typeface="Montserrat"/>
                <a:cs typeface="Montserrat"/>
              </a:defRPr>
            </a:pPr>
            <a:r>
              <a:rPr lang="uk-UA"/>
              <a:t>Динамика основных пунктов платежного баланса, 2021, млн. долл.</a:t>
            </a:r>
          </a:p>
        </c:rich>
      </c:tx>
      <c:layout>
        <c:manualLayout>
          <c:xMode val="edge"/>
          <c:yMode val="edge"/>
          <c:x val="1.6989660593217402E-2"/>
          <c:y val="1.38143197216626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5.5053309326764673E-2"/>
          <c:y val="0.2703747993197414"/>
          <c:w val="0.9285775951605163"/>
          <c:h val="0.6730440336694248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'ПБ - стандартный формат чарта'!$E$6</c:f>
              <c:strCache>
                <c:ptCount val="1"/>
                <c:pt idx="0">
                  <c:v>Баланс товаров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'ПБ - стандартный формат чарта'!$C$34:$C$45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'ПБ - стандартный формат чарта'!$E$34:$E$45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D2-4808-AA5B-367F9BAA01D1}"/>
            </c:ext>
          </c:extLst>
        </c:ser>
        <c:ser>
          <c:idx val="1"/>
          <c:order val="1"/>
          <c:tx>
            <c:strRef>
              <c:f>'ПБ - стандартный формат чарта'!$F$6</c:f>
              <c:strCache>
                <c:ptCount val="1"/>
                <c:pt idx="0">
                  <c:v>Баланс услуг</c:v>
                </c:pt>
              </c:strCache>
            </c:strRef>
          </c:tx>
          <c:spPr>
            <a:solidFill>
              <a:srgbClr val="F37021"/>
            </a:solidFill>
            <a:ln w="25400">
              <a:noFill/>
            </a:ln>
          </c:spPr>
          <c:invertIfNegative val="0"/>
          <c:cat>
            <c:numRef>
              <c:f>'ПБ - стандартный формат чарта'!$C$34:$C$45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'ПБ - стандартный формат чарта'!$F$34:$F$45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D2-4808-AA5B-367F9BAA01D1}"/>
            </c:ext>
          </c:extLst>
        </c:ser>
        <c:ser>
          <c:idx val="2"/>
          <c:order val="2"/>
          <c:tx>
            <c:strRef>
              <c:f>'ПБ - стандартный формат чарта'!$G$6</c:f>
              <c:strCache>
                <c:ptCount val="1"/>
                <c:pt idx="0">
                  <c:v>Баланс первичных доходов</c:v>
                </c:pt>
              </c:strCache>
            </c:strRef>
          </c:tx>
          <c:spPr>
            <a:solidFill>
              <a:srgbClr val="4D656D"/>
            </a:solidFill>
            <a:ln w="25400">
              <a:noFill/>
            </a:ln>
          </c:spPr>
          <c:invertIfNegative val="0"/>
          <c:cat>
            <c:numRef>
              <c:f>'ПБ - стандартный формат чарта'!$C$34:$C$45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'ПБ - стандартный формат чарта'!$G$34:$G$45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D2-4808-AA5B-367F9BAA01D1}"/>
            </c:ext>
          </c:extLst>
        </c:ser>
        <c:ser>
          <c:idx val="3"/>
          <c:order val="3"/>
          <c:tx>
            <c:strRef>
              <c:f>'ПБ - стандартный формат чарта'!$H$6</c:f>
              <c:strCache>
                <c:ptCount val="1"/>
                <c:pt idx="0">
                  <c:v>Баланс вторичных доходов</c:v>
                </c:pt>
              </c:strCache>
            </c:strRef>
          </c:tx>
          <c:spPr>
            <a:solidFill>
              <a:srgbClr val="991C1F"/>
            </a:solidFill>
            <a:ln w="25400">
              <a:noFill/>
            </a:ln>
          </c:spPr>
          <c:invertIfNegative val="0"/>
          <c:cat>
            <c:numRef>
              <c:f>'ПБ - стандартный формат чарта'!$C$34:$C$45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'ПБ - стандартный формат чарта'!$H$34:$H$45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D2-4808-AA5B-367F9BAA01D1}"/>
            </c:ext>
          </c:extLst>
        </c:ser>
        <c:ser>
          <c:idx val="5"/>
          <c:order val="5"/>
          <c:tx>
            <c:strRef>
              <c:f>'ПБ - стандартный формат чарта'!$J$6</c:f>
              <c:strCache>
                <c:ptCount val="1"/>
                <c:pt idx="0">
                  <c:v>Финансовый счет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'ПБ - стандартный формат чарта'!$C$34:$C$45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'ПБ - стандартный формат чарта'!$J$34:$J$45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D2-4808-AA5B-367F9BAA0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0965872"/>
        <c:axId val="1"/>
      </c:barChart>
      <c:lineChart>
        <c:grouping val="standard"/>
        <c:varyColors val="0"/>
        <c:ser>
          <c:idx val="4"/>
          <c:order val="4"/>
          <c:tx>
            <c:strRef>
              <c:f>'ПБ - стандартный формат чарта'!$I$6</c:f>
              <c:strCache>
                <c:ptCount val="1"/>
                <c:pt idx="0">
                  <c:v>Счет текущих операций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dLbls>
            <c:dLbl>
              <c:idx val="2"/>
              <c:layout>
                <c:manualLayout>
                  <c:x val="-1.4380086966411611E-2"/>
                  <c:y val="4.1573153581300613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FF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CD2-4808-AA5B-367F9BAA01D1}"/>
                </c:ext>
              </c:extLst>
            </c:dLbl>
            <c:dLbl>
              <c:idx val="4"/>
              <c:layout>
                <c:manualLayout>
                  <c:x val="1.408106082512799E-3"/>
                  <c:y val="-5.1260395230941268E-3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FF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CD2-4808-AA5B-367F9BAA01D1}"/>
                </c:ext>
              </c:extLst>
            </c:dLbl>
            <c:dLbl>
              <c:idx val="5"/>
              <c:layout>
                <c:manualLayout>
                  <c:x val="-2.7988484968835166E-2"/>
                  <c:y val="2.8011381555334069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FF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CD2-4808-AA5B-367F9BAA01D1}"/>
                </c:ext>
              </c:extLst>
            </c:dLbl>
            <c:dLbl>
              <c:idx val="8"/>
              <c:layout>
                <c:manualLayout>
                  <c:x val="-2.9150575218044355E-2"/>
                  <c:y val="2.3242001338758606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FF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CD2-4808-AA5B-367F9BAA01D1}"/>
                </c:ext>
              </c:extLst>
            </c:dLbl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800" b="1" i="0" u="none" strike="noStrike" baseline="0">
                    <a:solidFill>
                      <a:srgbClr val="FF0000"/>
                    </a:solidFill>
                    <a:latin typeface="Montserrat"/>
                    <a:ea typeface="Montserrat"/>
                    <a:cs typeface="Montserra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'ПБ - стандартный формат чарта'!$C$34:$C$45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'ПБ - стандартный формат чарта'!$I$34:$I$45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CD2-4808-AA5B-367F9BAA01D1}"/>
            </c:ext>
          </c:extLst>
        </c:ser>
        <c:ser>
          <c:idx val="6"/>
          <c:order val="6"/>
          <c:tx>
            <c:strRef>
              <c:f>'ПБ - стандартный формат чарта'!$K$6</c:f>
              <c:strCache>
                <c:ptCount val="1"/>
                <c:pt idx="0">
                  <c:v>Сальдо</c:v>
                </c:pt>
              </c:strCache>
            </c:strRef>
          </c:tx>
          <c:spPr>
            <a:ln w="28575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dLbls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CD2-4808-AA5B-367F9BAA01D1}"/>
                </c:ext>
              </c:extLst>
            </c:dLbl>
            <c:dLbl>
              <c:idx val="6"/>
              <c:layout>
                <c:manualLayout>
                  <c:x val="-2.9392596517858853E-2"/>
                  <c:y val="1.7889776477884846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CD2-4808-AA5B-367F9BAA01D1}"/>
                </c:ext>
              </c:extLst>
            </c:dLbl>
            <c:dLbl>
              <c:idx val="7"/>
              <c:layout>
                <c:manualLayout>
                  <c:x val="-3.48505128731358E-2"/>
                  <c:y val="3.9298675921379762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ACD2-4808-AA5B-367F9BAA01D1}"/>
                </c:ext>
              </c:extLst>
            </c:dLbl>
            <c:dLbl>
              <c:idx val="8"/>
              <c:layout>
                <c:manualLayout>
                  <c:x val="-3.4069503972045535E-2"/>
                  <c:y val="2.3242001338758606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CD2-4808-AA5B-367F9BAA01D1}"/>
                </c:ext>
              </c:extLst>
            </c:dLbl>
            <c:dLbl>
              <c:idx val="10"/>
              <c:layout>
                <c:manualLayout>
                  <c:x val="-3.5554474054388205E-2"/>
                  <c:y val="-2.1359872501856069E-2"/>
                </c:manualLayout>
              </c:layout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ACD2-4808-AA5B-367F9BAA01D1}"/>
                </c:ext>
              </c:extLst>
            </c:dLbl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800" b="1" i="0" u="none" strike="noStrike" baseline="0">
                    <a:solidFill>
                      <a:srgbClr val="000000"/>
                    </a:solidFill>
                    <a:latin typeface="Montserrat"/>
                    <a:ea typeface="Montserrat"/>
                    <a:cs typeface="Montserra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'ПБ - стандартный формат чарта'!$C$34:$C$45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'ПБ - стандартный формат чарта'!$K$34:$K$45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CD2-4808-AA5B-367F9BAA0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000965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Montserrat"/>
                <a:ea typeface="Montserrat"/>
                <a:cs typeface="Montserrat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1600" b="1" i="0" u="none" strike="noStrike" baseline="0">
                <a:solidFill>
                  <a:srgbClr val="000000"/>
                </a:solidFill>
                <a:latin typeface="Montserrat"/>
                <a:ea typeface="Montserrat"/>
                <a:cs typeface="Montserrat"/>
              </a:defRPr>
            </a:pPr>
            <a:endParaRPr lang="en-US"/>
          </a:p>
        </c:txPr>
        <c:crossAx val="2000965872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1"/>
        <c:axPos val="r"/>
        <c:numFmt formatCode="0" sourceLinked="1"/>
        <c:majorTickMark val="out"/>
        <c:minorTickMark val="none"/>
        <c:tickLblPos val="nextTo"/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b"/>
      <c:layout>
        <c:manualLayout>
          <c:xMode val="edge"/>
          <c:yMode val="edge"/>
          <c:x val="0.20844971225562503"/>
          <c:y val="0.96572897380075551"/>
          <c:w val="0.42283637698322007"/>
          <c:h val="1.3193079547227149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5" b="1" i="0" u="none" strike="noStrike" baseline="0">
              <a:solidFill>
                <a:srgbClr val="000000"/>
              </a:solidFill>
              <a:latin typeface="Montserrat"/>
              <a:ea typeface="Montserrat"/>
              <a:cs typeface="Montserra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Montserrat"/>
          <a:ea typeface="Montserrat"/>
          <a:cs typeface="Montserrat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3200" b="1" i="0" u="none" strike="noStrike" baseline="0">
                <a:solidFill>
                  <a:srgbClr val="33CCCC"/>
                </a:solidFill>
                <a:latin typeface="Montserrat"/>
                <a:ea typeface="Montserrat"/>
                <a:cs typeface="Montserrat"/>
              </a:defRPr>
            </a:pPr>
            <a:r>
              <a:rPr lang="uk-UA"/>
              <a:t>Платежный баланс Украины на 2020 год , $ млрд</a:t>
            </a:r>
          </a:p>
        </c:rich>
      </c:tx>
      <c:layout>
        <c:manualLayout>
          <c:xMode val="edge"/>
          <c:yMode val="edge"/>
          <c:x val="7.7610848453415291E-3"/>
          <c:y val="1.7847769028871391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3761537856633092E-2"/>
          <c:y val="0.11571017398895392"/>
          <c:w val="0.67454278681878621"/>
          <c:h val="0.73286111111111107"/>
        </c:manualLayout>
      </c:layout>
      <c:areaChart>
        <c:grouping val="standard"/>
        <c:varyColors val="0"/>
        <c:ser>
          <c:idx val="7"/>
          <c:order val="4"/>
          <c:tx>
            <c:strRef>
              <c:f>'Чарт ПБ 2020'!$D$3</c:f>
              <c:strCache>
                <c:ptCount val="1"/>
                <c:pt idx="0">
                  <c:v>Динамика резервов кумулятивно, $ млрд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</c:spPr>
          <c:val>
            <c:numRef>
              <c:f>'Чарт ПБ 2020'!$D$4:$D$15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B1-484E-A3A4-82BE371AD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971696"/>
        <c:axId val="1"/>
      </c:areaChart>
      <c:barChart>
        <c:barDir val="col"/>
        <c:grouping val="clustered"/>
        <c:varyColors val="0"/>
        <c:ser>
          <c:idx val="1"/>
          <c:order val="0"/>
          <c:tx>
            <c:strRef>
              <c:f>'Чарт ПБ 2020'!$G$3</c:f>
              <c:strCache>
                <c:ptCount val="1"/>
                <c:pt idx="0">
                  <c:v>Счет текущих операций ($ млрд)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multiLvlStrRef>
              <c:f>'Чарт ПБ 2020'!$N$4:$O$15</c:f>
              <c:multiLvlStrCache>
                <c:ptCount val="12"/>
                <c:lvl>
                  <c:pt idx="0">
                    <c:v>1М</c:v>
                  </c:pt>
                  <c:pt idx="1">
                    <c:v>2М</c:v>
                  </c:pt>
                  <c:pt idx="2">
                    <c:v>3М</c:v>
                  </c:pt>
                  <c:pt idx="3">
                    <c:v>4М</c:v>
                  </c:pt>
                  <c:pt idx="4">
                    <c:v>5М</c:v>
                  </c:pt>
                  <c:pt idx="5">
                    <c:v>6М</c:v>
                  </c:pt>
                  <c:pt idx="6">
                    <c:v>7М</c:v>
                  </c:pt>
                  <c:pt idx="7">
                    <c:v>8М</c:v>
                  </c:pt>
                  <c:pt idx="8">
                    <c:v>9М</c:v>
                  </c:pt>
                  <c:pt idx="9">
                    <c:v>10М</c:v>
                  </c:pt>
                  <c:pt idx="10">
                    <c:v>11М</c:v>
                  </c:pt>
                  <c:pt idx="11">
                    <c:v>12М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'Чарт ПБ 2020'!$G$4:$G$15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B1-484E-A3A4-82BE371AD0E6}"/>
            </c:ext>
          </c:extLst>
        </c:ser>
        <c:ser>
          <c:idx val="4"/>
          <c:order val="1"/>
          <c:tx>
            <c:strRef>
              <c:f>'Чарт ПБ 2020'!$L$3</c:f>
              <c:strCache>
                <c:ptCount val="1"/>
                <c:pt idx="0">
                  <c:v>Сальдо инвестиций частного сектора, $ млрд</c:v>
                </c:pt>
              </c:strCache>
            </c:strRef>
          </c:tx>
          <c:spPr>
            <a:solidFill>
              <a:schemeClr val="accent5"/>
            </a:solidFill>
          </c:spPr>
          <c:invertIfNegative val="0"/>
          <c:cat>
            <c:multiLvlStrRef>
              <c:f>'Чарт ПБ 2020'!$N$4:$O$15</c:f>
              <c:multiLvlStrCache>
                <c:ptCount val="12"/>
                <c:lvl>
                  <c:pt idx="0">
                    <c:v>1М</c:v>
                  </c:pt>
                  <c:pt idx="1">
                    <c:v>2М</c:v>
                  </c:pt>
                  <c:pt idx="2">
                    <c:v>3М</c:v>
                  </c:pt>
                  <c:pt idx="3">
                    <c:v>4М</c:v>
                  </c:pt>
                  <c:pt idx="4">
                    <c:v>5М</c:v>
                  </c:pt>
                  <c:pt idx="5">
                    <c:v>6М</c:v>
                  </c:pt>
                  <c:pt idx="6">
                    <c:v>7М</c:v>
                  </c:pt>
                  <c:pt idx="7">
                    <c:v>8М</c:v>
                  </c:pt>
                  <c:pt idx="8">
                    <c:v>9М</c:v>
                  </c:pt>
                  <c:pt idx="9">
                    <c:v>10М</c:v>
                  </c:pt>
                  <c:pt idx="10">
                    <c:v>11М</c:v>
                  </c:pt>
                  <c:pt idx="11">
                    <c:v>12М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'Чарт ПБ 2020'!$L$4:$L$15</c:f>
              <c:numCache>
                <c:formatCode>_(* #,##0.00_);_(* \(#,##0.00\);_(*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B1-484E-A3A4-82BE371AD0E6}"/>
            </c:ext>
          </c:extLst>
        </c:ser>
        <c:ser>
          <c:idx val="5"/>
          <c:order val="2"/>
          <c:tx>
            <c:strRef>
              <c:f>'Чарт ПБ 2020'!$M$3</c:f>
              <c:strCache>
                <c:ptCount val="1"/>
                <c:pt idx="0">
                  <c:v>Чистые государственные привлечения, $ млрд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</c:spPr>
          <c:invertIfNegative val="0"/>
          <c:cat>
            <c:multiLvlStrRef>
              <c:f>'Чарт ПБ 2020'!$N$4:$O$15</c:f>
              <c:multiLvlStrCache>
                <c:ptCount val="12"/>
                <c:lvl>
                  <c:pt idx="0">
                    <c:v>1М</c:v>
                  </c:pt>
                  <c:pt idx="1">
                    <c:v>2М</c:v>
                  </c:pt>
                  <c:pt idx="2">
                    <c:v>3М</c:v>
                  </c:pt>
                  <c:pt idx="3">
                    <c:v>4М</c:v>
                  </c:pt>
                  <c:pt idx="4">
                    <c:v>5М</c:v>
                  </c:pt>
                  <c:pt idx="5">
                    <c:v>6М</c:v>
                  </c:pt>
                  <c:pt idx="6">
                    <c:v>7М</c:v>
                  </c:pt>
                  <c:pt idx="7">
                    <c:v>8М</c:v>
                  </c:pt>
                  <c:pt idx="8">
                    <c:v>9М</c:v>
                  </c:pt>
                  <c:pt idx="9">
                    <c:v>10М</c:v>
                  </c:pt>
                  <c:pt idx="10">
                    <c:v>11М</c:v>
                  </c:pt>
                  <c:pt idx="11">
                    <c:v>12М</c:v>
                  </c:pt>
                </c:lvl>
                <c:lvl>
                  <c:pt idx="0">
                    <c:v>2020</c:v>
                  </c:pt>
                </c:lvl>
              </c:multiLvlStrCache>
            </c:multiLvlStrRef>
          </c:cat>
          <c:val>
            <c:numRef>
              <c:f>'Чарт ПБ 2020'!$M$4:$M$15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B1-484E-A3A4-82BE371AD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00971696"/>
        <c:axId val="1"/>
      </c:barChart>
      <c:lineChart>
        <c:grouping val="standard"/>
        <c:varyColors val="0"/>
        <c:ser>
          <c:idx val="6"/>
          <c:order val="3"/>
          <c:tx>
            <c:strRef>
              <c:f>'Чарт ПБ 2020'!$E$3</c:f>
              <c:strCache>
                <c:ptCount val="1"/>
                <c:pt idx="0">
                  <c:v>Сводное сальдо платежного баланса, $ млрд</c:v>
                </c:pt>
              </c:strCache>
            </c:strRef>
          </c:tx>
          <c:spPr>
            <a:ln w="38100">
              <a:solidFill>
                <a:srgbClr val="002060"/>
              </a:solidFill>
              <a:prstDash val="solid"/>
            </a:ln>
          </c:spPr>
          <c:marker>
            <c:spPr>
              <a:solidFill>
                <a:schemeClr val="tx1"/>
              </a:solidFill>
              <a:ln>
                <a:solidFill>
                  <a:srgbClr val="002060"/>
                </a:solidFill>
              </a:ln>
            </c:spPr>
          </c:marker>
          <c:dLbls>
            <c:dLbl>
              <c:idx val="1"/>
              <c:layout>
                <c:manualLayout>
                  <c:x val="-9.8273864432091625E-3"/>
                  <c:y val="-4.7657409728657826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2400" b="1" i="0" u="none" strike="noStrike" baseline="0">
                      <a:solidFill>
                        <a:srgbClr val="003366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1-484E-A3A4-82BE371AD0E6}"/>
                </c:ext>
              </c:extLst>
            </c:dLbl>
            <c:dLbl>
              <c:idx val="2"/>
              <c:layout>
                <c:manualLayout>
                  <c:x val="-3.0882633289692981E-2"/>
                  <c:y val="3.4410835990927258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2400" b="1" i="0" u="none" strike="noStrike" baseline="0">
                      <a:solidFill>
                        <a:srgbClr val="003366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1-484E-A3A4-82BE371AD0E6}"/>
                </c:ext>
              </c:extLst>
            </c:dLbl>
            <c:dLbl>
              <c:idx val="3"/>
              <c:layout>
                <c:manualLayout>
                  <c:x val="-2.7153546830783862E-2"/>
                  <c:y val="-5.1866037714277571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2400" b="1" i="0" u="none" strike="noStrike" baseline="0">
                      <a:solidFill>
                        <a:srgbClr val="003366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1-484E-A3A4-82BE371AD0E6}"/>
                </c:ext>
              </c:extLst>
            </c:dLbl>
            <c:dLbl>
              <c:idx val="6"/>
              <c:layout>
                <c:manualLayout>
                  <c:x val="-5.0162057422162898E-2"/>
                  <c:y val="9.1590680772087717E-3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2400" b="1" i="0" u="none" strike="noStrike" baseline="0">
                      <a:solidFill>
                        <a:srgbClr val="003366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1-484E-A3A4-82BE371AD0E6}"/>
                </c:ext>
              </c:extLst>
            </c:dLbl>
            <c:dLbl>
              <c:idx val="7"/>
              <c:layout>
                <c:manualLayout>
                  <c:x val="-3.5179083427860233E-2"/>
                  <c:y val="4.4932405954976627E-2"/>
                </c:manualLayout>
              </c:layout>
              <c:numFmt formatCode="#,##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2400" b="1" i="0" u="none" strike="noStrike" baseline="0">
                      <a:solidFill>
                        <a:srgbClr val="003366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1-484E-A3A4-82BE371AD0E6}"/>
                </c:ext>
              </c:extLst>
            </c:dLbl>
            <c:dLbl>
              <c:idx val="8"/>
              <c:layout>
                <c:manualLayout>
                  <c:x val="-3.6451135009181843E-3"/>
                  <c:y val="1.1263382070018568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2400" b="1" i="0" u="none" strike="noStrike" baseline="0">
                      <a:solidFill>
                        <a:srgbClr val="003366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1-484E-A3A4-82BE371AD0E6}"/>
                </c:ext>
              </c:extLst>
            </c:dLbl>
            <c:dLbl>
              <c:idx val="11"/>
              <c:layout>
                <c:manualLayout>
                  <c:x val="-2.7230673879100716E-2"/>
                  <c:y val="-3.8375172033559619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2400" b="1" i="0" u="none" strike="noStrike" baseline="0">
                      <a:solidFill>
                        <a:srgbClr val="003366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1-484E-A3A4-82BE371AD0E6}"/>
                </c:ext>
              </c:extLst>
            </c:dLbl>
            <c:numFmt formatCode="#,##0.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400" b="1" i="0" u="none" strike="noStrike" baseline="0">
                    <a:solidFill>
                      <a:srgbClr val="003366"/>
                    </a:solidFill>
                    <a:latin typeface="Calibri"/>
                    <a:ea typeface="Calibri"/>
                    <a:cs typeface="Calibri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'Чарт ПБ 2020'!$E$4:$E$15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7BB1-484E-A3A4-82BE371AD0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971696"/>
        <c:axId val="1"/>
      </c:lineChart>
      <c:catAx>
        <c:axId val="20009716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2000971696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9931472773851011"/>
          <c:y val="8.4432428779020643E-2"/>
          <c:w val="0.23437374356512453"/>
          <c:h val="0.6381775990447545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30" b="1" i="1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2800" b="1" i="0" u="none" strike="noStrike" baseline="0">
                <a:solidFill>
                  <a:srgbClr val="33CCCC"/>
                </a:solidFill>
                <a:latin typeface="Montserrat"/>
                <a:ea typeface="Montserrat"/>
                <a:cs typeface="Montserrat"/>
              </a:defRPr>
            </a:pPr>
            <a:r>
              <a:rPr lang="uk-UA"/>
              <a:t>Платежный баланс Украины на 2021 год , $ млрд</a:t>
            </a:r>
          </a:p>
        </c:rich>
      </c:tx>
      <c:layout>
        <c:manualLayout>
          <c:xMode val="edge"/>
          <c:yMode val="edge"/>
          <c:x val="2.1819324785015998E-2"/>
          <c:y val="2.473543471642847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504106920090269E-2"/>
          <c:y val="0.21107965793602443"/>
          <c:w val="0.69455181377660358"/>
          <c:h val="0.69690894388093128"/>
        </c:manualLayout>
      </c:layout>
      <c:areaChart>
        <c:grouping val="standard"/>
        <c:varyColors val="0"/>
        <c:ser>
          <c:idx val="7"/>
          <c:order val="4"/>
          <c:tx>
            <c:strRef>
              <c:f>'Чарт ПБ 2022-2023'!$C$3</c:f>
              <c:strCache>
                <c:ptCount val="1"/>
                <c:pt idx="0">
                  <c:v>Динамика резервов, $ млрд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</c:spPr>
          <c:val>
            <c:numRef>
              <c:f>'Чарт ПБ 2022-2023'!$C$4:$C$15</c:f>
              <c:numCache>
                <c:formatCode>_-* #\ ##0.00_₴_-;\-* #\ ##0.00_₴_-;_-* "-"??_₴_-;_-@_-</c:formatCode>
                <c:ptCount val="12"/>
                <c:pt idx="0">
                  <c:v>-0.312</c:v>
                </c:pt>
                <c:pt idx="1">
                  <c:v>-0.59000000000000008</c:v>
                </c:pt>
                <c:pt idx="2">
                  <c:v>-2.0979999999999999</c:v>
                </c:pt>
                <c:pt idx="3">
                  <c:v>-1.133</c:v>
                </c:pt>
                <c:pt idx="4">
                  <c:v>-1.2929999999999999</c:v>
                </c:pt>
                <c:pt idx="5">
                  <c:v>-0.77529999999999921</c:v>
                </c:pt>
                <c:pt idx="6">
                  <c:v>-0.18199999999999994</c:v>
                </c:pt>
                <c:pt idx="7">
                  <c:v>2.4809999999999999</c:v>
                </c:pt>
                <c:pt idx="8">
                  <c:v>-0.42700000000000005</c:v>
                </c:pt>
                <c:pt idx="9">
                  <c:v>0.52099999999999991</c:v>
                </c:pt>
                <c:pt idx="10">
                  <c:v>1.986</c:v>
                </c:pt>
                <c:pt idx="11">
                  <c:v>3.2984999999999998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B5-4658-A86A-812C07046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963792"/>
        <c:axId val="1"/>
      </c:areaChart>
      <c:barChart>
        <c:barDir val="col"/>
        <c:grouping val="clustered"/>
        <c:varyColors val="0"/>
        <c:ser>
          <c:idx val="1"/>
          <c:order val="0"/>
          <c:tx>
            <c:strRef>
              <c:f>'Чарт ПБ 2022-2023'!$H$3</c:f>
              <c:strCache>
                <c:ptCount val="1"/>
                <c:pt idx="0">
                  <c:v>Счет текущих операций, $ млрд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'Чарт ПБ 2022-2023'!$O$4:$P$15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2022-2023'!$H$4:$H$15</c:f>
              <c:numCache>
                <c:formatCode>0.00</c:formatCode>
                <c:ptCount val="12"/>
                <c:pt idx="0">
                  <c:v>0.16</c:v>
                </c:pt>
                <c:pt idx="1">
                  <c:v>9.4E-2</c:v>
                </c:pt>
                <c:pt idx="2">
                  <c:v>-0.82099999999999995</c:v>
                </c:pt>
                <c:pt idx="3">
                  <c:v>1.4E-2</c:v>
                </c:pt>
                <c:pt idx="4">
                  <c:v>0.315</c:v>
                </c:pt>
                <c:pt idx="5">
                  <c:v>-0.18099999999999999</c:v>
                </c:pt>
                <c:pt idx="6">
                  <c:v>-0.66200000000000003</c:v>
                </c:pt>
                <c:pt idx="7">
                  <c:v>-6.2E-2</c:v>
                </c:pt>
                <c:pt idx="8">
                  <c:v>-0.91</c:v>
                </c:pt>
                <c:pt idx="9">
                  <c:v>-2.4E-2</c:v>
                </c:pt>
                <c:pt idx="10">
                  <c:v>-0.65400000000000003</c:v>
                </c:pt>
                <c:pt idx="11">
                  <c:v>-0.53700000000000003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B5-4658-A86A-812C07046121}"/>
            </c:ext>
          </c:extLst>
        </c:ser>
        <c:ser>
          <c:idx val="4"/>
          <c:order val="1"/>
          <c:tx>
            <c:strRef>
              <c:f>'Чарт ПБ 2022-2023'!$M$3</c:f>
              <c:strCache>
                <c:ptCount val="1"/>
                <c:pt idx="0">
                  <c:v>Сальдо инвестиций частного сектора, $ млрд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'Чарт ПБ 2022-2023'!$O$4:$P$15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2022-2023'!$M$4:$M$15</c:f>
              <c:numCache>
                <c:formatCode>0.00</c:formatCode>
                <c:ptCount val="12"/>
                <c:pt idx="0">
                  <c:v>0.71399999999999997</c:v>
                </c:pt>
                <c:pt idx="1">
                  <c:v>0.27900000000000003</c:v>
                </c:pt>
                <c:pt idx="2">
                  <c:v>-0.36</c:v>
                </c:pt>
                <c:pt idx="3">
                  <c:v>0.33100000000000002</c:v>
                </c:pt>
                <c:pt idx="4">
                  <c:v>0.78200000000000003</c:v>
                </c:pt>
                <c:pt idx="5">
                  <c:v>0</c:v>
                </c:pt>
                <c:pt idx="6">
                  <c:v>-0.57399999999999995</c:v>
                </c:pt>
                <c:pt idx="7">
                  <c:v>-0.27700000000000002</c:v>
                </c:pt>
                <c:pt idx="8">
                  <c:v>-0.318</c:v>
                </c:pt>
                <c:pt idx="9">
                  <c:v>-0.60799999999999998</c:v>
                </c:pt>
                <c:pt idx="10">
                  <c:v>-0.84799999999999998</c:v>
                </c:pt>
                <c:pt idx="11">
                  <c:v>-0.433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B5-4658-A86A-812C07046121}"/>
            </c:ext>
          </c:extLst>
        </c:ser>
        <c:ser>
          <c:idx val="5"/>
          <c:order val="2"/>
          <c:tx>
            <c:strRef>
              <c:f>'Чарт ПБ 2022-2023'!$N$3</c:f>
              <c:strCache>
                <c:ptCount val="1"/>
                <c:pt idx="0">
                  <c:v>Чистые государственные привлечения, $ млрд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</c:spPr>
          <c:invertIfNegative val="0"/>
          <c:cat>
            <c:strRef>
              <c:f>'Чарт ПБ 2022-2023'!$O$4:$P$15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2022-2023'!$N$4:$N$15</c:f>
              <c:numCache>
                <c:formatCode>0.00</c:formatCode>
                <c:ptCount val="12"/>
                <c:pt idx="0">
                  <c:v>0.33300000000000002</c:v>
                </c:pt>
                <c:pt idx="1">
                  <c:v>0.159</c:v>
                </c:pt>
                <c:pt idx="2">
                  <c:v>-0.25600000000000001</c:v>
                </c:pt>
                <c:pt idx="3">
                  <c:v>1.0229999999999999</c:v>
                </c:pt>
                <c:pt idx="4">
                  <c:v>6.4000000000000001E-2</c:v>
                </c:pt>
                <c:pt idx="5">
                  <c:v>0.78800000000000003</c:v>
                </c:pt>
                <c:pt idx="6">
                  <c:v>0.376</c:v>
                </c:pt>
                <c:pt idx="7">
                  <c:v>-0.34899999999999998</c:v>
                </c:pt>
                <c:pt idx="8">
                  <c:v>-1.9450000000000001</c:v>
                </c:pt>
                <c:pt idx="9">
                  <c:v>0.47399999999999998</c:v>
                </c:pt>
                <c:pt idx="10">
                  <c:v>0.16200000000000001</c:v>
                </c:pt>
                <c:pt idx="11">
                  <c:v>0.45600000000000002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B5-4658-A86A-812C07046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00963792"/>
        <c:axId val="1"/>
      </c:barChart>
      <c:lineChart>
        <c:grouping val="standard"/>
        <c:varyColors val="0"/>
        <c:ser>
          <c:idx val="6"/>
          <c:order val="3"/>
          <c:tx>
            <c:strRef>
              <c:f>'Чарт ПБ 2022-2023'!$F$3</c:f>
              <c:strCache>
                <c:ptCount val="1"/>
                <c:pt idx="0">
                  <c:v>Общий приток валюты, $ млрд</c:v>
                </c:pt>
              </c:strCache>
            </c:strRef>
          </c:tx>
          <c:spPr>
            <a:ln w="38100">
              <a:solidFill>
                <a:srgbClr val="002060"/>
              </a:solidFill>
              <a:prstDash val="solid"/>
            </a:ln>
          </c:spPr>
          <c:marker>
            <c:spPr>
              <a:solidFill>
                <a:schemeClr val="tx1"/>
              </a:solidFill>
              <a:ln>
                <a:solidFill>
                  <a:srgbClr val="002060"/>
                </a:solidFill>
              </a:ln>
            </c:spPr>
          </c:marker>
          <c:dLbls>
            <c:dLbl>
              <c:idx val="0"/>
              <c:layout>
                <c:manualLayout>
                  <c:x val="-3.7907002831487714E-2"/>
                  <c:y val="4.3945965924593267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FB5-4658-A86A-812C07046121}"/>
                </c:ext>
              </c:extLst>
            </c:dLbl>
            <c:dLbl>
              <c:idx val="1"/>
              <c:layout>
                <c:manualLayout>
                  <c:x val="-3.2280164453649361E-2"/>
                  <c:y val="-4.4040753309577248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FB5-4658-A86A-812C07046121}"/>
                </c:ext>
              </c:extLst>
            </c:dLbl>
            <c:dLbl>
              <c:idx val="2"/>
              <c:layout>
                <c:manualLayout>
                  <c:x val="-3.0882633289692981E-2"/>
                  <c:y val="3.4410835990927258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FB5-4658-A86A-812C07046121}"/>
                </c:ext>
              </c:extLst>
            </c:dLbl>
            <c:dLbl>
              <c:idx val="3"/>
              <c:layout>
                <c:manualLayout>
                  <c:x val="-2.7153546830783862E-2"/>
                  <c:y val="-5.1866037714277571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FB5-4658-A86A-812C07046121}"/>
                </c:ext>
              </c:extLst>
            </c:dLbl>
            <c:dLbl>
              <c:idx val="4"/>
              <c:layout>
                <c:manualLayout>
                  <c:x val="-3.7930879090516727E-2"/>
                  <c:y val="3.5586245165596525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FB5-4658-A86A-812C07046121}"/>
                </c:ext>
              </c:extLst>
            </c:dLbl>
            <c:dLbl>
              <c:idx val="5"/>
              <c:layout>
                <c:manualLayout>
                  <c:x val="-3.1232512925713968E-2"/>
                  <c:y val="-3.6057549107599812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FB5-4658-A86A-812C07046121}"/>
                </c:ext>
              </c:extLst>
            </c:dLbl>
            <c:dLbl>
              <c:idx val="6"/>
              <c:layout>
                <c:manualLayout>
                  <c:x val="-3.5252436050612984E-2"/>
                  <c:y val="3.4146826317585866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FB5-4658-A86A-812C07046121}"/>
                </c:ext>
              </c:extLst>
            </c:dLbl>
            <c:dLbl>
              <c:idx val="7"/>
              <c:layout>
                <c:manualLayout>
                  <c:x val="-2.1071336346689304E-3"/>
                  <c:y val="-1.1687152919369176E-3"/>
                </c:manualLayout>
              </c:layout>
              <c:numFmt formatCode="#,##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FB5-4658-A86A-812C07046121}"/>
                </c:ext>
              </c:extLst>
            </c:dLbl>
            <c:dLbl>
              <c:idx val="8"/>
              <c:layout>
                <c:manualLayout>
                  <c:x val="-2.6720661669657453E-3"/>
                  <c:y val="-1.7990863134210094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2FB5-4658-A86A-812C07046121}"/>
                </c:ext>
              </c:extLst>
            </c:dLbl>
            <c:dLbl>
              <c:idx val="9"/>
              <c:layout>
                <c:manualLayout>
                  <c:x val="-3.1427717475883632E-2"/>
                  <c:y val="-3.2197431590989797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FB5-4658-A86A-812C07046121}"/>
                </c:ext>
              </c:extLst>
            </c:dLbl>
            <c:dLbl>
              <c:idx val="10"/>
              <c:layout>
                <c:manualLayout>
                  <c:x val="-5.0973688183230163E-2"/>
                  <c:y val="-3.1295184599196009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2FB5-4658-A86A-812C07046121}"/>
                </c:ext>
              </c:extLst>
            </c:dLbl>
            <c:dLbl>
              <c:idx val="11"/>
              <c:layout>
                <c:manualLayout>
                  <c:x val="-2.5265502803827722E-2"/>
                  <c:y val="-4.3702105997146599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FB5-4658-A86A-812C07046121}"/>
                </c:ext>
              </c:extLst>
            </c:dLbl>
            <c:numFmt formatCode="#,##0.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800" b="1" i="0" u="none" strike="noStrike" baseline="0">
                    <a:solidFill>
                      <a:srgbClr val="003366"/>
                    </a:solidFill>
                    <a:latin typeface="Montserrat"/>
                    <a:ea typeface="Montserrat"/>
                    <a:cs typeface="Montserra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'Чарт ПБ 2022-2023'!$F$4:$F$15</c:f>
              <c:numCache>
                <c:formatCode>0.00</c:formatCode>
                <c:ptCount val="12"/>
                <c:pt idx="0">
                  <c:v>-0.219</c:v>
                </c:pt>
                <c:pt idx="1">
                  <c:v>-2.4E-2</c:v>
                </c:pt>
                <c:pt idx="2">
                  <c:v>-0.71499999999999997</c:v>
                </c:pt>
                <c:pt idx="3">
                  <c:v>0.70699999999999996</c:v>
                </c:pt>
                <c:pt idx="4">
                  <c:v>-0.39800000000000002</c:v>
                </c:pt>
                <c:pt idx="5">
                  <c:v>0.60799999999999998</c:v>
                </c:pt>
                <c:pt idx="6">
                  <c:v>0.28999999999999998</c:v>
                </c:pt>
                <c:pt idx="7">
                  <c:v>-0.13700000000000001</c:v>
                </c:pt>
                <c:pt idx="8">
                  <c:v>-2.5379999999999998</c:v>
                </c:pt>
                <c:pt idx="9">
                  <c:v>1.06</c:v>
                </c:pt>
                <c:pt idx="10">
                  <c:v>0.35699999999999998</c:v>
                </c:pt>
                <c:pt idx="11">
                  <c:v>0.35299999999999998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FB5-4658-A86A-812C07046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963792"/>
        <c:axId val="1"/>
      </c:lineChart>
      <c:lineChart>
        <c:grouping val="standard"/>
        <c:varyColors val="0"/>
        <c:ser>
          <c:idx val="0"/>
          <c:order val="5"/>
          <c:tx>
            <c:strRef>
              <c:f>'Чарт ПБ 2022-2023'!$Y$3</c:f>
              <c:strCache>
                <c:ptCount val="1"/>
                <c:pt idx="0">
                  <c:v>Курс</c:v>
                </c:pt>
              </c:strCache>
            </c:strRef>
          </c:tx>
          <c:spPr>
            <a:ln w="34925">
              <a:solidFill>
                <a:schemeClr val="accent4"/>
              </a:solidFill>
              <a:prstDash val="sysDot"/>
            </a:ln>
          </c:spPr>
          <c:marker>
            <c:symbol val="circle"/>
            <c:size val="12"/>
            <c:spPr>
              <a:solidFill>
                <a:schemeClr val="accent4">
                  <a:lumMod val="20000"/>
                  <a:lumOff val="80000"/>
                </a:schemeClr>
              </a:solidFill>
              <a:ln w="15875">
                <a:solidFill>
                  <a:schemeClr val="accent4"/>
                </a:solidFill>
                <a:prstDash val="sysDash"/>
              </a:ln>
            </c:spPr>
          </c:marker>
          <c:dLbls>
            <c:dLbl>
              <c:idx val="0"/>
              <c:layout>
                <c:manualLayout>
                  <c:x val="-3.8591547629482685E-2"/>
                  <c:y val="3.5331281034211064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1" i="0" u="none" strike="noStrike" baseline="0">
                      <a:solidFill>
                        <a:srgbClr val="FF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FB5-4658-A86A-812C07046121}"/>
                </c:ext>
              </c:extLst>
            </c:dLbl>
            <c:dLbl>
              <c:idx val="11"/>
              <c:layout>
                <c:manualLayout>
                  <c:x val="-2.307377316217445E-2"/>
                  <c:y val="3.2864282620971012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1" i="0" u="none" strike="noStrike" baseline="0">
                      <a:solidFill>
                        <a:srgbClr val="FF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FB5-4658-A86A-812C07046121}"/>
                </c:ext>
              </c:extLst>
            </c:dLbl>
            <c:numFmt formatCode="#,##0.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 i="0" u="none" strike="noStrike" baseline="0">
                    <a:solidFill>
                      <a:srgbClr val="FF0000"/>
                    </a:solidFill>
                    <a:latin typeface="Montserrat"/>
                    <a:ea typeface="Montserrat"/>
                    <a:cs typeface="Montserra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'Чарт ПБ 2022-2023'!$Y$4:$Y$15</c:f>
              <c:numCache>
                <c:formatCode>_-* #\ ##0.0_-;\-* #\ ##0.0_-;_-* "-"??_-;_-@_-</c:formatCode>
                <c:ptCount val="12"/>
                <c:pt idx="0">
                  <c:v>28.219770967741901</c:v>
                </c:pt>
                <c:pt idx="1">
                  <c:v>27.884660714285701</c:v>
                </c:pt>
                <c:pt idx="2">
                  <c:v>27.795558064516101</c:v>
                </c:pt>
                <c:pt idx="3">
                  <c:v>27.93</c:v>
                </c:pt>
                <c:pt idx="4">
                  <c:v>27.6</c:v>
                </c:pt>
                <c:pt idx="5">
                  <c:v>27.239873333333321</c:v>
                </c:pt>
                <c:pt idx="6">
                  <c:v>27.214548387096801</c:v>
                </c:pt>
                <c:pt idx="7">
                  <c:v>26.76</c:v>
                </c:pt>
                <c:pt idx="8">
                  <c:v>26.73</c:v>
                </c:pt>
                <c:pt idx="9">
                  <c:v>26.37</c:v>
                </c:pt>
                <c:pt idx="10">
                  <c:v>26.45</c:v>
                </c:pt>
                <c:pt idx="11">
                  <c:v>27.2134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FB5-4658-A86A-812C07046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000963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Montserrat"/>
                <a:ea typeface="Montserrat"/>
                <a:cs typeface="Montserrat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Montserrat"/>
                <a:ea typeface="Montserrat"/>
                <a:cs typeface="Montserrat"/>
              </a:defRPr>
            </a:pPr>
            <a:endParaRPr lang="en-US"/>
          </a:p>
        </c:txPr>
        <c:crossAx val="2000963792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  <c:max val="28.3"/>
          <c:min val="24"/>
        </c:scaling>
        <c:delete val="0"/>
        <c:axPos val="r"/>
        <c:numFmt formatCode="_-* #\ ##0.0_-;\-* #\ ##0.0_-;_-* &quot;-&quot;??_-;_-@_-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 sz="16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1868127026598649"/>
          <c:y val="0.18965517241379309"/>
          <c:w val="0.28131872973401351"/>
          <c:h val="0.739811912225705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280" b="1" i="0" u="none" strike="noStrike" baseline="0">
              <a:solidFill>
                <a:srgbClr val="000000"/>
              </a:solidFill>
              <a:latin typeface="Montserrat"/>
              <a:ea typeface="Montserrat"/>
              <a:cs typeface="Montserra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2800" b="1" i="0" u="none" strike="noStrike" baseline="0">
                <a:solidFill>
                  <a:schemeClr val="accent1"/>
                </a:solidFill>
                <a:latin typeface="Montserrat"/>
                <a:ea typeface="Montserrat"/>
                <a:cs typeface="Montserrat"/>
              </a:defRPr>
            </a:pPr>
            <a:r>
              <a:rPr lang="uk-UA">
                <a:solidFill>
                  <a:schemeClr val="accent1"/>
                </a:solidFill>
              </a:rPr>
              <a:t>Платежный баланс Украины на 2022 год , $ млрд</a:t>
            </a:r>
          </a:p>
        </c:rich>
      </c:tx>
      <c:layout>
        <c:manualLayout>
          <c:xMode val="edge"/>
          <c:yMode val="edge"/>
          <c:x val="2.1819324785015998E-2"/>
          <c:y val="2.473520480269636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504106920090269E-2"/>
          <c:y val="0.21107965793602443"/>
          <c:w val="0.69455181377660358"/>
          <c:h val="0.69690894388093128"/>
        </c:manualLayout>
      </c:layout>
      <c:areaChart>
        <c:grouping val="standard"/>
        <c:varyColors val="0"/>
        <c:ser>
          <c:idx val="7"/>
          <c:order val="4"/>
          <c:tx>
            <c:strRef>
              <c:f>'Чарт ПБ 2022-2023'!$C$3</c:f>
              <c:strCache>
                <c:ptCount val="1"/>
                <c:pt idx="0">
                  <c:v>Динамика резервов, $ млрд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</c:spPr>
          <c:val>
            <c:numRef>
              <c:f>'Чарт ПБ 2022-2023'!$C$32:$C$43</c:f>
              <c:numCache>
                <c:formatCode>_-* #\ ##0.00_₴_-;\-* #\ ##0.00_₴_-;_-* "-"??_₴_-;_-@_-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8D-47FA-906E-22BBD2F5B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973360"/>
        <c:axId val="1"/>
      </c:areaChart>
      <c:barChart>
        <c:barDir val="col"/>
        <c:grouping val="clustered"/>
        <c:varyColors val="0"/>
        <c:ser>
          <c:idx val="1"/>
          <c:order val="0"/>
          <c:tx>
            <c:strRef>
              <c:f>'Чарт ПБ 2022-2023'!$H$3</c:f>
              <c:strCache>
                <c:ptCount val="1"/>
                <c:pt idx="0">
                  <c:v>Счет текущих операций, $ млрд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'Чарт ПБ 2022-2023'!$O$32:$P$43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2022-2023'!$H$32:$H$43</c:f>
              <c:numCache>
                <c:formatCode>0.00</c:formatCode>
                <c:ptCount val="12"/>
                <c:pt idx="0">
                  <c:v>0.60899999999999999</c:v>
                </c:pt>
                <c:pt idx="1">
                  <c:v>2.1000000000000001E-2</c:v>
                </c:pt>
                <c:pt idx="2">
                  <c:v>1.387</c:v>
                </c:pt>
                <c:pt idx="3">
                  <c:v>1.2030000000000001</c:v>
                </c:pt>
                <c:pt idx="4">
                  <c:v>-0.20300000000000001</c:v>
                </c:pt>
                <c:pt idx="5">
                  <c:v>-0.19800000000000001</c:v>
                </c:pt>
                <c:pt idx="6">
                  <c:v>1.4059999999999999</c:v>
                </c:pt>
                <c:pt idx="7">
                  <c:v>1.948</c:v>
                </c:pt>
                <c:pt idx="8">
                  <c:v>1.6879999999999999</c:v>
                </c:pt>
                <c:pt idx="9">
                  <c:v>-0.53700000000000003</c:v>
                </c:pt>
                <c:pt idx="10">
                  <c:v>0.375</c:v>
                </c:pt>
                <c:pt idx="11">
                  <c:v>0.27300000000000002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8D-47FA-906E-22BBD2F5BDC9}"/>
            </c:ext>
          </c:extLst>
        </c:ser>
        <c:ser>
          <c:idx val="4"/>
          <c:order val="1"/>
          <c:tx>
            <c:strRef>
              <c:f>'Чарт ПБ 2022-2023'!$M$3</c:f>
              <c:strCache>
                <c:ptCount val="1"/>
                <c:pt idx="0">
                  <c:v>Сальдо инвестиций частного сектора, $ млрд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'Чарт ПБ 2022-2023'!$O$32:$P$43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2022-2023'!$M$32:$M$43</c:f>
              <c:numCache>
                <c:formatCode>0.00</c:formatCode>
                <c:ptCount val="12"/>
                <c:pt idx="0">
                  <c:v>1.8859999999999999</c:v>
                </c:pt>
                <c:pt idx="1">
                  <c:v>1.1040000000000001</c:v>
                </c:pt>
                <c:pt idx="2">
                  <c:v>3.3490000000000002</c:v>
                </c:pt>
                <c:pt idx="3">
                  <c:v>2.8639999999999999</c:v>
                </c:pt>
                <c:pt idx="4">
                  <c:v>2.677</c:v>
                </c:pt>
                <c:pt idx="5">
                  <c:v>3.762</c:v>
                </c:pt>
                <c:pt idx="6">
                  <c:v>1.532</c:v>
                </c:pt>
                <c:pt idx="7">
                  <c:v>0.28199999999999997</c:v>
                </c:pt>
                <c:pt idx="8">
                  <c:v>2.8969999999999998</c:v>
                </c:pt>
                <c:pt idx="9">
                  <c:v>2.1150000000000002</c:v>
                </c:pt>
                <c:pt idx="10">
                  <c:v>0.45400000000000001</c:v>
                </c:pt>
                <c:pt idx="11">
                  <c:v>1.284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8D-47FA-906E-22BBD2F5BDC9}"/>
            </c:ext>
          </c:extLst>
        </c:ser>
        <c:ser>
          <c:idx val="5"/>
          <c:order val="2"/>
          <c:tx>
            <c:strRef>
              <c:f>'Чарт ПБ 2022-2023'!$N$3</c:f>
              <c:strCache>
                <c:ptCount val="1"/>
                <c:pt idx="0">
                  <c:v>Чистые государственные привлечения, $ млрд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</c:spPr>
          <c:invertIfNegative val="0"/>
          <c:cat>
            <c:strRef>
              <c:f>'Чарт ПБ 2022-2023'!$O$32:$P$43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2022-2023'!$N$32:$N$43</c:f>
              <c:numCache>
                <c:formatCode>0.00</c:formatCode>
                <c:ptCount val="12"/>
                <c:pt idx="0">
                  <c:v>-0.501</c:v>
                </c:pt>
                <c:pt idx="1">
                  <c:v>-0.61599999999999999</c:v>
                </c:pt>
                <c:pt idx="2">
                  <c:v>2.64</c:v>
                </c:pt>
                <c:pt idx="3">
                  <c:v>0.79100000000000004</c:v>
                </c:pt>
                <c:pt idx="4">
                  <c:v>0.95599999999999996</c:v>
                </c:pt>
                <c:pt idx="5">
                  <c:v>1.73</c:v>
                </c:pt>
                <c:pt idx="6">
                  <c:v>-0.19600000000000001</c:v>
                </c:pt>
                <c:pt idx="7">
                  <c:v>1.4239999999999999</c:v>
                </c:pt>
                <c:pt idx="8">
                  <c:v>-0.17199999999999999</c:v>
                </c:pt>
                <c:pt idx="9">
                  <c:v>3.9</c:v>
                </c:pt>
                <c:pt idx="10">
                  <c:v>2.5019999999999998</c:v>
                </c:pt>
                <c:pt idx="11">
                  <c:v>1.325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8D-47FA-906E-22BBD2F5B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00973360"/>
        <c:axId val="1"/>
      </c:barChart>
      <c:lineChart>
        <c:grouping val="standard"/>
        <c:varyColors val="0"/>
        <c:ser>
          <c:idx val="6"/>
          <c:order val="3"/>
          <c:tx>
            <c:strRef>
              <c:f>'Чарт ПБ 2022-2023'!$F$3</c:f>
              <c:strCache>
                <c:ptCount val="1"/>
                <c:pt idx="0">
                  <c:v>Общий приток валюты, $ млрд</c:v>
                </c:pt>
              </c:strCache>
            </c:strRef>
          </c:tx>
          <c:spPr>
            <a:ln w="38100">
              <a:solidFill>
                <a:srgbClr val="002060"/>
              </a:solidFill>
              <a:prstDash val="solid"/>
            </a:ln>
          </c:spPr>
          <c:marker>
            <c:spPr>
              <a:solidFill>
                <a:schemeClr val="tx1"/>
              </a:solidFill>
              <a:ln>
                <a:solidFill>
                  <a:srgbClr val="002060"/>
                </a:solidFill>
              </a:ln>
            </c:spPr>
          </c:marker>
          <c:dLbls>
            <c:dLbl>
              <c:idx val="0"/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2F8D-47FA-906E-22BBD2F5BDC9}"/>
                </c:ext>
              </c:extLst>
            </c:dLbl>
            <c:dLbl>
              <c:idx val="1"/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2F8D-47FA-906E-22BBD2F5BDC9}"/>
                </c:ext>
              </c:extLst>
            </c:dLbl>
            <c:dLbl>
              <c:idx val="2"/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2F8D-47FA-906E-22BBD2F5BDC9}"/>
                </c:ext>
              </c:extLst>
            </c:dLbl>
            <c:dLbl>
              <c:idx val="3"/>
              <c:layout>
                <c:manualLayout>
                  <c:x val="-2.343369115094884E-2"/>
                  <c:y val="-3.5606120230527852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F8D-47FA-906E-22BBD2F5BDC9}"/>
                </c:ext>
              </c:extLst>
            </c:dLbl>
            <c:dLbl>
              <c:idx val="4"/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8-2F8D-47FA-906E-22BBD2F5BDC9}"/>
                </c:ext>
              </c:extLst>
            </c:dLbl>
            <c:dLbl>
              <c:idx val="5"/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9-2F8D-47FA-906E-22BBD2F5BDC9}"/>
                </c:ext>
              </c:extLst>
            </c:dLbl>
            <c:dLbl>
              <c:idx val="6"/>
              <c:layout>
                <c:manualLayout>
                  <c:x val="-1.7157110789814184E-3"/>
                  <c:y val="8.3069256817388474E-3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F8D-47FA-906E-22BBD2F5BDC9}"/>
                </c:ext>
              </c:extLst>
            </c:dLbl>
            <c:dLbl>
              <c:idx val="7"/>
              <c:numFmt formatCode="#,##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2F8D-47FA-906E-22BBD2F5BDC9}"/>
                </c:ext>
              </c:extLst>
            </c:dLbl>
            <c:dLbl>
              <c:idx val="8"/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C-2F8D-47FA-906E-22BBD2F5BDC9}"/>
                </c:ext>
              </c:extLst>
            </c:dLbl>
            <c:dLbl>
              <c:idx val="9"/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D-2F8D-47FA-906E-22BBD2F5BDC9}"/>
                </c:ext>
              </c:extLst>
            </c:dLbl>
            <c:dLbl>
              <c:idx val="10"/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2F8D-47FA-906E-22BBD2F5BDC9}"/>
                </c:ext>
              </c:extLst>
            </c:dLbl>
            <c:dLbl>
              <c:idx val="11"/>
              <c:layout>
                <c:manualLayout>
                  <c:x val="-2.749617698317185E-2"/>
                  <c:y val="-4.1879412503708857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F8D-47FA-906E-22BBD2F5BDC9}"/>
                </c:ext>
              </c:extLst>
            </c:dLbl>
            <c:numFmt formatCode="#,##0.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800" b="1" i="0" u="none" strike="noStrike" baseline="0">
                    <a:solidFill>
                      <a:srgbClr val="003366"/>
                    </a:solidFill>
                    <a:latin typeface="Montserrat"/>
                    <a:ea typeface="Montserrat"/>
                    <a:cs typeface="Montserrat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'Чарт ПБ 2022-2023'!$F$32:$F$43</c:f>
              <c:numCache>
                <c:formatCode>0.00</c:formatCode>
                <c:ptCount val="12"/>
                <c:pt idx="0">
                  <c:v>-1.762</c:v>
                </c:pt>
                <c:pt idx="1">
                  <c:v>-1.6579999999999999</c:v>
                </c:pt>
                <c:pt idx="2">
                  <c:v>0.67900000000000005</c:v>
                </c:pt>
                <c:pt idx="3">
                  <c:v>-0.86699999999999999</c:v>
                </c:pt>
                <c:pt idx="4">
                  <c:v>-1.921</c:v>
                </c:pt>
                <c:pt idx="5">
                  <c:v>-2.2200000000000002</c:v>
                </c:pt>
                <c:pt idx="6">
                  <c:v>-0.29899999999999999</c:v>
                </c:pt>
                <c:pt idx="7">
                  <c:v>3.105</c:v>
                </c:pt>
                <c:pt idx="8">
                  <c:v>-1.375</c:v>
                </c:pt>
                <c:pt idx="9">
                  <c:v>1.2509999999999999</c:v>
                </c:pt>
                <c:pt idx="10">
                  <c:v>2.4369999999999998</c:v>
                </c:pt>
                <c:pt idx="11">
                  <c:v>0.36199999999999999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2F8D-47FA-906E-22BBD2F5B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973360"/>
        <c:axId val="1"/>
      </c:lineChart>
      <c:lineChart>
        <c:grouping val="standard"/>
        <c:varyColors val="0"/>
        <c:ser>
          <c:idx val="0"/>
          <c:order val="5"/>
          <c:tx>
            <c:strRef>
              <c:f>'Чарт ПБ 2022-2023'!$Y$3</c:f>
              <c:strCache>
                <c:ptCount val="1"/>
                <c:pt idx="0">
                  <c:v>Курс</c:v>
                </c:pt>
              </c:strCache>
            </c:strRef>
          </c:tx>
          <c:spPr>
            <a:ln w="34925">
              <a:solidFill>
                <a:schemeClr val="accent3"/>
              </a:solidFill>
              <a:prstDash val="sysDot"/>
            </a:ln>
          </c:spPr>
          <c:marker>
            <c:symbol val="circle"/>
            <c:size val="12"/>
            <c:spPr>
              <a:solidFill>
                <a:schemeClr val="accent3">
                  <a:lumMod val="20000"/>
                  <a:lumOff val="80000"/>
                </a:schemeClr>
              </a:solidFill>
              <a:ln w="15875">
                <a:solidFill>
                  <a:schemeClr val="accent3"/>
                </a:solidFill>
                <a:prstDash val="sysDash"/>
              </a:ln>
            </c:spPr>
          </c:marker>
          <c:dLbls>
            <c:dLbl>
              <c:idx val="0"/>
              <c:layout>
                <c:manualLayout>
                  <c:x val="-3.5862766319291577E-2"/>
                  <c:y val="-4.1919367028030036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1" i="0" u="none" strike="noStrike" baseline="0">
                      <a:solidFill>
                        <a:srgbClr val="FF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F8D-47FA-906E-22BBD2F5BDC9}"/>
                </c:ext>
              </c:extLst>
            </c:dLbl>
            <c:dLbl>
              <c:idx val="11"/>
              <c:layout>
                <c:manualLayout>
                  <c:x val="-3.3989020738295177E-2"/>
                  <c:y val="-3.8125974953592455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1" i="0" u="none" strike="noStrike" baseline="0">
                      <a:solidFill>
                        <a:srgbClr val="FF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2F8D-47FA-906E-22BBD2F5BDC9}"/>
                </c:ext>
              </c:extLst>
            </c:dLbl>
            <c:numFmt formatCode="#,##0.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 i="0" u="none" strike="noStrike" baseline="0">
                    <a:solidFill>
                      <a:srgbClr val="FF0000"/>
                    </a:solidFill>
                    <a:latin typeface="Montserrat"/>
                    <a:ea typeface="Montserrat"/>
                    <a:cs typeface="Montserra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'Чарт ПБ 2022-2023'!$Y$32:$Y$43</c:f>
              <c:numCache>
                <c:formatCode>_-* #\ ##0.0_-;\-* #\ ##0.0_-;_-* "-"??_-;_-@_-</c:formatCode>
                <c:ptCount val="12"/>
                <c:pt idx="0">
                  <c:v>27.981270967741931</c:v>
                </c:pt>
                <c:pt idx="1">
                  <c:v>28.413664285714287</c:v>
                </c:pt>
                <c:pt idx="2">
                  <c:v>29.254900000000013</c:v>
                </c:pt>
                <c:pt idx="3">
                  <c:v>29.254900000000013</c:v>
                </c:pt>
                <c:pt idx="4">
                  <c:v>29.254900000000013</c:v>
                </c:pt>
                <c:pt idx="5">
                  <c:v>29.254900000000013</c:v>
                </c:pt>
                <c:pt idx="6">
                  <c:v>31.850083870967769</c:v>
                </c:pt>
                <c:pt idx="7">
                  <c:v>36.568600000000032</c:v>
                </c:pt>
                <c:pt idx="8">
                  <c:v>36.568600000000032</c:v>
                </c:pt>
                <c:pt idx="9">
                  <c:v>36.568600000000032</c:v>
                </c:pt>
                <c:pt idx="10">
                  <c:v>36.568600000000032</c:v>
                </c:pt>
                <c:pt idx="11">
                  <c:v>36.568600000000032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2F8D-47FA-906E-22BBD2F5B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000973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Montserrat"/>
                <a:ea typeface="Montserrat"/>
                <a:cs typeface="Montserrat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Montserrat"/>
                <a:ea typeface="Montserrat"/>
                <a:cs typeface="Montserrat"/>
              </a:defRPr>
            </a:pPr>
            <a:endParaRPr lang="en-US"/>
          </a:p>
        </c:txPr>
        <c:crossAx val="200097336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_-* #\ ##0.0_-;\-* #\ ##0.0_-;_-* &quot;-&quot;??_-;_-@_-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 sz="16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4327753554858877"/>
          <c:y val="0.19152276295133439"/>
          <c:w val="0.25672246445141123"/>
          <c:h val="0.740973312401883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300" b="1" i="0" u="none" strike="noStrike" baseline="0">
              <a:solidFill>
                <a:srgbClr val="000000"/>
              </a:solidFill>
              <a:latin typeface="Montserrat"/>
              <a:ea typeface="Montserrat"/>
              <a:cs typeface="Montserra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2800" b="1" i="0" u="none" strike="noStrike" baseline="0">
                <a:solidFill>
                  <a:schemeClr val="accent1"/>
                </a:solidFill>
                <a:latin typeface="Montserrat"/>
                <a:ea typeface="Montserrat"/>
                <a:cs typeface="Montserrat"/>
              </a:defRPr>
            </a:pPr>
            <a:r>
              <a:rPr lang="uk-UA">
                <a:solidFill>
                  <a:schemeClr val="accent1"/>
                </a:solidFill>
              </a:rPr>
              <a:t>Платежный баланс Украины на 202</a:t>
            </a:r>
            <a:r>
              <a:rPr lang="en-US">
                <a:solidFill>
                  <a:schemeClr val="accent1"/>
                </a:solidFill>
              </a:rPr>
              <a:t>3</a:t>
            </a:r>
            <a:r>
              <a:rPr lang="uk-UA">
                <a:solidFill>
                  <a:schemeClr val="accent1"/>
                </a:solidFill>
              </a:rPr>
              <a:t> год , $ млрд</a:t>
            </a:r>
          </a:p>
        </c:rich>
      </c:tx>
      <c:layout>
        <c:manualLayout>
          <c:xMode val="edge"/>
          <c:yMode val="edge"/>
          <c:x val="2.1819363701480451E-2"/>
          <c:y val="2.473519891898944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504106920090269E-2"/>
          <c:y val="0.21107965793602443"/>
          <c:w val="0.69455181377660358"/>
          <c:h val="0.69690894388093128"/>
        </c:manualLayout>
      </c:layout>
      <c:areaChart>
        <c:grouping val="standard"/>
        <c:varyColors val="0"/>
        <c:ser>
          <c:idx val="7"/>
          <c:order val="4"/>
          <c:tx>
            <c:strRef>
              <c:f>'Чарт ПБ 2022-2023'!$C$3</c:f>
              <c:strCache>
                <c:ptCount val="1"/>
                <c:pt idx="0">
                  <c:v>Динамика резервов, $ млрд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</c:spPr>
          <c:val>
            <c:numRef>
              <c:f>'Чарт ПБ 2022-2023'!$C$47:$C$58</c:f>
              <c:numCache>
                <c:formatCode>_-* #\ ##0.00_₴_-;\-* #\ ##0.00_₴_-;_-* "-"??_₴_-;_-@_-</c:formatCode>
                <c:ptCount val="12"/>
                <c:pt idx="0">
                  <c:v>1.4342100000000002</c:v>
                </c:pt>
                <c:pt idx="1">
                  <c:v>-1.0585699999999996</c:v>
                </c:pt>
                <c:pt idx="2">
                  <c:v>3.0170899999999996</c:v>
                </c:pt>
                <c:pt idx="3">
                  <c:v>4.0657899999999998</c:v>
                </c:pt>
                <c:pt idx="4">
                  <c:v>1.3689099999999996</c:v>
                </c:pt>
                <c:pt idx="5">
                  <c:v>1.7051200000000009</c:v>
                </c:pt>
                <c:pt idx="6">
                  <c:v>2.7110000000000056</c:v>
                </c:pt>
                <c:pt idx="7">
                  <c:v>-1.3323500000000124</c:v>
                </c:pt>
                <c:pt idx="8">
                  <c:v>-0.68241999999999337</c:v>
                </c:pt>
                <c:pt idx="9">
                  <c:v>-0.7355800000000059</c:v>
                </c:pt>
                <c:pt idx="10">
                  <c:v>-0.19114999999999327</c:v>
                </c:pt>
                <c:pt idx="11">
                  <c:v>1.7118299999999991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D-49C1-833C-549C8183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971280"/>
        <c:axId val="1"/>
      </c:areaChart>
      <c:barChart>
        <c:barDir val="col"/>
        <c:grouping val="clustered"/>
        <c:varyColors val="0"/>
        <c:ser>
          <c:idx val="1"/>
          <c:order val="0"/>
          <c:tx>
            <c:strRef>
              <c:f>'Чарт ПБ 2022-2023'!$H$3</c:f>
              <c:strCache>
                <c:ptCount val="1"/>
                <c:pt idx="0">
                  <c:v>Счет текущих операций, $ млрд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'Чарт ПБ 2022-2023'!$O$47:$P$58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2022-2023'!$H$47:$H$58</c:f>
              <c:numCache>
                <c:formatCode>0.00</c:formatCode>
                <c:ptCount val="12"/>
                <c:pt idx="0">
                  <c:v>-1.135</c:v>
                </c:pt>
                <c:pt idx="1">
                  <c:v>-0.70499999999999996</c:v>
                </c:pt>
                <c:pt idx="2">
                  <c:v>-1.0999999999999999E-2</c:v>
                </c:pt>
                <c:pt idx="3">
                  <c:v>0.13100000000000001</c:v>
                </c:pt>
                <c:pt idx="4">
                  <c:v>-0.22600000000000001</c:v>
                </c:pt>
                <c:pt idx="5">
                  <c:v>-0.16200000000000001</c:v>
                </c:pt>
                <c:pt idx="6">
                  <c:v>-0.998</c:v>
                </c:pt>
                <c:pt idx="7">
                  <c:v>-2.391</c:v>
                </c:pt>
                <c:pt idx="8">
                  <c:v>-1.03</c:v>
                </c:pt>
                <c:pt idx="9">
                  <c:v>-0.91200000000000003</c:v>
                </c:pt>
                <c:pt idx="10">
                  <c:v>-1.5129999999999999</c:v>
                </c:pt>
                <c:pt idx="11">
                  <c:v>-2.0619064704889984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AD-49C1-833C-549C81836257}"/>
            </c:ext>
          </c:extLst>
        </c:ser>
        <c:ser>
          <c:idx val="4"/>
          <c:order val="1"/>
          <c:tx>
            <c:strRef>
              <c:f>'Чарт ПБ 2022-2023'!$M$3</c:f>
              <c:strCache>
                <c:ptCount val="1"/>
                <c:pt idx="0">
                  <c:v>Сальдо инвестиций частного сектора, $ млрд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'Чарт ПБ 2022-2023'!$O$47:$P$58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2022-2023'!$M$47:$M$58</c:f>
              <c:numCache>
                <c:formatCode>0.00</c:formatCode>
                <c:ptCount val="12"/>
                <c:pt idx="0">
                  <c:v>1.052</c:v>
                </c:pt>
                <c:pt idx="1">
                  <c:v>0.39600000000000002</c:v>
                </c:pt>
                <c:pt idx="2">
                  <c:v>-5.5E-2</c:v>
                </c:pt>
                <c:pt idx="3">
                  <c:v>0.254</c:v>
                </c:pt>
                <c:pt idx="4">
                  <c:v>0.129</c:v>
                </c:pt>
                <c:pt idx="5">
                  <c:v>0.69199999999999995</c:v>
                </c:pt>
                <c:pt idx="6">
                  <c:v>-0.37</c:v>
                </c:pt>
                <c:pt idx="7">
                  <c:v>0.28000000000000003</c:v>
                </c:pt>
                <c:pt idx="8">
                  <c:v>0.36099999999999999</c:v>
                </c:pt>
                <c:pt idx="9">
                  <c:v>1.4019999999999999</c:v>
                </c:pt>
                <c:pt idx="10">
                  <c:v>0.72399999999999998</c:v>
                </c:pt>
                <c:pt idx="11">
                  <c:v>1.6871736069111567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AAD-49C1-833C-549C81836257}"/>
            </c:ext>
          </c:extLst>
        </c:ser>
        <c:ser>
          <c:idx val="5"/>
          <c:order val="2"/>
          <c:tx>
            <c:strRef>
              <c:f>'Чарт ПБ 2022-2023'!$N$3</c:f>
              <c:strCache>
                <c:ptCount val="1"/>
                <c:pt idx="0">
                  <c:v>Чистые государственные привлечения, $ млрд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</c:spPr>
          <c:invertIfNegative val="0"/>
          <c:cat>
            <c:strRef>
              <c:f>'Чарт ПБ 2022-2023'!$O$47:$P$58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2022-2023'!$N$47:$N$58</c:f>
              <c:numCache>
                <c:formatCode>0.00</c:formatCode>
                <c:ptCount val="12"/>
                <c:pt idx="0">
                  <c:v>3.383</c:v>
                </c:pt>
                <c:pt idx="1">
                  <c:v>0.219</c:v>
                </c:pt>
                <c:pt idx="2">
                  <c:v>2.7090000000000001</c:v>
                </c:pt>
                <c:pt idx="3">
                  <c:v>4.1219999999999999</c:v>
                </c:pt>
                <c:pt idx="4">
                  <c:v>1.879</c:v>
                </c:pt>
                <c:pt idx="5">
                  <c:v>2.5339999999999998</c:v>
                </c:pt>
                <c:pt idx="6">
                  <c:v>3.194</c:v>
                </c:pt>
                <c:pt idx="7">
                  <c:v>1.367</c:v>
                </c:pt>
                <c:pt idx="8">
                  <c:v>0.77600000000000002</c:v>
                </c:pt>
                <c:pt idx="9">
                  <c:v>1.458</c:v>
                </c:pt>
                <c:pt idx="10">
                  <c:v>1.873</c:v>
                </c:pt>
                <c:pt idx="11">
                  <c:v>4.8955691298504718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AAD-49C1-833C-549C8183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00971280"/>
        <c:axId val="1"/>
      </c:barChart>
      <c:lineChart>
        <c:grouping val="standard"/>
        <c:varyColors val="0"/>
        <c:ser>
          <c:idx val="6"/>
          <c:order val="3"/>
          <c:tx>
            <c:strRef>
              <c:f>'Чарт ПБ 2022-2023'!$F$3</c:f>
              <c:strCache>
                <c:ptCount val="1"/>
                <c:pt idx="0">
                  <c:v>Общий приток валюты, $ млрд</c:v>
                </c:pt>
              </c:strCache>
            </c:strRef>
          </c:tx>
          <c:spPr>
            <a:ln w="38100">
              <a:solidFill>
                <a:srgbClr val="002060"/>
              </a:solidFill>
              <a:prstDash val="solid"/>
            </a:ln>
          </c:spPr>
          <c:marker>
            <c:spPr>
              <a:solidFill>
                <a:schemeClr val="tx1"/>
              </a:solidFill>
              <a:ln>
                <a:solidFill>
                  <a:srgbClr val="002060"/>
                </a:solidFill>
              </a:ln>
            </c:spPr>
          </c:marker>
          <c:dLbls>
            <c:dLbl>
              <c:idx val="0"/>
              <c:layout>
                <c:manualLayout>
                  <c:x val="-2.8019292341420639E-2"/>
                  <c:y val="-3.5535609145601693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AAD-49C1-833C-549C81836257}"/>
                </c:ext>
              </c:extLst>
            </c:dLbl>
            <c:dLbl>
              <c:idx val="1"/>
              <c:layout>
                <c:manualLayout>
                  <c:x val="-2.7231819156471708E-2"/>
                  <c:y val="-6.2666042442120318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AAD-49C1-833C-549C81836257}"/>
                </c:ext>
              </c:extLst>
            </c:dLbl>
            <c:dLbl>
              <c:idx val="2"/>
              <c:layout>
                <c:manualLayout>
                  <c:x val="-4.6357195646284993E-3"/>
                  <c:y val="8.1703521714286912E-3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AAD-49C1-833C-549C81836257}"/>
                </c:ext>
              </c:extLst>
            </c:dLbl>
            <c:dLbl>
              <c:idx val="3"/>
              <c:layout>
                <c:manualLayout>
                  <c:x val="-2.1698891256223738E-2"/>
                  <c:y val="-4.1796478367875201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AAD-49C1-833C-549C81836257}"/>
                </c:ext>
              </c:extLst>
            </c:dLbl>
            <c:dLbl>
              <c:idx val="4"/>
              <c:layout>
                <c:manualLayout>
                  <c:x val="-2.1402327179754016E-2"/>
                  <c:y val="-3.7622565553026191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AAD-49C1-833C-549C81836257}"/>
                </c:ext>
              </c:extLst>
            </c:dLbl>
            <c:dLbl>
              <c:idx val="5"/>
              <c:layout>
                <c:manualLayout>
                  <c:x val="-3.6351158464880184E-2"/>
                  <c:y val="-5.8608191898858214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AAD-49C1-833C-549C81836257}"/>
                </c:ext>
              </c:extLst>
            </c:dLbl>
            <c:dLbl>
              <c:idx val="6"/>
              <c:layout>
                <c:manualLayout>
                  <c:x val="-2.9434145649038856E-2"/>
                  <c:y val="-3.7622565553026156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AAD-49C1-833C-549C81836257}"/>
                </c:ext>
              </c:extLst>
            </c:dLbl>
            <c:dLbl>
              <c:idx val="7"/>
              <c:numFmt formatCode="#,##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B-0AAD-49C1-833C-549C81836257}"/>
                </c:ext>
              </c:extLst>
            </c:dLbl>
            <c:dLbl>
              <c:idx val="8"/>
              <c:layout>
                <c:manualLayout>
                  <c:x val="-4.9549393326749937E-2"/>
                  <c:y val="-5.4198257900814353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AAD-49C1-833C-549C81836257}"/>
                </c:ext>
              </c:extLst>
            </c:dLbl>
            <c:dLbl>
              <c:idx val="9"/>
              <c:layout>
                <c:manualLayout>
                  <c:x val="-3.1261931819769002E-2"/>
                  <c:y val="-4.1879412503708816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AAD-49C1-833C-549C81836257}"/>
                </c:ext>
              </c:extLst>
            </c:dLbl>
            <c:dLbl>
              <c:idx val="10"/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0AAD-49C1-833C-549C81836257}"/>
                </c:ext>
              </c:extLst>
            </c:dLbl>
            <c:dLbl>
              <c:idx val="11"/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F-0AAD-49C1-833C-549C81836257}"/>
                </c:ext>
              </c:extLst>
            </c:dLbl>
            <c:numFmt formatCode="#,##0.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800" b="1" i="0" u="none" strike="noStrike" baseline="0">
                    <a:solidFill>
                      <a:srgbClr val="003366"/>
                    </a:solidFill>
                    <a:latin typeface="Montserrat"/>
                    <a:ea typeface="Montserrat"/>
                    <a:cs typeface="Montserrat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'Чарт ПБ 2022-2023'!$F$47:$F$58</c:f>
              <c:numCache>
                <c:formatCode>0.00</c:formatCode>
                <c:ptCount val="12"/>
                <c:pt idx="0">
                  <c:v>1.208</c:v>
                </c:pt>
                <c:pt idx="1">
                  <c:v>-0.85599999999999998</c:v>
                </c:pt>
                <c:pt idx="2">
                  <c:v>2.7650000000000001</c:v>
                </c:pt>
                <c:pt idx="3">
                  <c:v>4.0209999999999999</c:v>
                </c:pt>
                <c:pt idx="4">
                  <c:v>1.5329999999999999</c:v>
                </c:pt>
                <c:pt idx="5">
                  <c:v>1.6879999999999999</c:v>
                </c:pt>
                <c:pt idx="6">
                  <c:v>2.5790000000000002</c:v>
                </c:pt>
                <c:pt idx="7">
                  <c:v>-1.2969999999999999</c:v>
                </c:pt>
                <c:pt idx="8">
                  <c:v>-0.60899999999999999</c:v>
                </c:pt>
                <c:pt idx="9">
                  <c:v>-0.84699999999999998</c:v>
                </c:pt>
                <c:pt idx="10">
                  <c:v>-0.35499999999999998</c:v>
                </c:pt>
                <c:pt idx="11">
                  <c:v>1.1464890524503166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0AAD-49C1-833C-549C8183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971280"/>
        <c:axId val="1"/>
      </c:lineChart>
      <c:lineChart>
        <c:grouping val="standard"/>
        <c:varyColors val="0"/>
        <c:ser>
          <c:idx val="0"/>
          <c:order val="5"/>
          <c:tx>
            <c:strRef>
              <c:f>'Чарт ПБ 2022-2023'!$Y$46</c:f>
              <c:strCache>
                <c:ptCount val="1"/>
                <c:pt idx="0">
                  <c:v>Обменный курс</c:v>
                </c:pt>
              </c:strCache>
            </c:strRef>
          </c:tx>
          <c:spPr>
            <a:ln w="34925">
              <a:solidFill>
                <a:schemeClr val="accent3"/>
              </a:solidFill>
              <a:prstDash val="sysDot"/>
            </a:ln>
          </c:spPr>
          <c:marker>
            <c:symbol val="circle"/>
            <c:size val="12"/>
            <c:spPr>
              <a:solidFill>
                <a:schemeClr val="accent3">
                  <a:lumMod val="20000"/>
                  <a:lumOff val="80000"/>
                </a:schemeClr>
              </a:solidFill>
              <a:ln w="15875">
                <a:solidFill>
                  <a:schemeClr val="accent3"/>
                </a:solidFill>
                <a:prstDash val="sysDash"/>
              </a:ln>
            </c:spPr>
          </c:marker>
          <c:dLbls>
            <c:dLbl>
              <c:idx val="0"/>
              <c:layout>
                <c:manualLayout>
                  <c:x val="-3.5862766319291577E-2"/>
                  <c:y val="-4.1919367028030036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1" i="0" u="none" strike="noStrike" baseline="0">
                      <a:solidFill>
                        <a:schemeClr val="accent3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AAD-49C1-833C-549C81836257}"/>
                </c:ext>
              </c:extLst>
            </c:dLbl>
            <c:dLbl>
              <c:idx val="6"/>
              <c:layout>
                <c:manualLayout>
                  <c:x val="-3.3777273936194487E-2"/>
                  <c:y val="3.37825657633651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5C5-41BF-BDAD-33FFC9DFAC92}"/>
                </c:ext>
              </c:extLst>
            </c:dLbl>
            <c:dLbl>
              <c:idx val="7"/>
              <c:layout>
                <c:manualLayout>
                  <c:x val="-3.3777273936194487E-2"/>
                  <c:y val="3.58695221707896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C5-41BF-BDAD-33FFC9DFAC92}"/>
                </c:ext>
              </c:extLst>
            </c:dLbl>
            <c:dLbl>
              <c:idx val="8"/>
              <c:layout>
                <c:manualLayout>
                  <c:x val="-3.3777273936194487E-2"/>
                  <c:y val="3.58695221707896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5C5-41BF-BDAD-33FFC9DFAC92}"/>
                </c:ext>
              </c:extLst>
            </c:dLbl>
            <c:dLbl>
              <c:idx val="9"/>
              <c:layout>
                <c:manualLayout>
                  <c:x val="-3.3777273936194487E-2"/>
                  <c:y val="3.378256576336510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C5-41BF-BDAD-33FFC9DFAC92}"/>
                </c:ext>
              </c:extLst>
            </c:dLbl>
            <c:dLbl>
              <c:idx val="10"/>
              <c:layout>
                <c:manualLayout>
                  <c:x val="-3.3777273936194487E-2"/>
                  <c:y val="3.586952217078961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5C5-41BF-BDAD-33FFC9DFAC92}"/>
                </c:ext>
              </c:extLst>
            </c:dLbl>
            <c:dLbl>
              <c:idx val="11"/>
              <c:layout>
                <c:manualLayout>
                  <c:x val="-3.3989013385433649E-2"/>
                  <c:y val="3.074366144505776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1" i="0" u="none" strike="noStrike" baseline="0">
                      <a:solidFill>
                        <a:schemeClr val="accent3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AAD-49C1-833C-549C81836257}"/>
                </c:ext>
              </c:extLst>
            </c:dLbl>
            <c:numFmt formatCode="#,##0.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 i="0" u="none" strike="noStrike" baseline="0">
                    <a:solidFill>
                      <a:schemeClr val="accent3"/>
                    </a:solidFill>
                    <a:latin typeface="Montserrat"/>
                    <a:ea typeface="Montserrat"/>
                    <a:cs typeface="Montserra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'Чарт ПБ 2022-2023'!$Y$47:$Y$58</c:f>
              <c:numCache>
                <c:formatCode>_-* #\ ##0.0_-;\-* #\ ##0.0_-;_-* "-"??_-;_-@_-</c:formatCode>
                <c:ptCount val="12"/>
                <c:pt idx="0">
                  <c:v>36.568600000000032</c:v>
                </c:pt>
                <c:pt idx="1">
                  <c:v>36.568600000000025</c:v>
                </c:pt>
                <c:pt idx="2">
                  <c:v>36.568600000000032</c:v>
                </c:pt>
                <c:pt idx="3">
                  <c:v>36.568600000000032</c:v>
                </c:pt>
                <c:pt idx="4">
                  <c:v>36.568600000000032</c:v>
                </c:pt>
                <c:pt idx="5">
                  <c:v>36.568600000000032</c:v>
                </c:pt>
                <c:pt idx="6">
                  <c:v>36.568600000000032</c:v>
                </c:pt>
                <c:pt idx="7">
                  <c:v>36.568600000000032</c:v>
                </c:pt>
                <c:pt idx="8">
                  <c:v>36.568600000000032</c:v>
                </c:pt>
                <c:pt idx="9">
                  <c:v>36.51895161290323</c:v>
                </c:pt>
                <c:pt idx="10">
                  <c:v>36.155420000000007</c:v>
                </c:pt>
                <c:pt idx="11">
                  <c:v>37.093925806451622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0AAD-49C1-833C-549C81836257}"/>
            </c:ext>
          </c:extLst>
        </c:ser>
        <c:ser>
          <c:idx val="2"/>
          <c:order val="6"/>
          <c:tx>
            <c:strRef>
              <c:f>'Чарт ПБ 2022-2023'!$Z$46</c:f>
              <c:strCache>
                <c:ptCount val="1"/>
                <c:pt idx="0">
                  <c:v>Обменный курс</c:v>
                </c:pt>
              </c:strCache>
            </c:strRef>
          </c:tx>
          <c:spPr>
            <a:ln w="34925">
              <a:solidFill>
                <a:schemeClr val="accent6"/>
              </a:solidFill>
              <a:prstDash val="sysDot"/>
            </a:ln>
          </c:spPr>
          <c:marker>
            <c:symbol val="circle"/>
            <c:size val="12"/>
            <c:spPr>
              <a:solidFill>
                <a:schemeClr val="accent6">
                  <a:lumMod val="20000"/>
                  <a:lumOff val="80000"/>
                </a:schemeClr>
              </a:solidFill>
              <a:ln w="15875">
                <a:solidFill>
                  <a:schemeClr val="accent6"/>
                </a:solidFill>
                <a:prstDash val="sysDash"/>
              </a:ln>
            </c:spPr>
          </c:marker>
          <c:dLbls>
            <c:numFmt formatCode="#,##0.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chemeClr val="accent6"/>
                    </a:solidFill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'Чарт ПБ 2022-2023'!$Z$47:$Z$58</c:f>
              <c:numCache>
                <c:formatCode>_-* #\ ##0.0_-;\-* #\ ##0.0_-;_-* "-"??_-;_-@_-</c:formatCode>
                <c:ptCount val="12"/>
                <c:pt idx="0">
                  <c:v>36.568600000000032</c:v>
                </c:pt>
                <c:pt idx="1">
                  <c:v>36.568600000000025</c:v>
                </c:pt>
                <c:pt idx="2">
                  <c:v>36.568600000000032</c:v>
                </c:pt>
                <c:pt idx="3">
                  <c:v>36.568600000000032</c:v>
                </c:pt>
                <c:pt idx="4">
                  <c:v>36.568600000000032</c:v>
                </c:pt>
                <c:pt idx="5">
                  <c:v>36.568600000000032</c:v>
                </c:pt>
                <c:pt idx="6">
                  <c:v>36.568600000000032</c:v>
                </c:pt>
                <c:pt idx="7">
                  <c:v>36.568600000000032</c:v>
                </c:pt>
                <c:pt idx="8">
                  <c:v>36.568600000000032</c:v>
                </c:pt>
                <c:pt idx="9">
                  <c:v>36.51895161290323</c:v>
                </c:pt>
                <c:pt idx="10">
                  <c:v>36.155420000000007</c:v>
                </c:pt>
                <c:pt idx="11">
                  <c:v>37.093925806451622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0AAD-49C1-833C-549C81836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000971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Montserrat"/>
                <a:ea typeface="Montserrat"/>
                <a:cs typeface="Montserrat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Montserrat"/>
                <a:ea typeface="Montserrat"/>
                <a:cs typeface="Montserrat"/>
              </a:defRPr>
            </a:pPr>
            <a:endParaRPr lang="en-US"/>
          </a:p>
        </c:txPr>
        <c:crossAx val="200097128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_-* #\ ##0.0_-;\-* #\ ##0.0_-;_-* &quot;-&quot;??_-;_-@_-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 sz="16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3509107856446243"/>
          <c:y val="0.20825162844222508"/>
          <c:w val="0.26490892143553757"/>
          <c:h val="0.785744510195439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300" b="1" i="0" u="none" strike="noStrike" baseline="0">
              <a:solidFill>
                <a:srgbClr val="000000"/>
              </a:solidFill>
              <a:latin typeface="Montserrat"/>
              <a:ea typeface="Montserrat"/>
              <a:cs typeface="Montserra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2800" b="1" i="0" u="none" strike="noStrike" baseline="0">
                <a:solidFill>
                  <a:schemeClr val="accent1"/>
                </a:solidFill>
                <a:latin typeface="Montserrat"/>
                <a:ea typeface="Montserrat"/>
                <a:cs typeface="Montserrat"/>
              </a:defRPr>
            </a:pPr>
            <a:r>
              <a:rPr lang="uk-UA">
                <a:solidFill>
                  <a:schemeClr val="accent1"/>
                </a:solidFill>
              </a:rPr>
              <a:t>Платежный баланс Украины на 202</a:t>
            </a:r>
            <a:r>
              <a:rPr lang="en-US">
                <a:solidFill>
                  <a:schemeClr val="accent1"/>
                </a:solidFill>
              </a:rPr>
              <a:t>3</a:t>
            </a:r>
            <a:r>
              <a:rPr lang="uk-UA">
                <a:solidFill>
                  <a:schemeClr val="accent1"/>
                </a:solidFill>
              </a:rPr>
              <a:t> год , $ млрд</a:t>
            </a:r>
          </a:p>
        </c:rich>
      </c:tx>
      <c:layout>
        <c:manualLayout>
          <c:xMode val="edge"/>
          <c:yMode val="edge"/>
          <c:x val="2.1819363701480451E-2"/>
          <c:y val="2.473519891898944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3.6504106920090269E-2"/>
          <c:y val="0.21107965793602443"/>
          <c:w val="0.69455181377660358"/>
          <c:h val="0.69690894388093128"/>
        </c:manualLayout>
      </c:layout>
      <c:areaChart>
        <c:grouping val="standard"/>
        <c:varyColors val="0"/>
        <c:ser>
          <c:idx val="7"/>
          <c:order val="4"/>
          <c:tx>
            <c:strRef>
              <c:f>'Чарт ПБ 2022-2024'!$C$3</c:f>
              <c:strCache>
                <c:ptCount val="1"/>
                <c:pt idx="0">
                  <c:v>Динамика резервов, $ млрд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 w="25400">
              <a:noFill/>
            </a:ln>
          </c:spPr>
          <c:val>
            <c:numRef>
              <c:f>'Чарт ПБ 2022-2024'!$C$47:$C$58</c:f>
              <c:numCache>
                <c:formatCode>_-* #\ ##0.00_₴_-;\-* #\ ##0.00_₴_-;_-* "-"??_₴_-;_-@_-</c:formatCode>
                <c:ptCount val="12"/>
                <c:pt idx="0">
                  <c:v>-3.1840338510662036E-2</c:v>
                </c:pt>
                <c:pt idx="1">
                  <c:v>-0.36046392316639242</c:v>
                </c:pt>
                <c:pt idx="2">
                  <c:v>0.60015502338097804</c:v>
                </c:pt>
                <c:pt idx="3">
                  <c:v>0.46962927834814394</c:v>
                </c:pt>
                <c:pt idx="4">
                  <c:v>0.42363000878069101</c:v>
                </c:pt>
                <c:pt idx="5">
                  <c:v>1.7584696196182747</c:v>
                </c:pt>
                <c:pt idx="6">
                  <c:v>0.9796525865569663</c:v>
                </c:pt>
                <c:pt idx="7">
                  <c:v>1.6578326831319856</c:v>
                </c:pt>
                <c:pt idx="8">
                  <c:v>2.0729500150886579</c:v>
                </c:pt>
                <c:pt idx="9">
                  <c:v>1.2114631398842306</c:v>
                </c:pt>
                <c:pt idx="10">
                  <c:v>1.3552828105654129</c:v>
                </c:pt>
                <c:pt idx="11">
                  <c:v>2.7986423722173868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4F-4B5A-8ABD-86D2BC074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969200"/>
        <c:axId val="1"/>
      </c:areaChart>
      <c:barChart>
        <c:barDir val="col"/>
        <c:grouping val="clustered"/>
        <c:varyColors val="0"/>
        <c:ser>
          <c:idx val="1"/>
          <c:order val="0"/>
          <c:tx>
            <c:strRef>
              <c:f>'Чарт ПБ 2022-2024'!$H$3</c:f>
              <c:strCache>
                <c:ptCount val="1"/>
                <c:pt idx="0">
                  <c:v>Счет текущих операций, $ млрд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</c:spPr>
          <c:invertIfNegative val="0"/>
          <c:cat>
            <c:strRef>
              <c:f>'Чарт ПБ 2022-2024'!$O$47:$P$58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2022-2024'!$H$47:$H$58</c:f>
              <c:numCache>
                <c:formatCode>0.00</c:formatCode>
                <c:ptCount val="12"/>
                <c:pt idx="0">
                  <c:v>-0.96890596745869528</c:v>
                </c:pt>
                <c:pt idx="1">
                  <c:v>-1.0312846644640989</c:v>
                </c:pt>
                <c:pt idx="2">
                  <c:v>-1.1418543699472345</c:v>
                </c:pt>
                <c:pt idx="3">
                  <c:v>-0.63527243472870487</c:v>
                </c:pt>
                <c:pt idx="4">
                  <c:v>-0.94928253298539467</c:v>
                </c:pt>
                <c:pt idx="5">
                  <c:v>-1.0379411330530135</c:v>
                </c:pt>
                <c:pt idx="6">
                  <c:v>-1.2752105313295232</c:v>
                </c:pt>
                <c:pt idx="7">
                  <c:v>-0.40897078984909263</c:v>
                </c:pt>
                <c:pt idx="8">
                  <c:v>-0.69992439374807192</c:v>
                </c:pt>
                <c:pt idx="9">
                  <c:v>-0.39959536917299576</c:v>
                </c:pt>
                <c:pt idx="10">
                  <c:v>-0.2619028325420536</c:v>
                </c:pt>
                <c:pt idx="11">
                  <c:v>-0.41598966648809665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4F-4B5A-8ABD-86D2BC074D54}"/>
            </c:ext>
          </c:extLst>
        </c:ser>
        <c:ser>
          <c:idx val="4"/>
          <c:order val="1"/>
          <c:tx>
            <c:strRef>
              <c:f>'Чарт ПБ 2022-2024'!$M$3</c:f>
              <c:strCache>
                <c:ptCount val="1"/>
                <c:pt idx="0">
                  <c:v>Сальдо инвестиций частного сектора, $ млрд</c:v>
                </c:pt>
              </c:strCache>
            </c:strRef>
          </c:tx>
          <c:spPr>
            <a:solidFill>
              <a:schemeClr val="accent1"/>
            </a:solidFill>
          </c:spPr>
          <c:invertIfNegative val="0"/>
          <c:cat>
            <c:strRef>
              <c:f>'Чарт ПБ 2022-2024'!$O$47:$P$58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2022-2024'!$M$47:$M$58</c:f>
              <c:numCache>
                <c:formatCode>0.00</c:formatCode>
                <c:ptCount val="12"/>
                <c:pt idx="0">
                  <c:v>1.0426693844210224</c:v>
                </c:pt>
                <c:pt idx="1">
                  <c:v>0.94665619524383815</c:v>
                </c:pt>
                <c:pt idx="2">
                  <c:v>1.3122188160036325</c:v>
                </c:pt>
                <c:pt idx="3">
                  <c:v>0.39507903231262353</c:v>
                </c:pt>
                <c:pt idx="4">
                  <c:v>0.69006397758901572</c:v>
                </c:pt>
                <c:pt idx="5">
                  <c:v>0.40553427783507573</c:v>
                </c:pt>
                <c:pt idx="6">
                  <c:v>0.12307613394045495</c:v>
                </c:pt>
                <c:pt idx="7">
                  <c:v>-0.53272729646689809</c:v>
                </c:pt>
                <c:pt idx="8">
                  <c:v>-5.0323120586813902E-2</c:v>
                </c:pt>
                <c:pt idx="9">
                  <c:v>-0.15604013729351013</c:v>
                </c:pt>
                <c:pt idx="10">
                  <c:v>0.111747246161276</c:v>
                </c:pt>
                <c:pt idx="11">
                  <c:v>0.1958261901767728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4F-4B5A-8ABD-86D2BC074D54}"/>
            </c:ext>
          </c:extLst>
        </c:ser>
        <c:ser>
          <c:idx val="5"/>
          <c:order val="2"/>
          <c:tx>
            <c:strRef>
              <c:f>'Чарт ПБ 2022-2024'!$N$3</c:f>
              <c:strCache>
                <c:ptCount val="1"/>
                <c:pt idx="0">
                  <c:v>Чистые государственные привлечения, $ млрд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</c:spPr>
          <c:invertIfNegative val="0"/>
          <c:cat>
            <c:strRef>
              <c:f>'Чарт ПБ 2022-2024'!$O$47:$P$58</c:f>
              <c:strCache>
                <c:ptCount val="12"/>
                <c:pt idx="0">
                  <c:v>1М</c:v>
                </c:pt>
                <c:pt idx="1">
                  <c:v>2М</c:v>
                </c:pt>
                <c:pt idx="2">
                  <c:v>3М</c:v>
                </c:pt>
                <c:pt idx="3">
                  <c:v>4М</c:v>
                </c:pt>
                <c:pt idx="4">
                  <c:v>5М</c:v>
                </c:pt>
                <c:pt idx="5">
                  <c:v>6М</c:v>
                </c:pt>
                <c:pt idx="6">
                  <c:v>7М</c:v>
                </c:pt>
                <c:pt idx="7">
                  <c:v>8М</c:v>
                </c:pt>
                <c:pt idx="8">
                  <c:v>9М</c:v>
                </c:pt>
                <c:pt idx="9">
                  <c:v>10М</c:v>
                </c:pt>
                <c:pt idx="10">
                  <c:v>11М</c:v>
                </c:pt>
                <c:pt idx="11">
                  <c:v>12М</c:v>
                </c:pt>
              </c:strCache>
            </c:strRef>
          </c:cat>
          <c:val>
            <c:numRef>
              <c:f>'Чарт ПБ 2022-2024'!$N$47:$N$58</c:f>
              <c:numCache>
                <c:formatCode>0.00</c:formatCode>
                <c:ptCount val="12"/>
                <c:pt idx="0">
                  <c:v>1.7785774781810928</c:v>
                </c:pt>
                <c:pt idx="1">
                  <c:v>1.3015010323889298</c:v>
                </c:pt>
                <c:pt idx="2">
                  <c:v>2.6906390725549407</c:v>
                </c:pt>
                <c:pt idx="3">
                  <c:v>1.3893722629464909</c:v>
                </c:pt>
                <c:pt idx="4">
                  <c:v>1.9219182847354725</c:v>
                </c:pt>
                <c:pt idx="5">
                  <c:v>3.070680350871041</c:v>
                </c:pt>
                <c:pt idx="6">
                  <c:v>2.2489340094725367</c:v>
                </c:pt>
                <c:pt idx="7">
                  <c:v>1.4811730927541564</c:v>
                </c:pt>
                <c:pt idx="8">
                  <c:v>2.630980315500945</c:v>
                </c:pt>
                <c:pt idx="9">
                  <c:v>1.3837497010788362</c:v>
                </c:pt>
                <c:pt idx="10">
                  <c:v>1.6511594762426609</c:v>
                </c:pt>
                <c:pt idx="11">
                  <c:v>3.3207765269580998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4F-4B5A-8ABD-86D2BC074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00969200"/>
        <c:axId val="1"/>
      </c:barChart>
      <c:lineChart>
        <c:grouping val="standard"/>
        <c:varyColors val="0"/>
        <c:ser>
          <c:idx val="6"/>
          <c:order val="3"/>
          <c:tx>
            <c:strRef>
              <c:f>'Чарт ПБ 2022-2024'!$F$3</c:f>
              <c:strCache>
                <c:ptCount val="1"/>
                <c:pt idx="0">
                  <c:v>Общий приток валюты, $ млрд</c:v>
                </c:pt>
              </c:strCache>
            </c:strRef>
          </c:tx>
          <c:spPr>
            <a:ln w="38100">
              <a:solidFill>
                <a:srgbClr val="002060"/>
              </a:solidFill>
              <a:prstDash val="solid"/>
            </a:ln>
          </c:spPr>
          <c:marker>
            <c:spPr>
              <a:solidFill>
                <a:schemeClr val="tx1"/>
              </a:solidFill>
              <a:ln>
                <a:solidFill>
                  <a:srgbClr val="002060"/>
                </a:solidFill>
              </a:ln>
            </c:spPr>
          </c:marker>
          <c:dLbls>
            <c:dLbl>
              <c:idx val="0"/>
              <c:layout>
                <c:manualLayout>
                  <c:x val="-2.796351218627573E-2"/>
                  <c:y val="-3.7697217654921504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24F-4B5A-8ABD-86D2BC074D54}"/>
                </c:ext>
              </c:extLst>
            </c:dLbl>
            <c:dLbl>
              <c:idx val="1"/>
              <c:layout>
                <c:manualLayout>
                  <c:x val="-3.3543924244856159E-2"/>
                  <c:y val="-4.3970509928102475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24F-4B5A-8ABD-86D2BC074D54}"/>
                </c:ext>
              </c:extLst>
            </c:dLbl>
            <c:dLbl>
              <c:idx val="2"/>
              <c:layout>
                <c:manualLayout>
                  <c:x val="-3.6003181746982811E-2"/>
                  <c:y val="-5.2334899625677098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24F-4B5A-8ABD-86D2BC074D54}"/>
                </c:ext>
              </c:extLst>
            </c:dLbl>
            <c:dLbl>
              <c:idx val="3"/>
              <c:layout>
                <c:manualLayout>
                  <c:x val="-3.7217501241392704E-2"/>
                  <c:y val="-4.3970509928102475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24F-4B5A-8ABD-86D2BC074D54}"/>
                </c:ext>
              </c:extLst>
            </c:dLbl>
            <c:dLbl>
              <c:idx val="4"/>
              <c:layout>
                <c:manualLayout>
                  <c:x val="-3.1333589884244881E-2"/>
                  <c:y val="-4.3970509928102475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C24F-4B5A-8ABD-86D2BC074D54}"/>
                </c:ext>
              </c:extLst>
            </c:dLbl>
            <c:dLbl>
              <c:idx val="5"/>
              <c:layout>
                <c:manualLayout>
                  <c:x val="-3.6351158464880184E-2"/>
                  <c:y val="-5.8608191898858214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24F-4B5A-8ABD-86D2BC074D54}"/>
                </c:ext>
              </c:extLst>
            </c:dLbl>
            <c:dLbl>
              <c:idx val="6"/>
              <c:layout>
                <c:manualLayout>
                  <c:x val="-3.0177176981667834E-2"/>
                  <c:y val="-5.2334899625677174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C24F-4B5A-8ABD-86D2BC074D54}"/>
                </c:ext>
              </c:extLst>
            </c:dLbl>
            <c:dLbl>
              <c:idx val="7"/>
              <c:layout>
                <c:manualLayout>
                  <c:x val="-3.8073745280183084E-2"/>
                  <c:y val="-4.8152704776889939E-2"/>
                </c:manualLayout>
              </c:layout>
              <c:numFmt formatCode="#,##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24F-4B5A-8ABD-86D2BC074D54}"/>
                </c:ext>
              </c:extLst>
            </c:dLbl>
            <c:dLbl>
              <c:idx val="8"/>
              <c:layout>
                <c:manualLayout>
                  <c:x val="-3.318574135585653E-2"/>
                  <c:y val="6.0584361291580319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C24F-4B5A-8ABD-86D2BC074D54}"/>
                </c:ext>
              </c:extLst>
            </c:dLbl>
            <c:dLbl>
              <c:idx val="9"/>
              <c:layout>
                <c:manualLayout>
                  <c:x val="-3.1261931819769002E-2"/>
                  <c:y val="-4.1879412503708816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24F-4B5A-8ABD-86D2BC074D54}"/>
                </c:ext>
              </c:extLst>
            </c:dLbl>
            <c:dLbl>
              <c:idx val="10"/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E-C24F-4B5A-8ABD-86D2BC074D54}"/>
                </c:ext>
              </c:extLst>
            </c:dLbl>
            <c:dLbl>
              <c:idx val="11"/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800" b="1" i="0" u="none" strike="noStrike" baseline="0">
                      <a:solidFill>
                        <a:srgbClr val="003366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F-C24F-4B5A-8ABD-86D2BC074D54}"/>
                </c:ext>
              </c:extLst>
            </c:dLbl>
            <c:numFmt formatCode="#,##0.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800" b="1" i="0" u="none" strike="noStrike" baseline="0">
                    <a:solidFill>
                      <a:srgbClr val="003366"/>
                    </a:solidFill>
                    <a:latin typeface="Montserrat"/>
                    <a:ea typeface="Montserrat"/>
                    <a:cs typeface="Montserrat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'Чарт ПБ 2022-2024'!$F$47:$F$58</c:f>
              <c:numCache>
                <c:formatCode>0.00</c:formatCode>
                <c:ptCount val="12"/>
                <c:pt idx="0">
                  <c:v>-0.23299787369862485</c:v>
                </c:pt>
                <c:pt idx="1">
                  <c:v>-0.67643982731900731</c:v>
                </c:pt>
                <c:pt idx="2">
                  <c:v>0.23656588660407374</c:v>
                </c:pt>
                <c:pt idx="3">
                  <c:v>0.35902079590516234</c:v>
                </c:pt>
                <c:pt idx="4">
                  <c:v>0.28257177416106222</c:v>
                </c:pt>
                <c:pt idx="5">
                  <c:v>1.6272049399829513</c:v>
                </c:pt>
                <c:pt idx="6">
                  <c:v>0.8506473442025585</c:v>
                </c:pt>
                <c:pt idx="7">
                  <c:v>1.6049295993719619</c:v>
                </c:pt>
                <c:pt idx="8">
                  <c:v>1.9813790423396866</c:v>
                </c:pt>
                <c:pt idx="9">
                  <c:v>1.1401944691993506</c:v>
                </c:pt>
                <c:pt idx="10">
                  <c:v>1.2775093975393312</c:v>
                </c:pt>
                <c:pt idx="11">
                  <c:v>2.7089606702932301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24F-4B5A-8ABD-86D2BC074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00969200"/>
        <c:axId val="1"/>
      </c:lineChart>
      <c:lineChart>
        <c:grouping val="standard"/>
        <c:varyColors val="0"/>
        <c:ser>
          <c:idx val="0"/>
          <c:order val="5"/>
          <c:tx>
            <c:strRef>
              <c:f>'Чарт ПБ 2022-2024'!$Y$46</c:f>
              <c:strCache>
                <c:ptCount val="1"/>
                <c:pt idx="0">
                  <c:v>Обменный курс</c:v>
                </c:pt>
              </c:strCache>
            </c:strRef>
          </c:tx>
          <c:spPr>
            <a:ln w="34925">
              <a:solidFill>
                <a:schemeClr val="accent3"/>
              </a:solidFill>
              <a:prstDash val="sysDot"/>
            </a:ln>
          </c:spPr>
          <c:marker>
            <c:symbol val="circle"/>
            <c:size val="12"/>
            <c:spPr>
              <a:solidFill>
                <a:schemeClr val="accent3">
                  <a:lumMod val="20000"/>
                  <a:lumOff val="80000"/>
                </a:schemeClr>
              </a:solidFill>
              <a:ln w="15875">
                <a:solidFill>
                  <a:schemeClr val="accent3"/>
                </a:solidFill>
                <a:prstDash val="sysDash"/>
              </a:ln>
            </c:spPr>
          </c:marker>
          <c:dLbls>
            <c:dLbl>
              <c:idx val="0"/>
              <c:layout>
                <c:manualLayout>
                  <c:x val="-3.5862766319291577E-2"/>
                  <c:y val="-4.1919367028030036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1" i="0" u="none" strike="noStrike" baseline="0">
                      <a:solidFill>
                        <a:schemeClr val="accent3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24F-4B5A-8ABD-86D2BC074D54}"/>
                </c:ext>
              </c:extLst>
            </c:dLbl>
            <c:dLbl>
              <c:idx val="11"/>
              <c:layout>
                <c:manualLayout>
                  <c:x val="-3.3989020738295177E-2"/>
                  <c:y val="-3.8125974953592455E-2"/>
                </c:manualLayout>
              </c:layout>
              <c:numFmt formatCode="#,##0.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1" i="0" u="none" strike="noStrike" baseline="0">
                      <a:solidFill>
                        <a:schemeClr val="accent3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C24F-4B5A-8ABD-86D2BC074D54}"/>
                </c:ext>
              </c:extLst>
            </c:dLbl>
            <c:numFmt formatCode="#,##0.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 i="0" u="none" strike="noStrike" baseline="0">
                    <a:solidFill>
                      <a:schemeClr val="accent3"/>
                    </a:solidFill>
                    <a:latin typeface="Montserrat"/>
                    <a:ea typeface="Montserrat"/>
                    <a:cs typeface="Montserra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'Чарт ПБ 2022-2024'!$Y$47:$Y$58</c:f>
              <c:numCache>
                <c:formatCode>_-* #\ ##0.0_-;\-* #\ ##0.0_-;_-* "-"??_-;_-@_-</c:formatCode>
                <c:ptCount val="12"/>
                <c:pt idx="0">
                  <c:v>37.572233277496139</c:v>
                </c:pt>
                <c:pt idx="1">
                  <c:v>38.27478587846511</c:v>
                </c:pt>
                <c:pt idx="2">
                  <c:v>39.105806424374762</c:v>
                </c:pt>
                <c:pt idx="3">
                  <c:v>39.395705147134706</c:v>
                </c:pt>
                <c:pt idx="4">
                  <c:v>39.781047044824604</c:v>
                </c:pt>
                <c:pt idx="5">
                  <c:v>40.158399481375852</c:v>
                </c:pt>
                <c:pt idx="6">
                  <c:v>40.515635176768157</c:v>
                </c:pt>
                <c:pt idx="7">
                  <c:v>40.64772687713463</c:v>
                </c:pt>
                <c:pt idx="8">
                  <c:v>40.86685760056217</c:v>
                </c:pt>
                <c:pt idx="9">
                  <c:v>41.027007871865493</c:v>
                </c:pt>
                <c:pt idx="10">
                  <c:v>41.200074709472133</c:v>
                </c:pt>
                <c:pt idx="11">
                  <c:v>41.402614826192249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24F-4B5A-8ABD-86D2BC074D54}"/>
            </c:ext>
          </c:extLst>
        </c:ser>
        <c:ser>
          <c:idx val="2"/>
          <c:order val="6"/>
          <c:tx>
            <c:strRef>
              <c:f>'Чарт ПБ 2022-2024'!$Z$46</c:f>
              <c:strCache>
                <c:ptCount val="1"/>
                <c:pt idx="0">
                  <c:v>Обменный курс</c:v>
                </c:pt>
              </c:strCache>
            </c:strRef>
          </c:tx>
          <c:spPr>
            <a:ln w="34925">
              <a:solidFill>
                <a:schemeClr val="accent6"/>
              </a:solidFill>
              <a:prstDash val="sysDot"/>
            </a:ln>
          </c:spPr>
          <c:marker>
            <c:symbol val="circle"/>
            <c:size val="12"/>
            <c:spPr>
              <a:solidFill>
                <a:schemeClr val="accent6">
                  <a:lumMod val="20000"/>
                  <a:lumOff val="80000"/>
                </a:schemeClr>
              </a:solidFill>
              <a:ln w="15875">
                <a:solidFill>
                  <a:schemeClr val="accent6"/>
                </a:solidFill>
                <a:prstDash val="sysDash"/>
              </a:ln>
            </c:spPr>
          </c:marker>
          <c:dLbls>
            <c:numFmt formatCode="#,##0.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solidFill>
                      <a:schemeClr val="accent6"/>
                    </a:solidFill>
                    <a:latin typeface="+mn-lt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'Чарт ПБ 2022-2024'!$Z$47:$Z$58</c:f>
              <c:numCache>
                <c:formatCode>_-* #\ ##0.0_-;\-* #\ ##0.0_-;_-* "-"??_-;_-@_-</c:formatCode>
                <c:ptCount val="12"/>
                <c:pt idx="0">
                  <c:v>37.572233277496139</c:v>
                </c:pt>
                <c:pt idx="1">
                  <c:v>38.27478587846511</c:v>
                </c:pt>
                <c:pt idx="2">
                  <c:v>39.105806424374762</c:v>
                </c:pt>
                <c:pt idx="3">
                  <c:v>39.395705147134706</c:v>
                </c:pt>
                <c:pt idx="4">
                  <c:v>39.781047044824604</c:v>
                </c:pt>
                <c:pt idx="5">
                  <c:v>40.158399481375852</c:v>
                </c:pt>
                <c:pt idx="6">
                  <c:v>40.515635176768157</c:v>
                </c:pt>
                <c:pt idx="7">
                  <c:v>40.64772687713463</c:v>
                </c:pt>
                <c:pt idx="8">
                  <c:v>40.86685760056217</c:v>
                </c:pt>
                <c:pt idx="9">
                  <c:v>41.027007871865493</c:v>
                </c:pt>
                <c:pt idx="10">
                  <c:v>41.200074709472133</c:v>
                </c:pt>
                <c:pt idx="11">
                  <c:v>41.402614826192249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24F-4B5A-8ABD-86D2BC074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"/>
        <c:axId val="4"/>
      </c:lineChart>
      <c:catAx>
        <c:axId val="2000969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Montserrat"/>
                <a:ea typeface="Montserrat"/>
                <a:cs typeface="Montserrat"/>
              </a:defRPr>
            </a:pPr>
            <a:endParaRPr lang="en-US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400" b="1" i="0" u="none" strike="noStrike" baseline="0">
                <a:solidFill>
                  <a:srgbClr val="000000"/>
                </a:solidFill>
                <a:latin typeface="Montserrat"/>
                <a:ea typeface="Montserrat"/>
                <a:cs typeface="Montserrat"/>
              </a:defRPr>
            </a:pPr>
            <a:endParaRPr lang="en-US"/>
          </a:p>
        </c:txPr>
        <c:crossAx val="2000969200"/>
        <c:crosses val="autoZero"/>
        <c:crossBetween val="between"/>
      </c:valAx>
      <c:catAx>
        <c:axId val="3"/>
        <c:scaling>
          <c:orientation val="minMax"/>
        </c:scaling>
        <c:delete val="1"/>
        <c:axPos val="b"/>
        <c:majorTickMark val="out"/>
        <c:minorTickMark val="none"/>
        <c:tickLblPos val="nextTo"/>
        <c:crossAx val="4"/>
        <c:crosses val="autoZero"/>
        <c:auto val="1"/>
        <c:lblAlgn val="ctr"/>
        <c:lblOffset val="100"/>
        <c:noMultiLvlLbl val="0"/>
      </c:catAx>
      <c:valAx>
        <c:axId val="4"/>
        <c:scaling>
          <c:orientation val="minMax"/>
        </c:scaling>
        <c:delete val="0"/>
        <c:axPos val="r"/>
        <c:numFmt formatCode="_-* #\ ##0.0_-;\-* #\ ##0.0_-;_-* &quot;-&quot;??_-;_-@_-" sourceLinked="1"/>
        <c:majorTickMark val="out"/>
        <c:minorTickMark val="none"/>
        <c:tickLblPos val="nextTo"/>
        <c:spPr>
          <a:ln>
            <a:noFill/>
          </a:ln>
        </c:spPr>
        <c:txPr>
          <a:bodyPr rot="0" vert="horz"/>
          <a:lstStyle/>
          <a:p>
            <a:pPr>
              <a:defRPr sz="1600" b="1" i="0" u="none" strike="noStrike" baseline="0">
                <a:solidFill>
                  <a:srgbClr val="FFFFFF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3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3509107856446243"/>
          <c:y val="0.20825162844222508"/>
          <c:w val="0.26490892143553757"/>
          <c:h val="0.785744510195439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300" b="1" i="0" u="none" strike="noStrike" baseline="0">
              <a:solidFill>
                <a:srgbClr val="000000"/>
              </a:solidFill>
              <a:latin typeface="Montserrat"/>
              <a:ea typeface="Montserrat"/>
              <a:cs typeface="Montserra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 b="1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000" b="0" i="0" u="none" strike="noStrike" baseline="0">
                <a:solidFill>
                  <a:srgbClr val="000000"/>
                </a:solidFill>
                <a:latin typeface="Montserrat"/>
                <a:ea typeface="Montserrat"/>
                <a:cs typeface="Montserrat"/>
              </a:defRPr>
            </a:pPr>
            <a:r>
              <a:rPr lang="en-US" sz="2000" b="1" i="0" u="none" strike="noStrike" baseline="0">
                <a:solidFill>
                  <a:srgbClr val="33CCCC"/>
                </a:solidFill>
                <a:latin typeface="Montserrat"/>
              </a:rPr>
              <a:t>Курсовой прогноз Ukraine Economic Outlook и фактический курс,  декабрь - январь</a:t>
            </a:r>
          </a:p>
        </c:rich>
      </c:tx>
      <c:layout>
        <c:manualLayout>
          <c:xMode val="edge"/>
          <c:yMode val="edge"/>
          <c:x val="3.7451394964518325E-2"/>
          <c:y val="1.2254145241717845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4.2966818822302001E-2"/>
          <c:y val="0.35090789321921595"/>
          <c:w val="0.90354081478263271"/>
          <c:h val="0.56600411093411029"/>
        </c:manualLayout>
      </c:layout>
      <c:lineChart>
        <c:grouping val="standard"/>
        <c:varyColors val="0"/>
        <c:ser>
          <c:idx val="0"/>
          <c:order val="0"/>
          <c:tx>
            <c:strRef>
              <c:f>'макет прогноза на месяц'!$V$5</c:f>
              <c:strCache>
                <c:ptCount val="1"/>
                <c:pt idx="0">
                  <c:v> Факт, линейный прогноз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9EA-4FE1-A3E7-5F1CE3ADB278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9EA-4FE1-A3E7-5F1CE3ADB278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89EA-4FE1-A3E7-5F1CE3ADB278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EA-4FE1-A3E7-5F1CE3ADB278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EA-4FE1-A3E7-5F1CE3ADB278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EA-4FE1-A3E7-5F1CE3ADB278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EA-4FE1-A3E7-5F1CE3ADB278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89EA-4FE1-A3E7-5F1CE3ADB278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EA-4FE1-A3E7-5F1CE3ADB278}"/>
                </c:ext>
              </c:extLst>
            </c:dLbl>
            <c:dLbl>
              <c:idx val="1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EA-4FE1-A3E7-5F1CE3ADB278}"/>
                </c:ext>
              </c:extLst>
            </c:dLbl>
            <c:dLbl>
              <c:idx val="2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89EA-4FE1-A3E7-5F1CE3ADB278}"/>
                </c:ext>
              </c:extLst>
            </c:dLbl>
            <c:dLbl>
              <c:idx val="2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EA-4FE1-A3E7-5F1CE3ADB278}"/>
                </c:ext>
              </c:extLst>
            </c:dLbl>
            <c:dLbl>
              <c:idx val="2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89EA-4FE1-A3E7-5F1CE3ADB278}"/>
                </c:ext>
              </c:extLst>
            </c:dLbl>
            <c:dLbl>
              <c:idx val="2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EA-4FE1-A3E7-5F1CE3ADB278}"/>
                </c:ext>
              </c:extLst>
            </c:dLbl>
            <c:dLbl>
              <c:idx val="2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89EA-4FE1-A3E7-5F1CE3ADB278}"/>
                </c:ext>
              </c:extLst>
            </c:dLbl>
            <c:dLbl>
              <c:idx val="3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89EA-4FE1-A3E7-5F1CE3ADB278}"/>
                </c:ext>
              </c:extLst>
            </c:dLbl>
            <c:dLbl>
              <c:idx val="3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89EA-4FE1-A3E7-5F1CE3ADB278}"/>
                </c:ext>
              </c:extLst>
            </c:dLbl>
            <c:dLbl>
              <c:idx val="3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9EA-4FE1-A3E7-5F1CE3ADB278}"/>
                </c:ext>
              </c:extLst>
            </c:dLbl>
            <c:dLbl>
              <c:idx val="3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89EA-4FE1-A3E7-5F1CE3ADB278}"/>
                </c:ext>
              </c:extLst>
            </c:dLbl>
            <c:dLbl>
              <c:idx val="3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89EA-4FE1-A3E7-5F1CE3ADB278}"/>
                </c:ext>
              </c:extLst>
            </c:dLbl>
            <c:dLbl>
              <c:idx val="39"/>
              <c:layout>
                <c:manualLayout>
                  <c:x val="-3.3449326114600025E-2"/>
                  <c:y val="-2.0302954165112602E-2"/>
                </c:manualLayout>
              </c:layout>
              <c:numFmt formatCode="#,##0.00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200" b="1" i="0" u="none" strike="noStrike" baseline="0">
                      <a:solidFill>
                        <a:srgbClr val="000000"/>
                      </a:solidFill>
                      <a:latin typeface="Montserrat"/>
                      <a:ea typeface="Montserrat"/>
                      <a:cs typeface="Montserrat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89EA-4FE1-A3E7-5F1CE3ADB278}"/>
                </c:ext>
              </c:extLst>
            </c:dLbl>
            <c:dLbl>
              <c:idx val="4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89EA-4FE1-A3E7-5F1CE3ADB278}"/>
                </c:ext>
              </c:extLst>
            </c:dLbl>
            <c:dLbl>
              <c:idx val="4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9EA-4FE1-A3E7-5F1CE3ADB278}"/>
                </c:ext>
              </c:extLst>
            </c:dLbl>
            <c:numFmt formatCode="#,##0.00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Montserrat"/>
                    <a:ea typeface="Montserrat"/>
                    <a:cs typeface="Montserra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'макет прогноза на месяц'!$U$197:$U$240</c:f>
              <c:numCache>
                <c:formatCode>dd/mm</c:formatCode>
                <c:ptCount val="44"/>
                <c:pt idx="0">
                  <c:v>44166</c:v>
                </c:pt>
                <c:pt idx="1">
                  <c:v>44167</c:v>
                </c:pt>
                <c:pt idx="2">
                  <c:v>44168</c:v>
                </c:pt>
                <c:pt idx="3">
                  <c:v>44169</c:v>
                </c:pt>
                <c:pt idx="4">
                  <c:v>44172</c:v>
                </c:pt>
                <c:pt idx="5">
                  <c:v>44173</c:v>
                </c:pt>
                <c:pt idx="6">
                  <c:v>44174</c:v>
                </c:pt>
                <c:pt idx="7">
                  <c:v>44175</c:v>
                </c:pt>
                <c:pt idx="8">
                  <c:v>44176</c:v>
                </c:pt>
                <c:pt idx="9">
                  <c:v>44179</c:v>
                </c:pt>
                <c:pt idx="10">
                  <c:v>44180</c:v>
                </c:pt>
                <c:pt idx="11">
                  <c:v>44181</c:v>
                </c:pt>
                <c:pt idx="12">
                  <c:v>44182</c:v>
                </c:pt>
                <c:pt idx="13">
                  <c:v>44183</c:v>
                </c:pt>
                <c:pt idx="14">
                  <c:v>44186</c:v>
                </c:pt>
                <c:pt idx="15">
                  <c:v>44187</c:v>
                </c:pt>
                <c:pt idx="16">
                  <c:v>44188</c:v>
                </c:pt>
                <c:pt idx="17">
                  <c:v>44189</c:v>
                </c:pt>
                <c:pt idx="18">
                  <c:v>44190</c:v>
                </c:pt>
                <c:pt idx="19">
                  <c:v>44193</c:v>
                </c:pt>
                <c:pt idx="20">
                  <c:v>44194</c:v>
                </c:pt>
                <c:pt idx="21">
                  <c:v>44195</c:v>
                </c:pt>
                <c:pt idx="22">
                  <c:v>44196</c:v>
                </c:pt>
                <c:pt idx="23">
                  <c:v>44197</c:v>
                </c:pt>
                <c:pt idx="24">
                  <c:v>44200</c:v>
                </c:pt>
                <c:pt idx="25">
                  <c:v>44201</c:v>
                </c:pt>
                <c:pt idx="26">
                  <c:v>44202</c:v>
                </c:pt>
                <c:pt idx="27">
                  <c:v>44203</c:v>
                </c:pt>
                <c:pt idx="28">
                  <c:v>44204</c:v>
                </c:pt>
                <c:pt idx="29">
                  <c:v>44207</c:v>
                </c:pt>
                <c:pt idx="30">
                  <c:v>44208</c:v>
                </c:pt>
                <c:pt idx="31">
                  <c:v>44209</c:v>
                </c:pt>
                <c:pt idx="32">
                  <c:v>44210</c:v>
                </c:pt>
                <c:pt idx="33">
                  <c:v>44211</c:v>
                </c:pt>
                <c:pt idx="34">
                  <c:v>44214</c:v>
                </c:pt>
                <c:pt idx="35">
                  <c:v>44215</c:v>
                </c:pt>
                <c:pt idx="36">
                  <c:v>44216</c:v>
                </c:pt>
                <c:pt idx="37">
                  <c:v>44217</c:v>
                </c:pt>
                <c:pt idx="38">
                  <c:v>44218</c:v>
                </c:pt>
                <c:pt idx="39">
                  <c:v>44221</c:v>
                </c:pt>
                <c:pt idx="40">
                  <c:v>44222</c:v>
                </c:pt>
                <c:pt idx="41">
                  <c:v>44223</c:v>
                </c:pt>
                <c:pt idx="42">
                  <c:v>44224</c:v>
                </c:pt>
                <c:pt idx="43">
                  <c:v>44225</c:v>
                </c:pt>
              </c:numCache>
            </c:numRef>
          </c:cat>
          <c:val>
            <c:numRef>
              <c:f>'макет прогноза на месяц'!$Z$197:$Z$240</c:f>
              <c:numCache>
                <c:formatCode>0.00</c:formatCode>
                <c:ptCount val="44"/>
                <c:pt idx="0">
                  <c:v>28.496200000000002</c:v>
                </c:pt>
                <c:pt idx="1">
                  <c:v>28.558299999999999</c:v>
                </c:pt>
                <c:pt idx="2">
                  <c:v>28.436699999999998</c:v>
                </c:pt>
                <c:pt idx="3">
                  <c:v>28.303799999999999</c:v>
                </c:pt>
                <c:pt idx="4">
                  <c:v>28.2913</c:v>
                </c:pt>
                <c:pt idx="5">
                  <c:v>28.2394</c:v>
                </c:pt>
                <c:pt idx="6">
                  <c:v>28.082799999999999</c:v>
                </c:pt>
                <c:pt idx="7">
                  <c:v>28.040600000000001</c:v>
                </c:pt>
                <c:pt idx="8">
                  <c:v>28.074999999999999</c:v>
                </c:pt>
                <c:pt idx="9">
                  <c:v>27.9666</c:v>
                </c:pt>
                <c:pt idx="10">
                  <c:v>27.866099999999999</c:v>
                </c:pt>
                <c:pt idx="11">
                  <c:v>27.759</c:v>
                </c:pt>
                <c:pt idx="12">
                  <c:v>27.737300000000001</c:v>
                </c:pt>
                <c:pt idx="13">
                  <c:v>27.8184</c:v>
                </c:pt>
                <c:pt idx="14">
                  <c:v>27.827999999999999</c:v>
                </c:pt>
                <c:pt idx="15">
                  <c:v>28.039100000000001</c:v>
                </c:pt>
                <c:pt idx="16">
                  <c:v>28.251300000000001</c:v>
                </c:pt>
                <c:pt idx="17">
                  <c:v>28.455100000000002</c:v>
                </c:pt>
                <c:pt idx="18">
                  <c:v>28.455100000000002</c:v>
                </c:pt>
                <c:pt idx="19">
                  <c:v>28.354700000000001</c:v>
                </c:pt>
                <c:pt idx="20">
                  <c:v>28.366800000000001</c:v>
                </c:pt>
                <c:pt idx="21">
                  <c:v>28.2605</c:v>
                </c:pt>
                <c:pt idx="22">
                  <c:v>28.2746</c:v>
                </c:pt>
                <c:pt idx="23">
                  <c:v>28.2746</c:v>
                </c:pt>
                <c:pt idx="24">
                  <c:v>28.2746</c:v>
                </c:pt>
                <c:pt idx="25">
                  <c:v>28.431000000000001</c:v>
                </c:pt>
                <c:pt idx="26">
                  <c:v>28.402799999999999</c:v>
                </c:pt>
                <c:pt idx="27">
                  <c:v>28.402799999999999</c:v>
                </c:pt>
                <c:pt idx="28">
                  <c:v>28.402799999999999</c:v>
                </c:pt>
                <c:pt idx="29">
                  <c:v>28.284700000000001</c:v>
                </c:pt>
                <c:pt idx="30">
                  <c:v>28.203800000000001</c:v>
                </c:pt>
                <c:pt idx="31">
                  <c:v>28.045999999999999</c:v>
                </c:pt>
                <c:pt idx="32">
                  <c:v>28.06</c:v>
                </c:pt>
                <c:pt idx="33">
                  <c:v>28.06</c:v>
                </c:pt>
                <c:pt idx="34">
                  <c:v>28.192</c:v>
                </c:pt>
                <c:pt idx="35">
                  <c:v>28.154</c:v>
                </c:pt>
                <c:pt idx="36">
                  <c:v>28.202999999999999</c:v>
                </c:pt>
                <c:pt idx="37">
                  <c:v>28.256</c:v>
                </c:pt>
                <c:pt idx="38">
                  <c:v>28.164999999999999</c:v>
                </c:pt>
                <c:pt idx="39">
                  <c:v>28.166</c:v>
                </c:pt>
                <c:pt idx="40">
                  <c:v>28.152000000000001</c:v>
                </c:pt>
                <c:pt idx="41">
                  <c:v>28.164999999999999</c:v>
                </c:pt>
                <c:pt idx="42">
                  <c:v>28.193000000000001</c:v>
                </c:pt>
                <c:pt idx="43">
                  <c:v>28.132000000000001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9EA-4FE1-A3E7-5F1CE3ADB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0962128"/>
        <c:axId val="1"/>
      </c:lineChart>
      <c:catAx>
        <c:axId val="2000962128"/>
        <c:scaling>
          <c:orientation val="minMax"/>
        </c:scaling>
        <c:delete val="1"/>
        <c:axPos val="b"/>
        <c:numFmt formatCode="dd/mm" sourceLinked="1"/>
        <c:majorTickMark val="out"/>
        <c:minorTickMark val="none"/>
        <c:tickLblPos val="nextTo"/>
        <c:crossAx val="1"/>
        <c:crosses val="autoZero"/>
        <c:auto val="0"/>
        <c:lblAlgn val="ctr"/>
        <c:lblOffset val="100"/>
        <c:noMultiLvlLbl val="0"/>
      </c:catAx>
      <c:valAx>
        <c:axId val="1"/>
        <c:scaling>
          <c:orientation val="minMax"/>
          <c:max val="29"/>
          <c:min val="27"/>
        </c:scaling>
        <c:delete val="0"/>
        <c:axPos val="r"/>
        <c:numFmt formatCode="0.0" sourceLinked="0"/>
        <c:majorTickMark val="out"/>
        <c:minorTickMark val="none"/>
        <c:tickLblPos val="nextTo"/>
        <c:spPr>
          <a:ln w="6350">
            <a:noFill/>
          </a:ln>
        </c:spPr>
        <c:txPr>
          <a:bodyPr rot="0" vert="horz"/>
          <a:lstStyle/>
          <a:p>
            <a:pPr>
              <a:defRPr sz="1050" b="1" i="0" u="none" strike="noStrike" baseline="0">
                <a:solidFill>
                  <a:srgbClr val="33CCCC"/>
                </a:solidFill>
                <a:latin typeface="Montserrat"/>
                <a:ea typeface="Montserrat"/>
                <a:cs typeface="Montserrat"/>
              </a:defRPr>
            </a:pPr>
            <a:endParaRPr lang="en-US"/>
          </a:p>
        </c:txPr>
        <c:crossAx val="2000962128"/>
        <c:crosses val="max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wMode val="edge"/>
          <c:hMode val="edge"/>
          <c:x val="0.86844812222546264"/>
          <c:y val="0.38612307453105738"/>
          <c:w val="0.92185533521272811"/>
          <c:h val="0.387512040543592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10" b="0" i="0" u="none" strike="noStrike" baseline="0">
              <a:solidFill>
                <a:srgbClr val="000000"/>
              </a:solidFill>
              <a:latin typeface="Montserrat"/>
              <a:ea typeface="Montserrat"/>
              <a:cs typeface="Montserra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Montserrat"/>
          <a:ea typeface="Montserrat"/>
          <a:cs typeface="Montserrat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chemeClr val="accent1"/>
                </a:solidFill>
                <a:effectLst/>
              </a:rPr>
              <a:t>Прогноз сальдо торгового баланса, 2022, $ млрд</a:t>
            </a:r>
          </a:p>
        </c:rich>
      </c:tx>
      <c:layout>
        <c:manualLayout>
          <c:xMode val="edge"/>
          <c:yMode val="edge"/>
          <c:x val="7.7317425874107474E-3"/>
          <c:y val="9.061488981015348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174693693882358E-2"/>
          <c:y val="0.17370945726913359"/>
          <c:w val="0.69677431480165886"/>
          <c:h val="0.771086096750540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'ТБ 2022'!$A$5</c:f>
              <c:strCache>
                <c:ptCount val="1"/>
                <c:pt idx="0">
                  <c:v>Экспорт товаров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3"/>
              <c:layout>
                <c:manualLayout>
                  <c:x val="-9.5474826166546123E-3"/>
                  <c:y val="9.061488981015348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7C4-4946-B5E7-38D424892342}"/>
                </c:ext>
              </c:extLst>
            </c:dLbl>
            <c:dLbl>
              <c:idx val="6"/>
              <c:layout>
                <c:manualLayout>
                  <c:x val="-5.455704352374113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7C4-4946-B5E7-38D424892342}"/>
                </c:ext>
              </c:extLst>
            </c:dLbl>
            <c:dLbl>
              <c:idx val="7"/>
              <c:layout>
                <c:manualLayout>
                  <c:x val="-8.1835565285610957E-3"/>
                  <c:y val="3.020496327005116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7C4-4946-B5E7-38D4248923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2022'!$B$4:$M$4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2022'!$B$5:$M$5</c:f>
              <c:numCache>
                <c:formatCode>0</c:formatCode>
                <c:ptCount val="12"/>
                <c:pt idx="0">
                  <c:v>5589</c:v>
                </c:pt>
                <c:pt idx="1">
                  <c:v>4889</c:v>
                </c:pt>
                <c:pt idx="2">
                  <c:v>2293</c:v>
                </c:pt>
                <c:pt idx="3">
                  <c:v>2375</c:v>
                </c:pt>
                <c:pt idx="4">
                  <c:v>2632</c:v>
                </c:pt>
                <c:pt idx="5">
                  <c:v>2930</c:v>
                </c:pt>
                <c:pt idx="6">
                  <c:v>2678</c:v>
                </c:pt>
                <c:pt idx="7">
                  <c:v>3123</c:v>
                </c:pt>
                <c:pt idx="8">
                  <c:v>3899</c:v>
                </c:pt>
                <c:pt idx="9">
                  <c:v>3599</c:v>
                </c:pt>
                <c:pt idx="10">
                  <c:v>3593</c:v>
                </c:pt>
                <c:pt idx="11">
                  <c:v>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C4-4946-B5E7-38D424892342}"/>
            </c:ext>
          </c:extLst>
        </c:ser>
        <c:ser>
          <c:idx val="1"/>
          <c:order val="1"/>
          <c:tx>
            <c:strRef>
              <c:f>'ТБ 2022'!$A$6</c:f>
              <c:strCache>
                <c:ptCount val="1"/>
                <c:pt idx="0">
                  <c:v>Импорт товаров</c:v>
                </c:pt>
              </c:strCache>
            </c:strRef>
          </c:tx>
          <c:spPr>
            <a:solidFill>
              <a:schemeClr val="tx2">
                <a:lumMod val="90000"/>
                <a:lumOff val="1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3"/>
              <c:layout>
                <c:manualLayout>
                  <c:x val="5.4557043523740635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7C4-4946-B5E7-38D424892342}"/>
                </c:ext>
              </c:extLst>
            </c:dLbl>
            <c:dLbl>
              <c:idx val="4"/>
              <c:layout>
                <c:manualLayout>
                  <c:x val="5.4557043523740635E-3"/>
                  <c:y val="9.061488981015292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7C4-4946-B5E7-38D4248923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2022'!$B$4:$M$4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2022'!$B$6:$M$6</c:f>
              <c:numCache>
                <c:formatCode>0</c:formatCode>
                <c:ptCount val="12"/>
                <c:pt idx="0">
                  <c:v>5886</c:v>
                </c:pt>
                <c:pt idx="1">
                  <c:v>5874</c:v>
                </c:pt>
                <c:pt idx="2">
                  <c:v>1993</c:v>
                </c:pt>
                <c:pt idx="3">
                  <c:v>2780</c:v>
                </c:pt>
                <c:pt idx="4">
                  <c:v>3841</c:v>
                </c:pt>
                <c:pt idx="5">
                  <c:v>4827</c:v>
                </c:pt>
                <c:pt idx="6">
                  <c:v>4597</c:v>
                </c:pt>
                <c:pt idx="7">
                  <c:v>4669</c:v>
                </c:pt>
                <c:pt idx="8">
                  <c:v>4584</c:v>
                </c:pt>
                <c:pt idx="9">
                  <c:v>4818</c:v>
                </c:pt>
                <c:pt idx="10">
                  <c:v>5493</c:v>
                </c:pt>
                <c:pt idx="11">
                  <c:v>6189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C4-4946-B5E7-38D424892342}"/>
            </c:ext>
          </c:extLst>
        </c:ser>
        <c:ser>
          <c:idx val="2"/>
          <c:order val="2"/>
          <c:tx>
            <c:strRef>
              <c:f>'ТБ 2022'!$A$7</c:f>
              <c:strCache>
                <c:ptCount val="1"/>
                <c:pt idx="0">
                  <c:v>Экспорт услуг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3.2957898749701735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7C4-4946-B5E7-38D424892342}"/>
                </c:ext>
              </c:extLst>
            </c:dLbl>
            <c:dLbl>
              <c:idx val="1"/>
              <c:layout>
                <c:manualLayout>
                  <c:x val="3.295789874970203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7C4-4946-B5E7-38D424892342}"/>
                </c:ext>
              </c:extLst>
            </c:dLbl>
            <c:dLbl>
              <c:idx val="2"/>
              <c:layout>
                <c:manualLayout>
                  <c:x val="8.2394746874254413E-3"/>
                  <c:y val="2.64367818484639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7C4-4946-B5E7-38D424892342}"/>
                </c:ext>
              </c:extLst>
            </c:dLbl>
            <c:dLbl>
              <c:idx val="3"/>
              <c:layout>
                <c:manualLayout>
                  <c:x val="4.943684812455283E-3"/>
                  <c:y val="-9.6933746990784229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67C4-4946-B5E7-38D424892342}"/>
                </c:ext>
              </c:extLst>
            </c:dLbl>
            <c:dLbl>
              <c:idx val="4"/>
              <c:layout>
                <c:manualLayout>
                  <c:x val="3.2957898749701887E-3"/>
                  <c:y val="-9.6933746990784229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7C4-4946-B5E7-38D424892342}"/>
                </c:ext>
              </c:extLst>
            </c:dLbl>
            <c:dLbl>
              <c:idx val="5"/>
              <c:layout>
                <c:manualLayout>
                  <c:x val="3.2957898749701284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7C4-4946-B5E7-38D424892342}"/>
                </c:ext>
              </c:extLst>
            </c:dLbl>
            <c:dLbl>
              <c:idx val="6"/>
              <c:layout>
                <c:manualLayout>
                  <c:x val="3.2957898749701887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7C4-4946-B5E7-38D424892342}"/>
                </c:ext>
              </c:extLst>
            </c:dLbl>
            <c:dLbl>
              <c:idx val="7"/>
              <c:layout>
                <c:manualLayout>
                  <c:x val="3.2957898749701887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7C4-4946-B5E7-38D424892342}"/>
                </c:ext>
              </c:extLst>
            </c:dLbl>
            <c:dLbl>
              <c:idx val="8"/>
              <c:layout>
                <c:manualLayout>
                  <c:x val="4.943684812455283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7C4-4946-B5E7-38D424892342}"/>
                </c:ext>
              </c:extLst>
            </c:dLbl>
            <c:dLbl>
              <c:idx val="9"/>
              <c:layout>
                <c:manualLayout>
                  <c:x val="3.2957898749700677E-3"/>
                  <c:y val="-9.6933746990784229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67C4-4946-B5E7-38D424892342}"/>
                </c:ext>
              </c:extLst>
            </c:dLbl>
            <c:dLbl>
              <c:idx val="10"/>
              <c:layout>
                <c:manualLayout>
                  <c:x val="3.2957898749701887E-3"/>
                  <c:y val="2.64367818484639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7C4-4946-B5E7-38D424892342}"/>
                </c:ext>
              </c:extLst>
            </c:dLbl>
            <c:dLbl>
              <c:idx val="11"/>
              <c:layout>
                <c:manualLayout>
                  <c:x val="6.591579749940256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67C4-4946-B5E7-38D4248923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ln w="0">
                      <a:noFill/>
                    </a:ln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2022'!$B$4:$M$4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2022'!$B$7:$M$7</c:f>
              <c:numCache>
                <c:formatCode>0</c:formatCode>
                <c:ptCount val="12"/>
                <c:pt idx="0">
                  <c:v>1756</c:v>
                </c:pt>
                <c:pt idx="1">
                  <c:v>1778</c:v>
                </c:pt>
                <c:pt idx="2">
                  <c:v>1100</c:v>
                </c:pt>
                <c:pt idx="3">
                  <c:v>1212</c:v>
                </c:pt>
                <c:pt idx="4">
                  <c:v>1293</c:v>
                </c:pt>
                <c:pt idx="5">
                  <c:v>1236</c:v>
                </c:pt>
                <c:pt idx="6">
                  <c:v>1272</c:v>
                </c:pt>
                <c:pt idx="7">
                  <c:v>1324</c:v>
                </c:pt>
                <c:pt idx="8">
                  <c:v>1299</c:v>
                </c:pt>
                <c:pt idx="9">
                  <c:v>1320</c:v>
                </c:pt>
                <c:pt idx="10">
                  <c:v>1392</c:v>
                </c:pt>
                <c:pt idx="11">
                  <c:v>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7C4-4946-B5E7-38D424892342}"/>
            </c:ext>
          </c:extLst>
        </c:ser>
        <c:ser>
          <c:idx val="3"/>
          <c:order val="3"/>
          <c:tx>
            <c:strRef>
              <c:f>'ТБ 2022'!$A$8</c:f>
              <c:strCache>
                <c:ptCount val="1"/>
                <c:pt idx="0">
                  <c:v>Импорт услуг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-5.0010045509782331E-17"/>
                  <c:y val="4.17153962166114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67C4-4946-B5E7-38D424892342}"/>
                </c:ext>
              </c:extLst>
            </c:dLbl>
            <c:dLbl>
              <c:idx val="7"/>
              <c:layout>
                <c:manualLayout>
                  <c:x val="0"/>
                  <c:y val="8.343079243322129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67C4-4946-B5E7-38D4248923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2022'!$B$4:$M$4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2022'!$B$8:$M$8</c:f>
              <c:numCache>
                <c:formatCode>0</c:formatCode>
                <c:ptCount val="12"/>
                <c:pt idx="0">
                  <c:v>1516</c:v>
                </c:pt>
                <c:pt idx="1">
                  <c:v>1649</c:v>
                </c:pt>
                <c:pt idx="2">
                  <c:v>1973</c:v>
                </c:pt>
                <c:pt idx="3">
                  <c:v>2112</c:v>
                </c:pt>
                <c:pt idx="4">
                  <c:v>2455</c:v>
                </c:pt>
                <c:pt idx="5">
                  <c:v>2497</c:v>
                </c:pt>
                <c:pt idx="6">
                  <c:v>2477</c:v>
                </c:pt>
                <c:pt idx="7">
                  <c:v>2448</c:v>
                </c:pt>
                <c:pt idx="8">
                  <c:v>2459</c:v>
                </c:pt>
                <c:pt idx="9">
                  <c:v>2492</c:v>
                </c:pt>
                <c:pt idx="10">
                  <c:v>2610</c:v>
                </c:pt>
                <c:pt idx="11">
                  <c:v>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7C4-4946-B5E7-38D424892342}"/>
            </c:ext>
          </c:extLst>
        </c:ser>
        <c:ser>
          <c:idx val="4"/>
          <c:order val="4"/>
          <c:tx>
            <c:strRef>
              <c:f>'ТБ 2022'!$A$9</c:f>
              <c:strCache>
                <c:ptCount val="1"/>
                <c:pt idx="0">
                  <c:v>Сальдо торгового баланса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2022'!$B$4:$M$4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2022'!$B$9:$M$9</c:f>
              <c:numCache>
                <c:formatCode>0</c:formatCode>
                <c:ptCount val="12"/>
                <c:pt idx="0">
                  <c:v>-57</c:v>
                </c:pt>
                <c:pt idx="1">
                  <c:v>-856</c:v>
                </c:pt>
                <c:pt idx="2">
                  <c:v>-573</c:v>
                </c:pt>
                <c:pt idx="3">
                  <c:v>-1305</c:v>
                </c:pt>
                <c:pt idx="4">
                  <c:v>-2371</c:v>
                </c:pt>
                <c:pt idx="5">
                  <c:v>-3158</c:v>
                </c:pt>
                <c:pt idx="6">
                  <c:v>-3124</c:v>
                </c:pt>
                <c:pt idx="7">
                  <c:v>-2670</c:v>
                </c:pt>
                <c:pt idx="8">
                  <c:v>-1845</c:v>
                </c:pt>
                <c:pt idx="9">
                  <c:v>-2391</c:v>
                </c:pt>
                <c:pt idx="10">
                  <c:v>-3118</c:v>
                </c:pt>
                <c:pt idx="11">
                  <c:v>-4269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67C4-4946-B5E7-38D424892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758559"/>
        <c:axId val="63765215"/>
      </c:barChart>
      <c:catAx>
        <c:axId val="6375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65215"/>
        <c:crosses val="autoZero"/>
        <c:auto val="1"/>
        <c:lblAlgn val="ctr"/>
        <c:lblOffset val="100"/>
        <c:noMultiLvlLbl val="0"/>
      </c:catAx>
      <c:valAx>
        <c:axId val="63765215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555474471760554"/>
          <c:y val="0.22958528162573111"/>
          <c:w val="0.23308132919430094"/>
          <c:h val="0.557651088155964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chemeClr val="accent1"/>
                </a:solidFill>
                <a:effectLst/>
              </a:rPr>
              <a:t>Прогноз сальдо торгового баланса, 2022, $ млрд</a:t>
            </a:r>
          </a:p>
        </c:rich>
      </c:tx>
      <c:layout>
        <c:manualLayout>
          <c:xMode val="edge"/>
          <c:yMode val="edge"/>
          <c:x val="7.7317425874107474E-3"/>
          <c:y val="9.061488981015348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174693693882358E-2"/>
          <c:y val="0.17370945726913359"/>
          <c:w val="0.69677431480165886"/>
          <c:h val="0.771086096750540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'ТБ 2022'!$A$5</c:f>
              <c:strCache>
                <c:ptCount val="1"/>
                <c:pt idx="0">
                  <c:v>Экспорт товаров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2022'!$B$4:$M$4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2022'!$B$5:$M$5</c:f>
              <c:numCache>
                <c:formatCode>0</c:formatCode>
                <c:ptCount val="12"/>
                <c:pt idx="0">
                  <c:v>5589</c:v>
                </c:pt>
                <c:pt idx="1">
                  <c:v>4889</c:v>
                </c:pt>
                <c:pt idx="2">
                  <c:v>2293</c:v>
                </c:pt>
                <c:pt idx="3">
                  <c:v>2375</c:v>
                </c:pt>
                <c:pt idx="4">
                  <c:v>2632</c:v>
                </c:pt>
                <c:pt idx="5">
                  <c:v>2930</c:v>
                </c:pt>
                <c:pt idx="6">
                  <c:v>2678</c:v>
                </c:pt>
                <c:pt idx="7">
                  <c:v>3123</c:v>
                </c:pt>
                <c:pt idx="8">
                  <c:v>3899</c:v>
                </c:pt>
                <c:pt idx="9">
                  <c:v>3599</c:v>
                </c:pt>
                <c:pt idx="10">
                  <c:v>3593</c:v>
                </c:pt>
                <c:pt idx="11">
                  <c:v>3299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0D-428D-B429-5030284D900B}"/>
            </c:ext>
          </c:extLst>
        </c:ser>
        <c:ser>
          <c:idx val="1"/>
          <c:order val="1"/>
          <c:tx>
            <c:strRef>
              <c:f>'ТБ 2022'!$A$6</c:f>
              <c:strCache>
                <c:ptCount val="1"/>
                <c:pt idx="0">
                  <c:v>Импорт товаров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2022'!$B$4:$M$4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2022'!$B$6:$M$6</c:f>
              <c:numCache>
                <c:formatCode>0</c:formatCode>
                <c:ptCount val="12"/>
                <c:pt idx="0">
                  <c:v>5886</c:v>
                </c:pt>
                <c:pt idx="1">
                  <c:v>5874</c:v>
                </c:pt>
                <c:pt idx="2">
                  <c:v>1993</c:v>
                </c:pt>
                <c:pt idx="3">
                  <c:v>2780</c:v>
                </c:pt>
                <c:pt idx="4">
                  <c:v>3841</c:v>
                </c:pt>
                <c:pt idx="5">
                  <c:v>4827</c:v>
                </c:pt>
                <c:pt idx="6">
                  <c:v>4597</c:v>
                </c:pt>
                <c:pt idx="7">
                  <c:v>4669</c:v>
                </c:pt>
                <c:pt idx="8">
                  <c:v>4584</c:v>
                </c:pt>
                <c:pt idx="9">
                  <c:v>4818</c:v>
                </c:pt>
                <c:pt idx="10">
                  <c:v>5493</c:v>
                </c:pt>
                <c:pt idx="11">
                  <c:v>6189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0D-428D-B429-5030284D900B}"/>
            </c:ext>
          </c:extLst>
        </c:ser>
        <c:ser>
          <c:idx val="2"/>
          <c:order val="2"/>
          <c:tx>
            <c:strRef>
              <c:f>'ТБ 2022'!$A$7</c:f>
              <c:strCache>
                <c:ptCount val="1"/>
                <c:pt idx="0">
                  <c:v>Экспорт услуг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ln w="0">
                      <a:noFill/>
                    </a:ln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2022'!$B$4:$M$4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2022'!$B$7:$M$7</c:f>
              <c:numCache>
                <c:formatCode>0</c:formatCode>
                <c:ptCount val="12"/>
                <c:pt idx="0">
                  <c:v>1756</c:v>
                </c:pt>
                <c:pt idx="1">
                  <c:v>1778</c:v>
                </c:pt>
                <c:pt idx="2">
                  <c:v>1100</c:v>
                </c:pt>
                <c:pt idx="3">
                  <c:v>1212</c:v>
                </c:pt>
                <c:pt idx="4">
                  <c:v>1293</c:v>
                </c:pt>
                <c:pt idx="5">
                  <c:v>1236</c:v>
                </c:pt>
                <c:pt idx="6">
                  <c:v>1272</c:v>
                </c:pt>
                <c:pt idx="7">
                  <c:v>1324</c:v>
                </c:pt>
                <c:pt idx="8">
                  <c:v>1299</c:v>
                </c:pt>
                <c:pt idx="9">
                  <c:v>1320</c:v>
                </c:pt>
                <c:pt idx="10">
                  <c:v>1392</c:v>
                </c:pt>
                <c:pt idx="11">
                  <c:v>1636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0D-428D-B429-5030284D900B}"/>
            </c:ext>
          </c:extLst>
        </c:ser>
        <c:ser>
          <c:idx val="3"/>
          <c:order val="3"/>
          <c:tx>
            <c:strRef>
              <c:f>'ТБ 2022'!$A$8</c:f>
              <c:strCache>
                <c:ptCount val="1"/>
                <c:pt idx="0">
                  <c:v>Импорт услуг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-5.0010045509782331E-17"/>
                  <c:y val="4.17153962166114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20D-428D-B429-5030284D900B}"/>
                </c:ext>
              </c:extLst>
            </c:dLbl>
            <c:dLbl>
              <c:idx val="7"/>
              <c:layout>
                <c:manualLayout>
                  <c:x val="0"/>
                  <c:y val="8.343079243322129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20D-428D-B429-5030284D900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2022'!$B$4:$M$4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2022'!$B$8:$M$8</c:f>
              <c:numCache>
                <c:formatCode>0</c:formatCode>
                <c:ptCount val="12"/>
                <c:pt idx="0">
                  <c:v>1516</c:v>
                </c:pt>
                <c:pt idx="1">
                  <c:v>1649</c:v>
                </c:pt>
                <c:pt idx="2">
                  <c:v>1973</c:v>
                </c:pt>
                <c:pt idx="3">
                  <c:v>2112</c:v>
                </c:pt>
                <c:pt idx="4">
                  <c:v>2455</c:v>
                </c:pt>
                <c:pt idx="5">
                  <c:v>2497</c:v>
                </c:pt>
                <c:pt idx="6">
                  <c:v>2477</c:v>
                </c:pt>
                <c:pt idx="7">
                  <c:v>2448</c:v>
                </c:pt>
                <c:pt idx="8">
                  <c:v>2459</c:v>
                </c:pt>
                <c:pt idx="9">
                  <c:v>2492</c:v>
                </c:pt>
                <c:pt idx="10">
                  <c:v>2610</c:v>
                </c:pt>
                <c:pt idx="11">
                  <c:v>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0D-428D-B429-5030284D900B}"/>
            </c:ext>
          </c:extLst>
        </c:ser>
        <c:ser>
          <c:idx val="4"/>
          <c:order val="4"/>
          <c:tx>
            <c:strRef>
              <c:f>'ТБ 2022'!$A$9</c:f>
              <c:strCache>
                <c:ptCount val="1"/>
                <c:pt idx="0">
                  <c:v>Сальдо торгового баланса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2022'!$B$4:$M$4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2022'!$B$9:$M$9</c:f>
              <c:numCache>
                <c:formatCode>0</c:formatCode>
                <c:ptCount val="12"/>
                <c:pt idx="0">
                  <c:v>-57</c:v>
                </c:pt>
                <c:pt idx="1">
                  <c:v>-856</c:v>
                </c:pt>
                <c:pt idx="2">
                  <c:v>-573</c:v>
                </c:pt>
                <c:pt idx="3">
                  <c:v>-1305</c:v>
                </c:pt>
                <c:pt idx="4">
                  <c:v>-2371</c:v>
                </c:pt>
                <c:pt idx="5">
                  <c:v>-3158</c:v>
                </c:pt>
                <c:pt idx="6">
                  <c:v>-3124</c:v>
                </c:pt>
                <c:pt idx="7">
                  <c:v>-2670</c:v>
                </c:pt>
                <c:pt idx="8">
                  <c:v>-1845</c:v>
                </c:pt>
                <c:pt idx="9">
                  <c:v>-2391</c:v>
                </c:pt>
                <c:pt idx="10">
                  <c:v>-3118</c:v>
                </c:pt>
                <c:pt idx="11">
                  <c:v>-4269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0D-428D-B429-5030284D9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50"/>
        <c:axId val="63758559"/>
        <c:axId val="63765215"/>
      </c:barChart>
      <c:catAx>
        <c:axId val="6375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65215"/>
        <c:crosses val="autoZero"/>
        <c:auto val="1"/>
        <c:lblAlgn val="ctr"/>
        <c:lblOffset val="100"/>
        <c:noMultiLvlLbl val="0"/>
      </c:catAx>
      <c:valAx>
        <c:axId val="63765215"/>
        <c:scaling>
          <c:orientation val="minMax"/>
          <c:max val="10000"/>
          <c:min val="-6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555474471760554"/>
          <c:y val="0.22958528162573111"/>
          <c:w val="0.23308132919430094"/>
          <c:h val="0.557651088155964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chemeClr val="accent1"/>
                </a:solidFill>
                <a:effectLst/>
              </a:rPr>
              <a:t>Прогноз сальдо торгового баланса, 2022, $ млрд</a:t>
            </a:r>
          </a:p>
        </c:rich>
      </c:tx>
      <c:layout>
        <c:manualLayout>
          <c:xMode val="edge"/>
          <c:yMode val="edge"/>
          <c:x val="7.7317425874107474E-3"/>
          <c:y val="9.061488981015348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174693693882358E-2"/>
          <c:y val="0.17370945726913359"/>
          <c:w val="0.69677431480165886"/>
          <c:h val="0.771086096750540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'ТБ 2023'!$A$5</c:f>
              <c:strCache>
                <c:ptCount val="1"/>
                <c:pt idx="0">
                  <c:v>Экспорт товаров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3"/>
              <c:layout>
                <c:manualLayout>
                  <c:x val="-9.5474826166546123E-3"/>
                  <c:y val="9.061488981015348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2EB-4A98-99F7-89089AF1936F}"/>
                </c:ext>
              </c:extLst>
            </c:dLbl>
            <c:dLbl>
              <c:idx val="6"/>
              <c:layout>
                <c:manualLayout>
                  <c:x val="-5.455704352374113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2EB-4A98-99F7-89089AF1936F}"/>
                </c:ext>
              </c:extLst>
            </c:dLbl>
            <c:dLbl>
              <c:idx val="7"/>
              <c:layout>
                <c:manualLayout>
                  <c:x val="-8.1835565285610957E-3"/>
                  <c:y val="3.020496327005116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2EB-4A98-99F7-89089AF193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2023'!$B$4:$M$4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2023'!$B$5:$M$5</c:f>
              <c:numCache>
                <c:formatCode>0</c:formatCode>
                <c:ptCount val="12"/>
                <c:pt idx="0">
                  <c:v>2969</c:v>
                </c:pt>
                <c:pt idx="1">
                  <c:v>3154</c:v>
                </c:pt>
                <c:pt idx="2">
                  <c:v>3667</c:v>
                </c:pt>
                <c:pt idx="3">
                  <c:v>2889</c:v>
                </c:pt>
                <c:pt idx="4">
                  <c:v>2953</c:v>
                </c:pt>
                <c:pt idx="5">
                  <c:v>2810</c:v>
                </c:pt>
                <c:pt idx="6">
                  <c:v>2265</c:v>
                </c:pt>
                <c:pt idx="7">
                  <c:v>2543</c:v>
                </c:pt>
                <c:pt idx="8">
                  <c:v>2557</c:v>
                </c:pt>
                <c:pt idx="9">
                  <c:v>2625</c:v>
                </c:pt>
                <c:pt idx="10">
                  <c:v>2841</c:v>
                </c:pt>
                <c:pt idx="11">
                  <c:v>3194.9933516722654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EB-4A98-99F7-89089AF1936F}"/>
            </c:ext>
          </c:extLst>
        </c:ser>
        <c:ser>
          <c:idx val="1"/>
          <c:order val="1"/>
          <c:tx>
            <c:strRef>
              <c:f>'ТБ 2023'!$A$6</c:f>
              <c:strCache>
                <c:ptCount val="1"/>
                <c:pt idx="0">
                  <c:v>Импорт товаров</c:v>
                </c:pt>
              </c:strCache>
            </c:strRef>
          </c:tx>
          <c:spPr>
            <a:solidFill>
              <a:schemeClr val="tx2">
                <a:lumMod val="90000"/>
                <a:lumOff val="1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3"/>
              <c:layout>
                <c:manualLayout>
                  <c:x val="5.4557043523740635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2EB-4A98-99F7-89089AF1936F}"/>
                </c:ext>
              </c:extLst>
            </c:dLbl>
            <c:dLbl>
              <c:idx val="4"/>
              <c:layout>
                <c:manualLayout>
                  <c:x val="5.4557043523740635E-3"/>
                  <c:y val="9.061488981015292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2EB-4A98-99F7-89089AF193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2023'!$B$4:$M$4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2023'!$B$6:$M$6</c:f>
              <c:numCache>
                <c:formatCode>0</c:formatCode>
                <c:ptCount val="12"/>
                <c:pt idx="0">
                  <c:v>-5128</c:v>
                </c:pt>
                <c:pt idx="1">
                  <c:v>-5148</c:v>
                </c:pt>
                <c:pt idx="2">
                  <c:v>-5480</c:v>
                </c:pt>
                <c:pt idx="3">
                  <c:v>-4619</c:v>
                </c:pt>
                <c:pt idx="4">
                  <c:v>-4916</c:v>
                </c:pt>
                <c:pt idx="5">
                  <c:v>-5142</c:v>
                </c:pt>
                <c:pt idx="6">
                  <c:v>-5226</c:v>
                </c:pt>
                <c:pt idx="7">
                  <c:v>-5522</c:v>
                </c:pt>
                <c:pt idx="8">
                  <c:v>-5355</c:v>
                </c:pt>
                <c:pt idx="9">
                  <c:v>-5486</c:v>
                </c:pt>
                <c:pt idx="10">
                  <c:v>-4988</c:v>
                </c:pt>
                <c:pt idx="11">
                  <c:v>-6025.4682381922266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EB-4A98-99F7-89089AF1936F}"/>
            </c:ext>
          </c:extLst>
        </c:ser>
        <c:ser>
          <c:idx val="2"/>
          <c:order val="2"/>
          <c:tx>
            <c:strRef>
              <c:f>'ТБ 2023'!$A$7</c:f>
              <c:strCache>
                <c:ptCount val="1"/>
                <c:pt idx="0">
                  <c:v>Экспорт услуг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3.2957898749701735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2EB-4A98-99F7-89089AF1936F}"/>
                </c:ext>
              </c:extLst>
            </c:dLbl>
            <c:dLbl>
              <c:idx val="1"/>
              <c:layout>
                <c:manualLayout>
                  <c:x val="3.295789874970203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2EB-4A98-99F7-89089AF1936F}"/>
                </c:ext>
              </c:extLst>
            </c:dLbl>
            <c:dLbl>
              <c:idx val="2"/>
              <c:layout>
                <c:manualLayout>
                  <c:x val="8.2394746874254413E-3"/>
                  <c:y val="2.64367818484639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2EB-4A98-99F7-89089AF1936F}"/>
                </c:ext>
              </c:extLst>
            </c:dLbl>
            <c:dLbl>
              <c:idx val="3"/>
              <c:layout>
                <c:manualLayout>
                  <c:x val="4.943684812455283E-3"/>
                  <c:y val="-9.6933746990784229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2EB-4A98-99F7-89089AF1936F}"/>
                </c:ext>
              </c:extLst>
            </c:dLbl>
            <c:dLbl>
              <c:idx val="4"/>
              <c:layout>
                <c:manualLayout>
                  <c:x val="3.2957898749701887E-3"/>
                  <c:y val="-9.6933746990784229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2EB-4A98-99F7-89089AF1936F}"/>
                </c:ext>
              </c:extLst>
            </c:dLbl>
            <c:dLbl>
              <c:idx val="5"/>
              <c:layout>
                <c:manualLayout>
                  <c:x val="3.2957898749701284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2EB-4A98-99F7-89089AF1936F}"/>
                </c:ext>
              </c:extLst>
            </c:dLbl>
            <c:dLbl>
              <c:idx val="6"/>
              <c:layout>
                <c:manualLayout>
                  <c:x val="3.2957898749701887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2EB-4A98-99F7-89089AF1936F}"/>
                </c:ext>
              </c:extLst>
            </c:dLbl>
            <c:dLbl>
              <c:idx val="7"/>
              <c:layout>
                <c:manualLayout>
                  <c:x val="3.2957898749701887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2EB-4A98-99F7-89089AF1936F}"/>
                </c:ext>
              </c:extLst>
            </c:dLbl>
            <c:dLbl>
              <c:idx val="8"/>
              <c:layout>
                <c:manualLayout>
                  <c:x val="4.943684812455283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F2EB-4A98-99F7-89089AF1936F}"/>
                </c:ext>
              </c:extLst>
            </c:dLbl>
            <c:dLbl>
              <c:idx val="9"/>
              <c:layout>
                <c:manualLayout>
                  <c:x val="3.2957898749700677E-3"/>
                  <c:y val="-9.6933746990784229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F2EB-4A98-99F7-89089AF1936F}"/>
                </c:ext>
              </c:extLst>
            </c:dLbl>
            <c:dLbl>
              <c:idx val="10"/>
              <c:layout>
                <c:manualLayout>
                  <c:x val="3.2957898749701887E-3"/>
                  <c:y val="2.64367818484639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F2EB-4A98-99F7-89089AF1936F}"/>
                </c:ext>
              </c:extLst>
            </c:dLbl>
            <c:dLbl>
              <c:idx val="11"/>
              <c:layout>
                <c:manualLayout>
                  <c:x val="6.591579749940256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F2EB-4A98-99F7-89089AF193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ln w="0">
                      <a:noFill/>
                    </a:ln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2023'!$B$4:$M$4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2023'!$B$7:$M$7</c:f>
              <c:numCache>
                <c:formatCode>0</c:formatCode>
                <c:ptCount val="12"/>
                <c:pt idx="0">
                  <c:v>1277</c:v>
                </c:pt>
                <c:pt idx="1">
                  <c:v>1315</c:v>
                </c:pt>
                <c:pt idx="2">
                  <c:v>1387</c:v>
                </c:pt>
                <c:pt idx="3">
                  <c:v>1276</c:v>
                </c:pt>
                <c:pt idx="4">
                  <c:v>1352</c:v>
                </c:pt>
                <c:pt idx="5">
                  <c:v>1363</c:v>
                </c:pt>
                <c:pt idx="6">
                  <c:v>1370</c:v>
                </c:pt>
                <c:pt idx="7">
                  <c:v>1391</c:v>
                </c:pt>
                <c:pt idx="8">
                  <c:v>1283</c:v>
                </c:pt>
                <c:pt idx="9">
                  <c:v>1360</c:v>
                </c:pt>
                <c:pt idx="10">
                  <c:v>1423</c:v>
                </c:pt>
                <c:pt idx="11">
                  <c:v>1394.6049390718174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2EB-4A98-99F7-89089AF1936F}"/>
            </c:ext>
          </c:extLst>
        </c:ser>
        <c:ser>
          <c:idx val="3"/>
          <c:order val="3"/>
          <c:tx>
            <c:strRef>
              <c:f>'ТБ 2023'!$A$8</c:f>
              <c:strCache>
                <c:ptCount val="1"/>
                <c:pt idx="0">
                  <c:v>Импорт услуг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-5.0010045509782331E-17"/>
                  <c:y val="4.17153962166114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F2EB-4A98-99F7-89089AF1936F}"/>
                </c:ext>
              </c:extLst>
            </c:dLbl>
            <c:dLbl>
              <c:idx val="7"/>
              <c:layout>
                <c:manualLayout>
                  <c:x val="0"/>
                  <c:y val="8.343079243322129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F2EB-4A98-99F7-89089AF193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2023'!$B$4:$M$4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2023'!$B$8:$M$8</c:f>
              <c:numCache>
                <c:formatCode>0</c:formatCode>
                <c:ptCount val="12"/>
                <c:pt idx="0">
                  <c:v>-2691</c:v>
                </c:pt>
                <c:pt idx="1">
                  <c:v>-2622</c:v>
                </c:pt>
                <c:pt idx="2">
                  <c:v>-2259</c:v>
                </c:pt>
                <c:pt idx="3">
                  <c:v>-1905</c:v>
                </c:pt>
                <c:pt idx="4">
                  <c:v>-1946</c:v>
                </c:pt>
                <c:pt idx="5">
                  <c:v>-1909</c:v>
                </c:pt>
                <c:pt idx="6">
                  <c:v>-1975</c:v>
                </c:pt>
                <c:pt idx="7">
                  <c:v>-1979</c:v>
                </c:pt>
                <c:pt idx="8">
                  <c:v>-1937</c:v>
                </c:pt>
                <c:pt idx="9">
                  <c:v>-1948</c:v>
                </c:pt>
                <c:pt idx="10">
                  <c:v>-2005</c:v>
                </c:pt>
                <c:pt idx="11">
                  <c:v>-2261.9392651909529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2EB-4A98-99F7-89089AF1936F}"/>
            </c:ext>
          </c:extLst>
        </c:ser>
        <c:ser>
          <c:idx val="4"/>
          <c:order val="4"/>
          <c:tx>
            <c:strRef>
              <c:f>'ТБ 2023'!$A$9</c:f>
              <c:strCache>
                <c:ptCount val="1"/>
                <c:pt idx="0">
                  <c:v>Сальдо торгового баланса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2023'!$B$4:$M$4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2023'!$B$9:$M$9</c:f>
              <c:numCache>
                <c:formatCode>0</c:formatCode>
                <c:ptCount val="12"/>
                <c:pt idx="0">
                  <c:v>-3573</c:v>
                </c:pt>
                <c:pt idx="1">
                  <c:v>-3301</c:v>
                </c:pt>
                <c:pt idx="2">
                  <c:v>-2685</c:v>
                </c:pt>
                <c:pt idx="3">
                  <c:v>-2359</c:v>
                </c:pt>
                <c:pt idx="4">
                  <c:v>-2557</c:v>
                </c:pt>
                <c:pt idx="5">
                  <c:v>-2878</c:v>
                </c:pt>
                <c:pt idx="6">
                  <c:v>-3566</c:v>
                </c:pt>
                <c:pt idx="7">
                  <c:v>-3567</c:v>
                </c:pt>
                <c:pt idx="8">
                  <c:v>-3452</c:v>
                </c:pt>
                <c:pt idx="9">
                  <c:v>-3449</c:v>
                </c:pt>
                <c:pt idx="10">
                  <c:v>-2729</c:v>
                </c:pt>
                <c:pt idx="11">
                  <c:v>-3697.8092126390966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2EB-4A98-99F7-89089AF19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758559"/>
        <c:axId val="63765215"/>
      </c:barChart>
      <c:catAx>
        <c:axId val="6375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65215"/>
        <c:crosses val="autoZero"/>
        <c:auto val="1"/>
        <c:lblAlgn val="ctr"/>
        <c:lblOffset val="100"/>
        <c:noMultiLvlLbl val="0"/>
      </c:catAx>
      <c:valAx>
        <c:axId val="63765215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555474471760554"/>
          <c:y val="0.22958528162573111"/>
          <c:w val="0.23308132919430094"/>
          <c:h val="0.557651088155964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chemeClr val="accent1"/>
                </a:solidFill>
                <a:effectLst/>
              </a:rPr>
              <a:t>Прогноз сальдо торгового баланса, 202</a:t>
            </a:r>
            <a:r>
              <a:rPr lang="en-US" sz="1800" b="1">
                <a:solidFill>
                  <a:schemeClr val="accent1"/>
                </a:solidFill>
                <a:effectLst/>
              </a:rPr>
              <a:t>3</a:t>
            </a:r>
            <a:r>
              <a:rPr lang="ru-RU" sz="1800" b="1">
                <a:solidFill>
                  <a:schemeClr val="accent1"/>
                </a:solidFill>
                <a:effectLst/>
              </a:rPr>
              <a:t>, $ млрд</a:t>
            </a:r>
          </a:p>
        </c:rich>
      </c:tx>
      <c:layout>
        <c:manualLayout>
          <c:xMode val="edge"/>
          <c:yMode val="edge"/>
          <c:x val="7.7317425874107474E-3"/>
          <c:y val="9.061488981015348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174693693882358E-2"/>
          <c:y val="0.17370945726913359"/>
          <c:w val="0.69677431480165886"/>
          <c:h val="0.771086096750540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'ТБ 2023'!$A$5</c:f>
              <c:strCache>
                <c:ptCount val="1"/>
                <c:pt idx="0">
                  <c:v>Экспорт товаров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2023'!$B$4:$M$4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2023'!$B$5:$M$5</c:f>
              <c:numCache>
                <c:formatCode>0</c:formatCode>
                <c:ptCount val="12"/>
                <c:pt idx="0">
                  <c:v>2969</c:v>
                </c:pt>
                <c:pt idx="1">
                  <c:v>3154</c:v>
                </c:pt>
                <c:pt idx="2">
                  <c:v>3667</c:v>
                </c:pt>
                <c:pt idx="3">
                  <c:v>2889</c:v>
                </c:pt>
                <c:pt idx="4">
                  <c:v>2953</c:v>
                </c:pt>
                <c:pt idx="5">
                  <c:v>2810</c:v>
                </c:pt>
                <c:pt idx="6">
                  <c:v>2265</c:v>
                </c:pt>
                <c:pt idx="7">
                  <c:v>2543</c:v>
                </c:pt>
                <c:pt idx="8">
                  <c:v>2557</c:v>
                </c:pt>
                <c:pt idx="9">
                  <c:v>2625</c:v>
                </c:pt>
                <c:pt idx="10">
                  <c:v>2841</c:v>
                </c:pt>
                <c:pt idx="11">
                  <c:v>3194.9933516722654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3B-4DC5-92F4-5B28C126B7FA}"/>
            </c:ext>
          </c:extLst>
        </c:ser>
        <c:ser>
          <c:idx val="1"/>
          <c:order val="1"/>
          <c:tx>
            <c:strRef>
              <c:f>'ТБ 2023'!$A$6</c:f>
              <c:strCache>
                <c:ptCount val="1"/>
                <c:pt idx="0">
                  <c:v>Импорт товаров</c:v>
                </c:pt>
              </c:strCache>
            </c:strRef>
          </c:tx>
          <c:spPr>
            <a:solidFill>
              <a:schemeClr val="tx2">
                <a:lumMod val="90000"/>
                <a:lumOff val="1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2023'!$B$4:$M$4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2023'!$B$6:$M$6</c:f>
              <c:numCache>
                <c:formatCode>0</c:formatCode>
                <c:ptCount val="12"/>
                <c:pt idx="0">
                  <c:v>-5128</c:v>
                </c:pt>
                <c:pt idx="1">
                  <c:v>-5148</c:v>
                </c:pt>
                <c:pt idx="2">
                  <c:v>-5480</c:v>
                </c:pt>
                <c:pt idx="3">
                  <c:v>-4619</c:v>
                </c:pt>
                <c:pt idx="4">
                  <c:v>-4916</c:v>
                </c:pt>
                <c:pt idx="5">
                  <c:v>-5142</c:v>
                </c:pt>
                <c:pt idx="6">
                  <c:v>-5226</c:v>
                </c:pt>
                <c:pt idx="7">
                  <c:v>-5522</c:v>
                </c:pt>
                <c:pt idx="8">
                  <c:v>-5355</c:v>
                </c:pt>
                <c:pt idx="9">
                  <c:v>-5486</c:v>
                </c:pt>
                <c:pt idx="10">
                  <c:v>-4988</c:v>
                </c:pt>
                <c:pt idx="11">
                  <c:v>-6025.4682381922266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3B-4DC5-92F4-5B28C126B7FA}"/>
            </c:ext>
          </c:extLst>
        </c:ser>
        <c:ser>
          <c:idx val="2"/>
          <c:order val="2"/>
          <c:tx>
            <c:strRef>
              <c:f>'ТБ 2023'!$A$7</c:f>
              <c:strCache>
                <c:ptCount val="1"/>
                <c:pt idx="0">
                  <c:v>Экспорт услуг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ln w="0">
                      <a:noFill/>
                    </a:ln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2023'!$B$4:$M$4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2023'!$B$7:$M$7</c:f>
              <c:numCache>
                <c:formatCode>0</c:formatCode>
                <c:ptCount val="12"/>
                <c:pt idx="0">
                  <c:v>1277</c:v>
                </c:pt>
                <c:pt idx="1">
                  <c:v>1315</c:v>
                </c:pt>
                <c:pt idx="2">
                  <c:v>1387</c:v>
                </c:pt>
                <c:pt idx="3">
                  <c:v>1276</c:v>
                </c:pt>
                <c:pt idx="4">
                  <c:v>1352</c:v>
                </c:pt>
                <c:pt idx="5">
                  <c:v>1363</c:v>
                </c:pt>
                <c:pt idx="6">
                  <c:v>1370</c:v>
                </c:pt>
                <c:pt idx="7">
                  <c:v>1391</c:v>
                </c:pt>
                <c:pt idx="8">
                  <c:v>1283</c:v>
                </c:pt>
                <c:pt idx="9">
                  <c:v>1360</c:v>
                </c:pt>
                <c:pt idx="10">
                  <c:v>1423</c:v>
                </c:pt>
                <c:pt idx="11">
                  <c:v>1394.6049390718174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3B-4DC5-92F4-5B28C126B7FA}"/>
            </c:ext>
          </c:extLst>
        </c:ser>
        <c:ser>
          <c:idx val="3"/>
          <c:order val="3"/>
          <c:tx>
            <c:strRef>
              <c:f>'ТБ 2023'!$A$8</c:f>
              <c:strCache>
                <c:ptCount val="1"/>
                <c:pt idx="0">
                  <c:v>Импорт услуг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-5.0010045509782331E-17"/>
                  <c:y val="4.17153962166114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3B-4DC5-92F4-5B28C126B7FA}"/>
                </c:ext>
              </c:extLst>
            </c:dLbl>
            <c:dLbl>
              <c:idx val="7"/>
              <c:layout>
                <c:manualLayout>
                  <c:x val="0"/>
                  <c:y val="8.343079243322129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53B-4DC5-92F4-5B28C126B7F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2023'!$B$4:$M$4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2023'!$B$8:$M$8</c:f>
              <c:numCache>
                <c:formatCode>0</c:formatCode>
                <c:ptCount val="12"/>
                <c:pt idx="0">
                  <c:v>-2691</c:v>
                </c:pt>
                <c:pt idx="1">
                  <c:v>-2622</c:v>
                </c:pt>
                <c:pt idx="2">
                  <c:v>-2259</c:v>
                </c:pt>
                <c:pt idx="3">
                  <c:v>-1905</c:v>
                </c:pt>
                <c:pt idx="4">
                  <c:v>-1946</c:v>
                </c:pt>
                <c:pt idx="5">
                  <c:v>-1909</c:v>
                </c:pt>
                <c:pt idx="6">
                  <c:v>-1975</c:v>
                </c:pt>
                <c:pt idx="7">
                  <c:v>-1979</c:v>
                </c:pt>
                <c:pt idx="8">
                  <c:v>-1937</c:v>
                </c:pt>
                <c:pt idx="9">
                  <c:v>-1948</c:v>
                </c:pt>
                <c:pt idx="10">
                  <c:v>-2005</c:v>
                </c:pt>
                <c:pt idx="11">
                  <c:v>-2261.9392651909529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3B-4DC5-92F4-5B28C126B7FA}"/>
            </c:ext>
          </c:extLst>
        </c:ser>
        <c:ser>
          <c:idx val="4"/>
          <c:order val="4"/>
          <c:tx>
            <c:strRef>
              <c:f>'ТБ 2023'!$A$9</c:f>
              <c:strCache>
                <c:ptCount val="1"/>
                <c:pt idx="0">
                  <c:v>Сальдо торгового баланса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2023'!$B$4:$M$4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2023'!$B$9:$M$9</c:f>
              <c:numCache>
                <c:formatCode>0</c:formatCode>
                <c:ptCount val="12"/>
                <c:pt idx="0">
                  <c:v>-3573</c:v>
                </c:pt>
                <c:pt idx="1">
                  <c:v>-3301</c:v>
                </c:pt>
                <c:pt idx="2">
                  <c:v>-2685</c:v>
                </c:pt>
                <c:pt idx="3">
                  <c:v>-2359</c:v>
                </c:pt>
                <c:pt idx="4">
                  <c:v>-2557</c:v>
                </c:pt>
                <c:pt idx="5">
                  <c:v>-2878</c:v>
                </c:pt>
                <c:pt idx="6">
                  <c:v>-3566</c:v>
                </c:pt>
                <c:pt idx="7">
                  <c:v>-3567</c:v>
                </c:pt>
                <c:pt idx="8">
                  <c:v>-3452</c:v>
                </c:pt>
                <c:pt idx="9">
                  <c:v>-3449</c:v>
                </c:pt>
                <c:pt idx="10">
                  <c:v>-2729</c:v>
                </c:pt>
                <c:pt idx="11">
                  <c:v>-3697.8092126390966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3B-4DC5-92F4-5B28C126B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50"/>
        <c:axId val="63758559"/>
        <c:axId val="63765215"/>
      </c:barChart>
      <c:catAx>
        <c:axId val="6375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65215"/>
        <c:crosses val="autoZero"/>
        <c:auto val="1"/>
        <c:lblAlgn val="ctr"/>
        <c:lblOffset val="100"/>
        <c:noMultiLvlLbl val="0"/>
      </c:catAx>
      <c:valAx>
        <c:axId val="63765215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555474471760554"/>
          <c:y val="0.22958528162573111"/>
          <c:w val="0.23308132919430094"/>
          <c:h val="0.557651088155964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chemeClr val="accent1"/>
                </a:solidFill>
                <a:effectLst/>
              </a:rPr>
              <a:t>Прогноз сальдо торгового баланса, 2022, $ млрд</a:t>
            </a:r>
          </a:p>
        </c:rich>
      </c:tx>
      <c:layout>
        <c:manualLayout>
          <c:xMode val="edge"/>
          <c:yMode val="edge"/>
          <c:x val="7.7317425874107474E-3"/>
          <c:y val="9.061488981015348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174693693882358E-2"/>
          <c:y val="0.17370945726913359"/>
          <c:w val="0.69677431480165886"/>
          <c:h val="0.771086096750540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'ТБ 2024'!$A$5</c:f>
              <c:strCache>
                <c:ptCount val="1"/>
                <c:pt idx="0">
                  <c:v>Экспорт товаров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Lbl>
              <c:idx val="3"/>
              <c:layout>
                <c:manualLayout>
                  <c:x val="-9.5474826166546123E-3"/>
                  <c:y val="9.061488981015348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463-4274-927C-BB38477076FB}"/>
                </c:ext>
              </c:extLst>
            </c:dLbl>
            <c:dLbl>
              <c:idx val="6"/>
              <c:layout>
                <c:manualLayout>
                  <c:x val="-5.455704352374113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463-4274-927C-BB38477076FB}"/>
                </c:ext>
              </c:extLst>
            </c:dLbl>
            <c:dLbl>
              <c:idx val="7"/>
              <c:layout>
                <c:manualLayout>
                  <c:x val="-8.1835565285610957E-3"/>
                  <c:y val="3.0204963270051162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463-4274-927C-BB38477076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2024'!$B$4:$M$4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2024'!$B$5:$M$5</c:f>
              <c:numCache>
                <c:formatCode>0</c:formatCode>
                <c:ptCount val="12"/>
                <c:pt idx="0">
                  <c:v>3382.7961247419639</c:v>
                </c:pt>
                <c:pt idx="1">
                  <c:v>3341.9071300703863</c:v>
                </c:pt>
                <c:pt idx="2">
                  <c:v>3076.3172319355976</c:v>
                </c:pt>
                <c:pt idx="3">
                  <c:v>2778.0376337633825</c:v>
                </c:pt>
                <c:pt idx="4">
                  <c:v>2536.7056909019416</c:v>
                </c:pt>
                <c:pt idx="5">
                  <c:v>2204.5166866455006</c:v>
                </c:pt>
                <c:pt idx="6">
                  <c:v>2282.7182907568204</c:v>
                </c:pt>
                <c:pt idx="7">
                  <c:v>3162.6490721710247</c:v>
                </c:pt>
                <c:pt idx="8">
                  <c:v>3309.3254276759826</c:v>
                </c:pt>
                <c:pt idx="9">
                  <c:v>3568.9838068050317</c:v>
                </c:pt>
                <c:pt idx="10">
                  <c:v>3653.6022940919875</c:v>
                </c:pt>
                <c:pt idx="11">
                  <c:v>3558.3898645855024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63-4274-927C-BB38477076FB}"/>
            </c:ext>
          </c:extLst>
        </c:ser>
        <c:ser>
          <c:idx val="1"/>
          <c:order val="1"/>
          <c:tx>
            <c:strRef>
              <c:f>'ТБ 2024'!$A$6</c:f>
              <c:strCache>
                <c:ptCount val="1"/>
                <c:pt idx="0">
                  <c:v>Импорт товаров</c:v>
                </c:pt>
              </c:strCache>
            </c:strRef>
          </c:tx>
          <c:spPr>
            <a:solidFill>
              <a:schemeClr val="tx2">
                <a:lumMod val="90000"/>
                <a:lumOff val="1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3"/>
              <c:layout>
                <c:manualLayout>
                  <c:x val="5.4557043523740635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463-4274-927C-BB38477076FB}"/>
                </c:ext>
              </c:extLst>
            </c:dLbl>
            <c:dLbl>
              <c:idx val="4"/>
              <c:layout>
                <c:manualLayout>
                  <c:x val="5.4557043523740635E-3"/>
                  <c:y val="9.061488981015292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63-4274-927C-BB38477076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2024'!$B$4:$M$4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2024'!$B$6:$M$6</c:f>
              <c:numCache>
                <c:formatCode>0</c:formatCode>
                <c:ptCount val="12"/>
                <c:pt idx="0">
                  <c:v>-4777.5502736476928</c:v>
                </c:pt>
                <c:pt idx="1">
                  <c:v>-5557.4629374165024</c:v>
                </c:pt>
                <c:pt idx="2">
                  <c:v>-5779.7996101138451</c:v>
                </c:pt>
                <c:pt idx="3">
                  <c:v>-5005.4677256669647</c:v>
                </c:pt>
                <c:pt idx="4">
                  <c:v>-5008.1605640609396</c:v>
                </c:pt>
                <c:pt idx="5">
                  <c:v>-5037.0354474733085</c:v>
                </c:pt>
                <c:pt idx="6">
                  <c:v>-5305.6165975042468</c:v>
                </c:pt>
                <c:pt idx="7">
                  <c:v>-5282.2109243011146</c:v>
                </c:pt>
                <c:pt idx="8">
                  <c:v>-5552.1850696257598</c:v>
                </c:pt>
                <c:pt idx="9">
                  <c:v>-5906.8649571660426</c:v>
                </c:pt>
                <c:pt idx="10">
                  <c:v>-5957.9863208373527</c:v>
                </c:pt>
                <c:pt idx="11">
                  <c:v>-5961.2363127119443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63-4274-927C-BB38477076FB}"/>
            </c:ext>
          </c:extLst>
        </c:ser>
        <c:ser>
          <c:idx val="2"/>
          <c:order val="2"/>
          <c:tx>
            <c:strRef>
              <c:f>'ТБ 2024'!$A$7</c:f>
              <c:strCache>
                <c:ptCount val="1"/>
                <c:pt idx="0">
                  <c:v>Экспорт услуг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3.2957898749701735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463-4274-927C-BB38477076FB}"/>
                </c:ext>
              </c:extLst>
            </c:dLbl>
            <c:dLbl>
              <c:idx val="1"/>
              <c:layout>
                <c:manualLayout>
                  <c:x val="3.295789874970203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463-4274-927C-BB38477076FB}"/>
                </c:ext>
              </c:extLst>
            </c:dLbl>
            <c:dLbl>
              <c:idx val="2"/>
              <c:layout>
                <c:manualLayout>
                  <c:x val="8.2394746874254413E-3"/>
                  <c:y val="2.64367818484639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63-4274-927C-BB38477076FB}"/>
                </c:ext>
              </c:extLst>
            </c:dLbl>
            <c:dLbl>
              <c:idx val="3"/>
              <c:layout>
                <c:manualLayout>
                  <c:x val="4.943684812455283E-3"/>
                  <c:y val="-9.6933746990784229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463-4274-927C-BB38477076FB}"/>
                </c:ext>
              </c:extLst>
            </c:dLbl>
            <c:dLbl>
              <c:idx val="4"/>
              <c:layout>
                <c:manualLayout>
                  <c:x val="3.2957898749701887E-3"/>
                  <c:y val="-9.6933746990784229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63-4274-927C-BB38477076FB}"/>
                </c:ext>
              </c:extLst>
            </c:dLbl>
            <c:dLbl>
              <c:idx val="5"/>
              <c:layout>
                <c:manualLayout>
                  <c:x val="3.2957898749701284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463-4274-927C-BB38477076FB}"/>
                </c:ext>
              </c:extLst>
            </c:dLbl>
            <c:dLbl>
              <c:idx val="6"/>
              <c:layout>
                <c:manualLayout>
                  <c:x val="3.2957898749701887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63-4274-927C-BB38477076FB}"/>
                </c:ext>
              </c:extLst>
            </c:dLbl>
            <c:dLbl>
              <c:idx val="7"/>
              <c:layout>
                <c:manualLayout>
                  <c:x val="3.2957898749701887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463-4274-927C-BB38477076FB}"/>
                </c:ext>
              </c:extLst>
            </c:dLbl>
            <c:dLbl>
              <c:idx val="8"/>
              <c:layout>
                <c:manualLayout>
                  <c:x val="4.943684812455283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463-4274-927C-BB38477076FB}"/>
                </c:ext>
              </c:extLst>
            </c:dLbl>
            <c:dLbl>
              <c:idx val="9"/>
              <c:layout>
                <c:manualLayout>
                  <c:x val="3.2957898749700677E-3"/>
                  <c:y val="-9.6933746990784229E-1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1463-4274-927C-BB38477076FB}"/>
                </c:ext>
              </c:extLst>
            </c:dLbl>
            <c:dLbl>
              <c:idx val="10"/>
              <c:layout>
                <c:manualLayout>
                  <c:x val="3.2957898749701887E-3"/>
                  <c:y val="2.643678184846395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463-4274-927C-BB38477076FB}"/>
                </c:ext>
              </c:extLst>
            </c:dLbl>
            <c:dLbl>
              <c:idx val="11"/>
              <c:layout>
                <c:manualLayout>
                  <c:x val="6.5915797499402568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1463-4274-927C-BB38477076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ln w="0">
                      <a:noFill/>
                    </a:ln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2024'!$B$4:$M$4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2024'!$B$7:$M$7</c:f>
              <c:numCache>
                <c:formatCode>0</c:formatCode>
                <c:ptCount val="12"/>
                <c:pt idx="0">
                  <c:v>1212.1763998932752</c:v>
                </c:pt>
                <c:pt idx="1">
                  <c:v>1186.9162890555858</c:v>
                </c:pt>
                <c:pt idx="2">
                  <c:v>1287.5837651089178</c:v>
                </c:pt>
                <c:pt idx="3">
                  <c:v>1334.6237913867844</c:v>
                </c:pt>
                <c:pt idx="4">
                  <c:v>1297.3430707181385</c:v>
                </c:pt>
                <c:pt idx="5">
                  <c:v>1337.6704049136683</c:v>
                </c:pt>
                <c:pt idx="6">
                  <c:v>1395.0109483497949</c:v>
                </c:pt>
                <c:pt idx="7">
                  <c:v>1397.2832558078705</c:v>
                </c:pt>
                <c:pt idx="8">
                  <c:v>1398.6193329978946</c:v>
                </c:pt>
                <c:pt idx="9">
                  <c:v>1452.1851520500602</c:v>
                </c:pt>
                <c:pt idx="10">
                  <c:v>1502.6420698252132</c:v>
                </c:pt>
                <c:pt idx="11">
                  <c:v>1655.1786025544411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463-4274-927C-BB38477076FB}"/>
            </c:ext>
          </c:extLst>
        </c:ser>
        <c:ser>
          <c:idx val="3"/>
          <c:order val="3"/>
          <c:tx>
            <c:strRef>
              <c:f>'ТБ 2024'!$A$8</c:f>
              <c:strCache>
                <c:ptCount val="1"/>
                <c:pt idx="0">
                  <c:v>Импорт услуг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-5.0010045509782331E-17"/>
                  <c:y val="4.17153962166114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1463-4274-927C-BB38477076FB}"/>
                </c:ext>
              </c:extLst>
            </c:dLbl>
            <c:dLbl>
              <c:idx val="7"/>
              <c:layout>
                <c:manualLayout>
                  <c:x val="0"/>
                  <c:y val="8.343079243322129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1463-4274-927C-BB38477076F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2024'!$B$4:$M$4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2024'!$B$8:$M$8</c:f>
              <c:numCache>
                <c:formatCode>0</c:formatCode>
                <c:ptCount val="12"/>
                <c:pt idx="0">
                  <c:v>-1890.8670388141809</c:v>
                </c:pt>
                <c:pt idx="1">
                  <c:v>-1917.1227895072627</c:v>
                </c:pt>
                <c:pt idx="2">
                  <c:v>-1876.2670230532278</c:v>
                </c:pt>
                <c:pt idx="3">
                  <c:v>-1844.0665374603941</c:v>
                </c:pt>
                <c:pt idx="4">
                  <c:v>-1827.6346784586869</c:v>
                </c:pt>
                <c:pt idx="5">
                  <c:v>-1886.1713079702549</c:v>
                </c:pt>
                <c:pt idx="6">
                  <c:v>-1927.0686447912112</c:v>
                </c:pt>
                <c:pt idx="7">
                  <c:v>-1953.8703401183875</c:v>
                </c:pt>
                <c:pt idx="8">
                  <c:v>-1985.7782210237053</c:v>
                </c:pt>
                <c:pt idx="9">
                  <c:v>-1907.2393017454419</c:v>
                </c:pt>
                <c:pt idx="10">
                  <c:v>-1902.0528308071632</c:v>
                </c:pt>
                <c:pt idx="11">
                  <c:v>-2229.2532559448287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1463-4274-927C-BB38477076FB}"/>
            </c:ext>
          </c:extLst>
        </c:ser>
        <c:ser>
          <c:idx val="4"/>
          <c:order val="4"/>
          <c:tx>
            <c:strRef>
              <c:f>'ТБ 2024'!$A$9</c:f>
              <c:strCache>
                <c:ptCount val="1"/>
                <c:pt idx="0">
                  <c:v>Сальдо торгового баланса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2024'!$B$4:$M$4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2024'!$B$9:$M$9</c:f>
              <c:numCache>
                <c:formatCode>0</c:formatCode>
                <c:ptCount val="12"/>
                <c:pt idx="0">
                  <c:v>-2073.4447878266346</c:v>
                </c:pt>
                <c:pt idx="1">
                  <c:v>-2945.7623077977933</c:v>
                </c:pt>
                <c:pt idx="2">
                  <c:v>-3292.1656361225578</c:v>
                </c:pt>
                <c:pt idx="3">
                  <c:v>-2736.8728379771919</c:v>
                </c:pt>
                <c:pt idx="4">
                  <c:v>-3001.7464808995464</c:v>
                </c:pt>
                <c:pt idx="5">
                  <c:v>-3381.0196638843945</c:v>
                </c:pt>
                <c:pt idx="6">
                  <c:v>-3554.9560031888427</c:v>
                </c:pt>
                <c:pt idx="7">
                  <c:v>-2676.148936440607</c:v>
                </c:pt>
                <c:pt idx="8">
                  <c:v>-2830.0185299755876</c:v>
                </c:pt>
                <c:pt idx="9">
                  <c:v>-2792.9353000563924</c:v>
                </c:pt>
                <c:pt idx="10">
                  <c:v>-2703.7947877273155</c:v>
                </c:pt>
                <c:pt idx="11">
                  <c:v>-2976.9211015168294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1463-4274-927C-BB3847707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3758559"/>
        <c:axId val="63765215"/>
      </c:barChart>
      <c:catAx>
        <c:axId val="6375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65215"/>
        <c:crosses val="autoZero"/>
        <c:auto val="1"/>
        <c:lblAlgn val="ctr"/>
        <c:lblOffset val="100"/>
        <c:noMultiLvlLbl val="0"/>
      </c:catAx>
      <c:valAx>
        <c:axId val="63765215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555474471760554"/>
          <c:y val="0.22958528162573111"/>
          <c:w val="0.23308132919430094"/>
          <c:h val="0.557651088155964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>
                <a:solidFill>
                  <a:schemeClr val="accent1"/>
                </a:solidFill>
                <a:effectLst/>
              </a:rPr>
              <a:t>Прогноз сальдо торгового баланса, 202</a:t>
            </a:r>
            <a:r>
              <a:rPr lang="en-US" sz="1800" b="1">
                <a:solidFill>
                  <a:schemeClr val="accent1"/>
                </a:solidFill>
                <a:effectLst/>
              </a:rPr>
              <a:t>3</a:t>
            </a:r>
            <a:r>
              <a:rPr lang="ru-RU" sz="1800" b="1">
                <a:solidFill>
                  <a:schemeClr val="accent1"/>
                </a:solidFill>
                <a:effectLst/>
              </a:rPr>
              <a:t>, $ млрд</a:t>
            </a:r>
          </a:p>
        </c:rich>
      </c:tx>
      <c:layout>
        <c:manualLayout>
          <c:xMode val="edge"/>
          <c:yMode val="edge"/>
          <c:x val="7.7317425874107474E-3"/>
          <c:y val="9.061488981015348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3174693693882358E-2"/>
          <c:y val="0.17370945726913359"/>
          <c:w val="0.69677431480165886"/>
          <c:h val="0.7710860967505405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'ТБ 2024'!$A$5</c:f>
              <c:strCache>
                <c:ptCount val="1"/>
                <c:pt idx="0">
                  <c:v>Экспорт товаров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6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2024'!$B$4:$M$4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2024'!$B$5:$M$5</c:f>
              <c:numCache>
                <c:formatCode>0</c:formatCode>
                <c:ptCount val="12"/>
                <c:pt idx="0">
                  <c:v>3382.7961247419639</c:v>
                </c:pt>
                <c:pt idx="1">
                  <c:v>3341.9071300703863</c:v>
                </c:pt>
                <c:pt idx="2">
                  <c:v>3076.3172319355976</c:v>
                </c:pt>
                <c:pt idx="3">
                  <c:v>2778.0376337633825</c:v>
                </c:pt>
                <c:pt idx="4">
                  <c:v>2536.7056909019416</c:v>
                </c:pt>
                <c:pt idx="5">
                  <c:v>2204.5166866455006</c:v>
                </c:pt>
                <c:pt idx="6">
                  <c:v>2282.7182907568204</c:v>
                </c:pt>
                <c:pt idx="7">
                  <c:v>3162.6490721710247</c:v>
                </c:pt>
                <c:pt idx="8">
                  <c:v>3309.3254276759826</c:v>
                </c:pt>
                <c:pt idx="9">
                  <c:v>3568.9838068050317</c:v>
                </c:pt>
                <c:pt idx="10">
                  <c:v>3653.6022940919875</c:v>
                </c:pt>
                <c:pt idx="11">
                  <c:v>3558.3898645855024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B1-43BD-BD5F-A6301BB91E03}"/>
            </c:ext>
          </c:extLst>
        </c:ser>
        <c:ser>
          <c:idx val="1"/>
          <c:order val="1"/>
          <c:tx>
            <c:strRef>
              <c:f>'ТБ 2024'!$A$6</c:f>
              <c:strCache>
                <c:ptCount val="1"/>
                <c:pt idx="0">
                  <c:v>Импорт товаров</c:v>
                </c:pt>
              </c:strCache>
            </c:strRef>
          </c:tx>
          <c:spPr>
            <a:solidFill>
              <a:schemeClr val="tx2">
                <a:lumMod val="90000"/>
                <a:lumOff val="1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2024'!$B$4:$M$4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2024'!$B$6:$M$6</c:f>
              <c:numCache>
                <c:formatCode>0</c:formatCode>
                <c:ptCount val="12"/>
                <c:pt idx="0">
                  <c:v>-4777.5502736476928</c:v>
                </c:pt>
                <c:pt idx="1">
                  <c:v>-5557.4629374165024</c:v>
                </c:pt>
                <c:pt idx="2">
                  <c:v>-5779.7996101138451</c:v>
                </c:pt>
                <c:pt idx="3">
                  <c:v>-5005.4677256669647</c:v>
                </c:pt>
                <c:pt idx="4">
                  <c:v>-5008.1605640609396</c:v>
                </c:pt>
                <c:pt idx="5">
                  <c:v>-5037.0354474733085</c:v>
                </c:pt>
                <c:pt idx="6">
                  <c:v>-5305.6165975042468</c:v>
                </c:pt>
                <c:pt idx="7">
                  <c:v>-5282.2109243011146</c:v>
                </c:pt>
                <c:pt idx="8">
                  <c:v>-5552.1850696257598</c:v>
                </c:pt>
                <c:pt idx="9">
                  <c:v>-5906.8649571660426</c:v>
                </c:pt>
                <c:pt idx="10">
                  <c:v>-5957.9863208373527</c:v>
                </c:pt>
                <c:pt idx="11">
                  <c:v>-5961.2363127119443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B1-43BD-BD5F-A6301BB91E03}"/>
            </c:ext>
          </c:extLst>
        </c:ser>
        <c:ser>
          <c:idx val="2"/>
          <c:order val="2"/>
          <c:tx>
            <c:strRef>
              <c:f>'ТБ 2024'!$A$7</c:f>
              <c:strCache>
                <c:ptCount val="1"/>
                <c:pt idx="0">
                  <c:v>Экспорт услуг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ln w="0">
                      <a:noFill/>
                    </a:ln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2024'!$B$4:$M$4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2024'!$B$7:$M$7</c:f>
              <c:numCache>
                <c:formatCode>0</c:formatCode>
                <c:ptCount val="12"/>
                <c:pt idx="0">
                  <c:v>1212.1763998932752</c:v>
                </c:pt>
                <c:pt idx="1">
                  <c:v>1186.9162890555858</c:v>
                </c:pt>
                <c:pt idx="2">
                  <c:v>1287.5837651089178</c:v>
                </c:pt>
                <c:pt idx="3">
                  <c:v>1334.6237913867844</c:v>
                </c:pt>
                <c:pt idx="4">
                  <c:v>1297.3430707181385</c:v>
                </c:pt>
                <c:pt idx="5">
                  <c:v>1337.6704049136683</c:v>
                </c:pt>
                <c:pt idx="6">
                  <c:v>1395.0109483497949</c:v>
                </c:pt>
                <c:pt idx="7">
                  <c:v>1397.2832558078705</c:v>
                </c:pt>
                <c:pt idx="8">
                  <c:v>1398.6193329978946</c:v>
                </c:pt>
                <c:pt idx="9">
                  <c:v>1452.1851520500602</c:v>
                </c:pt>
                <c:pt idx="10">
                  <c:v>1502.6420698252132</c:v>
                </c:pt>
                <c:pt idx="11">
                  <c:v>1655.1786025544411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B1-43BD-BD5F-A6301BB91E03}"/>
            </c:ext>
          </c:extLst>
        </c:ser>
        <c:ser>
          <c:idx val="3"/>
          <c:order val="3"/>
          <c:tx>
            <c:strRef>
              <c:f>'ТБ 2024'!$A$8</c:f>
              <c:strCache>
                <c:ptCount val="1"/>
                <c:pt idx="0">
                  <c:v>Импорт услуг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-5.0010045509782331E-17"/>
                  <c:y val="4.1715396216611411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2B1-43BD-BD5F-A6301BB91E03}"/>
                </c:ext>
              </c:extLst>
            </c:dLbl>
            <c:dLbl>
              <c:idx val="7"/>
              <c:layout>
                <c:manualLayout>
                  <c:x val="0"/>
                  <c:y val="8.343079243322129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2B1-43BD-BD5F-A6301BB91E0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2024'!$B$4:$M$4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2024'!$B$8:$M$8</c:f>
              <c:numCache>
                <c:formatCode>0</c:formatCode>
                <c:ptCount val="12"/>
                <c:pt idx="0">
                  <c:v>-1890.8670388141809</c:v>
                </c:pt>
                <c:pt idx="1">
                  <c:v>-1917.1227895072627</c:v>
                </c:pt>
                <c:pt idx="2">
                  <c:v>-1876.2670230532278</c:v>
                </c:pt>
                <c:pt idx="3">
                  <c:v>-1844.0665374603941</c:v>
                </c:pt>
                <c:pt idx="4">
                  <c:v>-1827.6346784586869</c:v>
                </c:pt>
                <c:pt idx="5">
                  <c:v>-1886.1713079702549</c:v>
                </c:pt>
                <c:pt idx="6">
                  <c:v>-1927.0686447912112</c:v>
                </c:pt>
                <c:pt idx="7">
                  <c:v>-1953.8703401183875</c:v>
                </c:pt>
                <c:pt idx="8">
                  <c:v>-1985.7782210237053</c:v>
                </c:pt>
                <c:pt idx="9">
                  <c:v>-1907.2393017454419</c:v>
                </c:pt>
                <c:pt idx="10">
                  <c:v>-1902.0528308071632</c:v>
                </c:pt>
                <c:pt idx="11">
                  <c:v>-2229.2532559448287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B1-43BD-BD5F-A6301BB91E03}"/>
            </c:ext>
          </c:extLst>
        </c:ser>
        <c:ser>
          <c:idx val="4"/>
          <c:order val="4"/>
          <c:tx>
            <c:strRef>
              <c:f>'ТБ 2024'!$A$9</c:f>
              <c:strCache>
                <c:ptCount val="1"/>
                <c:pt idx="0">
                  <c:v>Сальдо торгового баланса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'ТБ 2024'!$B$4:$M$4</c:f>
              <c:strCache>
                <c:ptCount val="12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  <c:pt idx="10">
                  <c:v>11M</c:v>
                </c:pt>
                <c:pt idx="11">
                  <c:v>12M</c:v>
                </c:pt>
              </c:strCache>
            </c:strRef>
          </c:cat>
          <c:val>
            <c:numRef>
              <c:f>'ТБ 2024'!$B$9:$M$9</c:f>
              <c:numCache>
                <c:formatCode>0</c:formatCode>
                <c:ptCount val="12"/>
                <c:pt idx="0">
                  <c:v>-2073.4447878266346</c:v>
                </c:pt>
                <c:pt idx="1">
                  <c:v>-2945.7623077977933</c:v>
                </c:pt>
                <c:pt idx="2">
                  <c:v>-3292.1656361225578</c:v>
                </c:pt>
                <c:pt idx="3">
                  <c:v>-2736.8728379771919</c:v>
                </c:pt>
                <c:pt idx="4">
                  <c:v>-3001.7464808995464</c:v>
                </c:pt>
                <c:pt idx="5">
                  <c:v>-3381.0196638843945</c:v>
                </c:pt>
                <c:pt idx="6">
                  <c:v>-3554.9560031888427</c:v>
                </c:pt>
                <c:pt idx="7">
                  <c:v>-2676.148936440607</c:v>
                </c:pt>
                <c:pt idx="8">
                  <c:v>-2830.0185299755876</c:v>
                </c:pt>
                <c:pt idx="9">
                  <c:v>-2792.9353000563924</c:v>
                </c:pt>
                <c:pt idx="10">
                  <c:v>-2703.7947877273155</c:v>
                </c:pt>
                <c:pt idx="11">
                  <c:v>-2976.9211015168294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B1-43BD-BD5F-A6301BB91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0"/>
        <c:overlap val="-50"/>
        <c:axId val="63758559"/>
        <c:axId val="63765215"/>
      </c:barChart>
      <c:catAx>
        <c:axId val="6375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65215"/>
        <c:crosses val="autoZero"/>
        <c:auto val="1"/>
        <c:lblAlgn val="ctr"/>
        <c:lblOffset val="100"/>
        <c:noMultiLvlLbl val="0"/>
      </c:catAx>
      <c:valAx>
        <c:axId val="63765215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5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555474471760554"/>
          <c:y val="0.22958528162573111"/>
          <c:w val="0.23308132919430094"/>
          <c:h val="0.557651088155964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uk-UA" sz="1800">
                <a:solidFill>
                  <a:schemeClr val="accent1"/>
                </a:solidFill>
              </a:rPr>
              <a:t>Объем</a:t>
            </a:r>
            <a:r>
              <a:rPr lang="uk-UA" sz="1800" baseline="0">
                <a:solidFill>
                  <a:schemeClr val="accent1"/>
                </a:solidFill>
              </a:rPr>
              <a:t>ы ЗВР, интервенций, сальдо операций частного сектора и сальдо платежного баланса, </a:t>
            </a:r>
            <a:r>
              <a:rPr lang="uk-UA" sz="1800" b="1" i="0" u="none" strike="noStrike" baseline="0">
                <a:solidFill>
                  <a:schemeClr val="accent1"/>
                </a:solidFill>
                <a:effectLst/>
              </a:rPr>
              <a:t>$</a:t>
            </a:r>
            <a:r>
              <a:rPr lang="uk-UA" sz="1800" baseline="0">
                <a:solidFill>
                  <a:schemeClr val="accent1"/>
                </a:solidFill>
              </a:rPr>
              <a:t>млрд </a:t>
            </a:r>
            <a:endParaRPr lang="uk-UA" sz="1800">
              <a:solidFill>
                <a:schemeClr val="accent1"/>
              </a:solidFill>
            </a:endParaRPr>
          </a:p>
        </c:rich>
      </c:tx>
      <c:layout>
        <c:manualLayout>
          <c:xMode val="edge"/>
          <c:yMode val="edge"/>
          <c:x val="1.2058438703115783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3"/>
          <c:order val="3"/>
          <c:tx>
            <c:strRef>
              <c:f>'ЗВР-інт 2022-2024'!$A$6</c:f>
              <c:strCache>
                <c:ptCount val="1"/>
                <c:pt idx="0">
                  <c:v>Изменение резервов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>
              <a:noFill/>
            </a:ln>
            <a:effectLst/>
          </c:spPr>
          <c:dLbls>
            <c:dLbl>
              <c:idx val="0"/>
              <c:layout>
                <c:manualLayout>
                  <c:x val="0"/>
                  <c:y val="-0.1712988131298385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F8D-4F24-9021-D1F203823C00}"/>
                </c:ext>
              </c:extLst>
            </c:dLbl>
            <c:dLbl>
              <c:idx val="1"/>
              <c:layout>
                <c:manualLayout>
                  <c:x val="-2.5031865591183838E-17"/>
                  <c:y val="-0.1692098032136210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F8D-4F24-9021-D1F203823C00}"/>
                </c:ext>
              </c:extLst>
            </c:dLbl>
            <c:dLbl>
              <c:idx val="2"/>
              <c:layout>
                <c:manualLayout>
                  <c:x val="0"/>
                  <c:y val="-0.1671207932974034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F8D-4F24-9021-D1F203823C00}"/>
                </c:ext>
              </c:extLst>
            </c:dLbl>
            <c:dLbl>
              <c:idx val="3"/>
              <c:layout>
                <c:manualLayout>
                  <c:x val="5.4615610388577167E-3"/>
                  <c:y val="-0.162942773464968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F8D-4F24-9021-D1F203823C00}"/>
                </c:ext>
              </c:extLst>
            </c:dLbl>
            <c:dLbl>
              <c:idx val="4"/>
              <c:layout>
                <c:manualLayout>
                  <c:x val="2.7307805194288081E-3"/>
                  <c:y val="-0.1504087139676631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F8D-4F24-9021-D1F203823C00}"/>
                </c:ext>
              </c:extLst>
            </c:dLbl>
            <c:dLbl>
              <c:idx val="5"/>
              <c:layout>
                <c:manualLayout>
                  <c:x val="0"/>
                  <c:y val="-0.1420526743027929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F8D-4F24-9021-D1F203823C00}"/>
                </c:ext>
              </c:extLst>
            </c:dLbl>
            <c:dLbl>
              <c:idx val="6"/>
              <c:layout>
                <c:manualLayout>
                  <c:x val="-1.3653902597144292E-3"/>
                  <c:y val="-0.144141684219010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F8D-4F24-9021-D1F203823C00}"/>
                </c:ext>
              </c:extLst>
            </c:dLbl>
            <c:dLbl>
              <c:idx val="7"/>
              <c:layout>
                <c:manualLayout>
                  <c:x val="-1.0012746236473535E-16"/>
                  <c:y val="-0.1587647536325332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F8D-4F24-9021-D1F203823C00}"/>
                </c:ext>
              </c:extLst>
            </c:dLbl>
            <c:dLbl>
              <c:idx val="8"/>
              <c:layout>
                <c:manualLayout>
                  <c:x val="8.8696611359401898E-5"/>
                  <c:y val="-0.1568323372155471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F8D-4F24-9021-D1F203823C00}"/>
                </c:ext>
              </c:extLst>
            </c:dLbl>
            <c:dLbl>
              <c:idx val="9"/>
              <c:layout>
                <c:manualLayout>
                  <c:x val="1.3309867256113884E-4"/>
                  <c:y val="-0.1630993669641998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F8D-4F24-9021-D1F203823C00}"/>
                </c:ext>
              </c:extLst>
            </c:dLbl>
            <c:dLbl>
              <c:idx val="10"/>
              <c:layout>
                <c:manualLayout>
                  <c:x val="2.7307333768538935E-3"/>
                  <c:y val="-0.1608477937123063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F8D-4F24-9021-D1F203823C00}"/>
                </c:ext>
              </c:extLst>
            </c:dLbl>
            <c:dLbl>
              <c:idx val="11"/>
              <c:layout>
                <c:manualLayout>
                  <c:x val="8.1903733374166527E-3"/>
                  <c:y val="-0.158757106772311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F8D-4F24-9021-D1F203823C00}"/>
                </c:ext>
              </c:extLst>
            </c:dLbl>
            <c:numFmt formatCode="#,##0.0" sourceLinked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chemeClr val="accent4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3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2022-2024'!$B$6:$M$6</c:f>
              <c:numCache>
                <c:formatCode>#,##0</c:formatCode>
                <c:ptCount val="12"/>
                <c:pt idx="0">
                  <c:v>29086.959999999999</c:v>
                </c:pt>
                <c:pt idx="1">
                  <c:v>27552.86</c:v>
                </c:pt>
                <c:pt idx="2">
                  <c:v>28107.45</c:v>
                </c:pt>
                <c:pt idx="3">
                  <c:v>26945</c:v>
                </c:pt>
                <c:pt idx="4">
                  <c:v>25102</c:v>
                </c:pt>
                <c:pt idx="5">
                  <c:v>22802</c:v>
                </c:pt>
                <c:pt idx="6">
                  <c:v>22387</c:v>
                </c:pt>
                <c:pt idx="7">
                  <c:v>25439</c:v>
                </c:pt>
                <c:pt idx="8">
                  <c:v>23932</c:v>
                </c:pt>
                <c:pt idx="9">
                  <c:v>25246</c:v>
                </c:pt>
                <c:pt idx="10">
                  <c:v>27955</c:v>
                </c:pt>
                <c:pt idx="11">
                  <c:v>28494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F8D-4F24-9021-D1F203823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10896"/>
        <c:axId val="108908816"/>
      </c:areaChart>
      <c:barChart>
        <c:barDir val="col"/>
        <c:grouping val="clustered"/>
        <c:varyColors val="0"/>
        <c:ser>
          <c:idx val="0"/>
          <c:order val="0"/>
          <c:tx>
            <c:strRef>
              <c:f>'ЗВР-інт 2022-2024'!$A$3</c:f>
              <c:strCache>
                <c:ptCount val="1"/>
                <c:pt idx="0">
                  <c:v>Объемы интервенций по месяцам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-1.3653902597144292E-3"/>
                  <c:y val="4.178019832435086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F8D-4F24-9021-D1F203823C00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2022-2024'!$B$3:$M$3</c:f>
              <c:numCache>
                <c:formatCode>#,##0</c:formatCode>
                <c:ptCount val="12"/>
                <c:pt idx="0">
                  <c:v>-1313.5</c:v>
                </c:pt>
                <c:pt idx="1">
                  <c:v>-357.8</c:v>
                </c:pt>
                <c:pt idx="2">
                  <c:v>-1728</c:v>
                </c:pt>
                <c:pt idx="3">
                  <c:v>-2201</c:v>
                </c:pt>
                <c:pt idx="4">
                  <c:v>-3354.2</c:v>
                </c:pt>
                <c:pt idx="5">
                  <c:v>-3956.3</c:v>
                </c:pt>
                <c:pt idx="6">
                  <c:v>-1195</c:v>
                </c:pt>
                <c:pt idx="7">
                  <c:v>-1329.7</c:v>
                </c:pt>
                <c:pt idx="8">
                  <c:v>-2737.7</c:v>
                </c:pt>
                <c:pt idx="9">
                  <c:v>-2046.9</c:v>
                </c:pt>
                <c:pt idx="10">
                  <c:v>-1568.8</c:v>
                </c:pt>
                <c:pt idx="11">
                  <c:v>-3163.5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F8D-4F24-9021-D1F203823C00}"/>
            </c:ext>
          </c:extLst>
        </c:ser>
        <c:ser>
          <c:idx val="1"/>
          <c:order val="1"/>
          <c:tx>
            <c:strRef>
              <c:f>'ЗВР-інт 2022-2024'!$A$4</c:f>
              <c:strCache>
                <c:ptCount val="1"/>
                <c:pt idx="0">
                  <c:v>Сальдо платежного баланса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-1.3653902597144292E-3"/>
                  <c:y val="-2.089009916217543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DF8D-4F24-9021-D1F203823C00}"/>
                </c:ext>
              </c:extLst>
            </c:dLbl>
            <c:dLbl>
              <c:idx val="7"/>
              <c:layout>
                <c:manualLayout>
                  <c:x val="-1.3647219379051519E-3"/>
                  <c:y val="5.6426332288401215E-2"/>
                </c:manualLayout>
              </c:layout>
              <c:numFmt formatCode="#,##0.0" sourceLinked="0"/>
              <c:spPr>
                <a:solidFill>
                  <a:schemeClr val="accent2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DF8D-4F24-9021-D1F203823C00}"/>
                </c:ext>
              </c:extLst>
            </c:dLbl>
            <c:dLbl>
              <c:idx val="11"/>
              <c:layout>
                <c:manualLayout>
                  <c:x val="1.36539025971432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DF8D-4F24-9021-D1F203823C00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2022-2024'!$B$4:$M$4</c:f>
              <c:numCache>
                <c:formatCode>#,##0</c:formatCode>
                <c:ptCount val="12"/>
                <c:pt idx="0">
                  <c:v>-1762</c:v>
                </c:pt>
                <c:pt idx="1">
                  <c:v>-1658</c:v>
                </c:pt>
                <c:pt idx="2">
                  <c:v>679</c:v>
                </c:pt>
                <c:pt idx="3">
                  <c:v>-867</c:v>
                </c:pt>
                <c:pt idx="4">
                  <c:v>-1921</c:v>
                </c:pt>
                <c:pt idx="5">
                  <c:v>-2220</c:v>
                </c:pt>
                <c:pt idx="6">
                  <c:v>-299</c:v>
                </c:pt>
                <c:pt idx="7">
                  <c:v>3105</c:v>
                </c:pt>
                <c:pt idx="8">
                  <c:v>-1375</c:v>
                </c:pt>
                <c:pt idx="9">
                  <c:v>1251</c:v>
                </c:pt>
                <c:pt idx="10">
                  <c:v>2437</c:v>
                </c:pt>
                <c:pt idx="11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F8D-4F24-9021-D1F203823C00}"/>
            </c:ext>
          </c:extLst>
        </c:ser>
        <c:ser>
          <c:idx val="2"/>
          <c:order val="2"/>
          <c:tx>
            <c:strRef>
              <c:f>'ЗВР-інт 2022-2024'!$A$5</c:f>
              <c:strCache>
                <c:ptCount val="1"/>
                <c:pt idx="0">
                  <c:v>Сальдо операций частного сект.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2022-2024'!$B$5:$M$5</c:f>
              <c:numCache>
                <c:formatCode>#,##0</c:formatCode>
                <c:ptCount val="12"/>
                <c:pt idx="0">
                  <c:v>-1277</c:v>
                </c:pt>
                <c:pt idx="1">
                  <c:v>-1083</c:v>
                </c:pt>
                <c:pt idx="2">
                  <c:v>-1962</c:v>
                </c:pt>
                <c:pt idx="3">
                  <c:v>-1661</c:v>
                </c:pt>
                <c:pt idx="4">
                  <c:v>-2880</c:v>
                </c:pt>
                <c:pt idx="5">
                  <c:v>-3960</c:v>
                </c:pt>
                <c:pt idx="6">
                  <c:v>-126</c:v>
                </c:pt>
                <c:pt idx="7">
                  <c:v>1666</c:v>
                </c:pt>
                <c:pt idx="8">
                  <c:v>-1209</c:v>
                </c:pt>
                <c:pt idx="9">
                  <c:v>-2652</c:v>
                </c:pt>
                <c:pt idx="10">
                  <c:v>-1979</c:v>
                </c:pt>
                <c:pt idx="11">
                  <c:v>-3694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F8D-4F24-9021-D1F203823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8908400"/>
        <c:axId val="108910480"/>
      </c:barChart>
      <c:catAx>
        <c:axId val="10890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10480"/>
        <c:crosses val="autoZero"/>
        <c:auto val="1"/>
        <c:lblAlgn val="ctr"/>
        <c:lblOffset val="100"/>
        <c:noMultiLvlLbl val="0"/>
      </c:catAx>
      <c:valAx>
        <c:axId val="108910480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8400"/>
        <c:crosses val="autoZero"/>
        <c:crossBetween val="between"/>
        <c:dispUnits>
          <c:builtInUnit val="thousands"/>
        </c:dispUnits>
      </c:valAx>
      <c:valAx>
        <c:axId val="108908816"/>
        <c:scaling>
          <c:orientation val="minMax"/>
          <c:min val="-3500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10896"/>
        <c:crosses val="max"/>
        <c:crossBetween val="between"/>
        <c:dispUnits>
          <c:builtInUnit val="thousands"/>
        </c:dispUnits>
      </c:valAx>
      <c:catAx>
        <c:axId val="108910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9088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0.12302179396605112"/>
          <c:w val="1"/>
          <c:h val="8.74939858720423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3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uk-UA" sz="1800">
                <a:solidFill>
                  <a:schemeClr val="accent1"/>
                </a:solidFill>
              </a:rPr>
              <a:t>Объем</a:t>
            </a:r>
            <a:r>
              <a:rPr lang="uk-UA" sz="1800" baseline="0">
                <a:solidFill>
                  <a:schemeClr val="accent1"/>
                </a:solidFill>
              </a:rPr>
              <a:t>ы ЗВР, интервенций, сальдо операций частного сектора и сальдо платежного баланса, </a:t>
            </a:r>
            <a:r>
              <a:rPr lang="uk-UA" sz="1800" b="1" i="0" u="none" strike="noStrike" baseline="0">
                <a:solidFill>
                  <a:schemeClr val="accent1"/>
                </a:solidFill>
                <a:effectLst/>
              </a:rPr>
              <a:t>$</a:t>
            </a:r>
            <a:r>
              <a:rPr lang="uk-UA" sz="1800" baseline="0">
                <a:solidFill>
                  <a:schemeClr val="accent1"/>
                </a:solidFill>
              </a:rPr>
              <a:t>млрд </a:t>
            </a:r>
            <a:endParaRPr lang="uk-UA" sz="1800">
              <a:solidFill>
                <a:schemeClr val="accent1"/>
              </a:solidFill>
            </a:endParaRPr>
          </a:p>
        </c:rich>
      </c:tx>
      <c:layout>
        <c:manualLayout>
          <c:xMode val="edge"/>
          <c:yMode val="edge"/>
          <c:x val="1.2057909342703707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3"/>
          <c:order val="3"/>
          <c:tx>
            <c:strRef>
              <c:f>'ЗВР-інт 2022-2024'!$A$15</c:f>
              <c:strCache>
                <c:ptCount val="1"/>
                <c:pt idx="0">
                  <c:v>Изменение резервов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  <a:effectLst/>
          </c:spPr>
          <c:dLbls>
            <c:dLbl>
              <c:idx val="0"/>
              <c:layout>
                <c:manualLayout>
                  <c:x val="0"/>
                  <c:y val="-0.143999992112290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754-4AD4-AD58-F203E3497C4C}"/>
                </c:ext>
              </c:extLst>
            </c:dLbl>
            <c:dLbl>
              <c:idx val="1"/>
              <c:layout>
                <c:manualLayout>
                  <c:x val="4.0909092373267193E-3"/>
                  <c:y val="-0.1481739049271397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754-4AD4-AD58-F203E3497C4C}"/>
                </c:ext>
              </c:extLst>
            </c:dLbl>
            <c:dLbl>
              <c:idx val="2"/>
              <c:layout>
                <c:manualLayout>
                  <c:x val="2.4999712095967106E-17"/>
                  <c:y val="-0.143999992112290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754-4AD4-AD58-F203E3497C4C}"/>
                </c:ext>
              </c:extLst>
            </c:dLbl>
            <c:dLbl>
              <c:idx val="3"/>
              <c:layout>
                <c:manualLayout>
                  <c:x val="0"/>
                  <c:y val="-0.1481739049271397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754-4AD4-AD58-F203E3497C4C}"/>
                </c:ext>
              </c:extLst>
            </c:dLbl>
            <c:dLbl>
              <c:idx val="4"/>
              <c:layout>
                <c:manualLayout>
                  <c:x val="0"/>
                  <c:y val="-0.154434774149413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754-4AD4-AD58-F203E3497C4C}"/>
                </c:ext>
              </c:extLst>
            </c:dLbl>
            <c:dLbl>
              <c:idx val="5"/>
              <c:layout>
                <c:manualLayout>
                  <c:x val="0"/>
                  <c:y val="-0.15443477414941331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754-4AD4-AD58-F203E3497C4C}"/>
                </c:ext>
              </c:extLst>
            </c:dLbl>
            <c:dLbl>
              <c:idx val="6"/>
              <c:layout>
                <c:manualLayout>
                  <c:x val="2.7272728248844964E-3"/>
                  <c:y val="-0.160695643371686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754-4AD4-AD58-F203E3497C4C}"/>
                </c:ext>
              </c:extLst>
            </c:dLbl>
            <c:dLbl>
              <c:idx val="7"/>
              <c:layout>
                <c:manualLayout>
                  <c:x val="0"/>
                  <c:y val="-0.160695643371686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754-4AD4-AD58-F203E3497C4C}"/>
                </c:ext>
              </c:extLst>
            </c:dLbl>
            <c:dLbl>
              <c:idx val="8"/>
              <c:layout>
                <c:manualLayout>
                  <c:x val="-2.7272728248844964E-3"/>
                  <c:y val="-0.1648695561865357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754-4AD4-AD58-F203E3497C4C}"/>
                </c:ext>
              </c:extLst>
            </c:dLbl>
            <c:dLbl>
              <c:idx val="9"/>
              <c:layout>
                <c:manualLayout>
                  <c:x val="0"/>
                  <c:y val="-0.169043469001384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754-4AD4-AD58-F203E3497C4C}"/>
                </c:ext>
              </c:extLst>
            </c:dLbl>
            <c:dLbl>
              <c:idx val="10"/>
              <c:layout>
                <c:manualLayout>
                  <c:x val="-1.3636364124423482E-3"/>
                  <c:y val="-0.171130425408809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754-4AD4-AD58-F203E3497C4C}"/>
                </c:ext>
              </c:extLst>
            </c:dLbl>
            <c:dLbl>
              <c:idx val="11"/>
              <c:layout>
                <c:manualLayout>
                  <c:x val="4.0909092373267444E-3"/>
                  <c:y val="-0.1711304254088092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754-4AD4-AD58-F203E3497C4C}"/>
                </c:ext>
              </c:extLst>
            </c:dLbl>
            <c:numFmt formatCode="#,##0.0" sourceLinked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chemeClr val="accent4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2022-2024'!$B$15:$M$15</c:f>
              <c:numCache>
                <c:formatCode>#,##0</c:formatCode>
                <c:ptCount val="12"/>
                <c:pt idx="0">
                  <c:v>29928.21</c:v>
                </c:pt>
                <c:pt idx="1">
                  <c:v>28869.64</c:v>
                </c:pt>
                <c:pt idx="2">
                  <c:v>31886.73</c:v>
                </c:pt>
                <c:pt idx="3">
                  <c:v>35952.519999999997</c:v>
                </c:pt>
                <c:pt idx="4">
                  <c:v>37321.43</c:v>
                </c:pt>
                <c:pt idx="5">
                  <c:v>39026.550000000003</c:v>
                </c:pt>
                <c:pt idx="6">
                  <c:v>41737.550000000003</c:v>
                </c:pt>
                <c:pt idx="7">
                  <c:v>40405.199999999997</c:v>
                </c:pt>
                <c:pt idx="8">
                  <c:v>39722.78</c:v>
                </c:pt>
                <c:pt idx="9">
                  <c:v>38987.199999999997</c:v>
                </c:pt>
                <c:pt idx="10">
                  <c:v>38796.050000000003</c:v>
                </c:pt>
                <c:pt idx="11">
                  <c:v>40507.879999999997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754-4AD4-AD58-F203E3497C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08910896"/>
        <c:axId val="108908816"/>
      </c:areaChart>
      <c:barChart>
        <c:barDir val="col"/>
        <c:grouping val="clustered"/>
        <c:varyColors val="0"/>
        <c:ser>
          <c:idx val="0"/>
          <c:order val="0"/>
          <c:tx>
            <c:strRef>
              <c:f>'ЗВР-інт 2022-2024'!$A$12</c:f>
              <c:strCache>
                <c:ptCount val="1"/>
                <c:pt idx="0">
                  <c:v>Объемы интервенций по месяцам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2022-2024'!$B$12:$M$12</c:f>
              <c:numCache>
                <c:formatCode>#,##0</c:formatCode>
                <c:ptCount val="12"/>
                <c:pt idx="0">
                  <c:v>-3082.1299999999997</c:v>
                </c:pt>
                <c:pt idx="1">
                  <c:v>-2431</c:v>
                </c:pt>
                <c:pt idx="2">
                  <c:v>-1668.97</c:v>
                </c:pt>
                <c:pt idx="3">
                  <c:v>-1370.3799999999999</c:v>
                </c:pt>
                <c:pt idx="4">
                  <c:v>-1927.6100000000001</c:v>
                </c:pt>
                <c:pt idx="5">
                  <c:v>-1797.8799999999999</c:v>
                </c:pt>
                <c:pt idx="6">
                  <c:v>-1932.92</c:v>
                </c:pt>
                <c:pt idx="7">
                  <c:v>-2364.23</c:v>
                </c:pt>
                <c:pt idx="8">
                  <c:v>-2691.4</c:v>
                </c:pt>
                <c:pt idx="9">
                  <c:v>-3337.4700000000003</c:v>
                </c:pt>
                <c:pt idx="10">
                  <c:v>-2452.8599999999997</c:v>
                </c:pt>
                <c:pt idx="11">
                  <c:v>-3553.0400000000004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754-4AD4-AD58-F203E3497C4C}"/>
            </c:ext>
          </c:extLst>
        </c:ser>
        <c:ser>
          <c:idx val="1"/>
          <c:order val="1"/>
          <c:tx>
            <c:strRef>
              <c:f>'ЗВР-інт 2022-2024'!$A$13</c:f>
              <c:strCache>
                <c:ptCount val="1"/>
                <c:pt idx="0">
                  <c:v>Сальдо платежного баланса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2022-2024'!$B$13:$M$13</c:f>
              <c:numCache>
                <c:formatCode>#,##0</c:formatCode>
                <c:ptCount val="12"/>
                <c:pt idx="0">
                  <c:v>1208</c:v>
                </c:pt>
                <c:pt idx="1">
                  <c:v>-856</c:v>
                </c:pt>
                <c:pt idx="2">
                  <c:v>2765</c:v>
                </c:pt>
                <c:pt idx="3">
                  <c:v>4021</c:v>
                </c:pt>
                <c:pt idx="4">
                  <c:v>1533</c:v>
                </c:pt>
                <c:pt idx="5">
                  <c:v>1688</c:v>
                </c:pt>
                <c:pt idx="6">
                  <c:v>2579</c:v>
                </c:pt>
                <c:pt idx="7">
                  <c:v>-1297</c:v>
                </c:pt>
                <c:pt idx="8">
                  <c:v>-609</c:v>
                </c:pt>
                <c:pt idx="9">
                  <c:v>-847</c:v>
                </c:pt>
                <c:pt idx="10">
                  <c:v>-355</c:v>
                </c:pt>
                <c:pt idx="11">
                  <c:v>1146.4890524503166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754-4AD4-AD58-F203E3497C4C}"/>
            </c:ext>
          </c:extLst>
        </c:ser>
        <c:ser>
          <c:idx val="2"/>
          <c:order val="2"/>
          <c:tx>
            <c:strRef>
              <c:f>'ЗВР-інт 2022-2024'!$A$14</c:f>
              <c:strCache>
                <c:ptCount val="1"/>
                <c:pt idx="0">
                  <c:v>Сальдо операций частного сект.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2022-2024'!$B$14:$M$14</c:f>
              <c:numCache>
                <c:formatCode>#,##0</c:formatCode>
                <c:ptCount val="12"/>
                <c:pt idx="0">
                  <c:v>-3351</c:v>
                </c:pt>
                <c:pt idx="1">
                  <c:v>-2698</c:v>
                </c:pt>
                <c:pt idx="2">
                  <c:v>-1363</c:v>
                </c:pt>
                <c:pt idx="3">
                  <c:v>-1373</c:v>
                </c:pt>
                <c:pt idx="4">
                  <c:v>-1605</c:v>
                </c:pt>
                <c:pt idx="5">
                  <c:v>-2068.6999999999998</c:v>
                </c:pt>
                <c:pt idx="6">
                  <c:v>-1928.3</c:v>
                </c:pt>
                <c:pt idx="7">
                  <c:v>-2671</c:v>
                </c:pt>
                <c:pt idx="8">
                  <c:v>-2641</c:v>
                </c:pt>
                <c:pt idx="9">
                  <c:v>-3464</c:v>
                </c:pt>
                <c:pt idx="10">
                  <c:v>-2237</c:v>
                </c:pt>
                <c:pt idx="11">
                  <c:v>-3749.080077400155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754-4AD4-AD58-F203E3497C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08908400"/>
        <c:axId val="108910480"/>
      </c:barChart>
      <c:catAx>
        <c:axId val="10890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10480"/>
        <c:crosses val="autoZero"/>
        <c:auto val="1"/>
        <c:lblAlgn val="ctr"/>
        <c:lblOffset val="100"/>
        <c:noMultiLvlLbl val="0"/>
      </c:catAx>
      <c:valAx>
        <c:axId val="10891048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8400"/>
        <c:crosses val="autoZero"/>
        <c:crossBetween val="between"/>
        <c:dispUnits>
          <c:builtInUnit val="thousands"/>
        </c:dispUnits>
      </c:valAx>
      <c:valAx>
        <c:axId val="108908816"/>
        <c:scaling>
          <c:orientation val="minMax"/>
          <c:min val="-3500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10896"/>
        <c:crosses val="max"/>
        <c:crossBetween val="between"/>
        <c:dispUnits>
          <c:builtInUnit val="thousands"/>
        </c:dispUnits>
      </c:valAx>
      <c:catAx>
        <c:axId val="108910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9088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0.12302179396605112"/>
          <c:w val="1"/>
          <c:h val="8.74939858720423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3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1800" b="1" i="0" u="none" strike="noStrike" kern="1200" spc="0" baseline="0">
                <a:solidFill>
                  <a:schemeClr val="accent1"/>
                </a:solidFill>
                <a:latin typeface="+mn-lt"/>
                <a:ea typeface="+mn-ea"/>
                <a:cs typeface="+mn-cs"/>
              </a:defRPr>
            </a:pPr>
            <a:r>
              <a:rPr lang="uk-UA" sz="1800">
                <a:solidFill>
                  <a:schemeClr val="accent1"/>
                </a:solidFill>
              </a:rPr>
              <a:t>Объем</a:t>
            </a:r>
            <a:r>
              <a:rPr lang="uk-UA" sz="1800" baseline="0">
                <a:solidFill>
                  <a:schemeClr val="accent1"/>
                </a:solidFill>
              </a:rPr>
              <a:t>ы ЗВР, интервенций, сальдо операций частного сектора и сальдо платежного баланса, </a:t>
            </a:r>
            <a:r>
              <a:rPr lang="uk-UA" sz="1800" b="1" i="0" u="none" strike="noStrike" baseline="0">
                <a:solidFill>
                  <a:schemeClr val="accent1"/>
                </a:solidFill>
                <a:effectLst/>
              </a:rPr>
              <a:t>$</a:t>
            </a:r>
            <a:r>
              <a:rPr lang="uk-UA" sz="1800" baseline="0">
                <a:solidFill>
                  <a:schemeClr val="accent1"/>
                </a:solidFill>
              </a:rPr>
              <a:t>млрд </a:t>
            </a:r>
            <a:endParaRPr lang="uk-UA" sz="1800">
              <a:solidFill>
                <a:schemeClr val="accent1"/>
              </a:solidFill>
            </a:endParaRPr>
          </a:p>
        </c:rich>
      </c:tx>
      <c:layout>
        <c:manualLayout>
          <c:xMode val="edge"/>
          <c:yMode val="edge"/>
          <c:x val="1.2057909342703707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1800" b="1" i="0" u="none" strike="noStrike" kern="1200" spc="0" baseline="0">
              <a:solidFill>
                <a:schemeClr val="accen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ndard"/>
        <c:varyColors val="0"/>
        <c:ser>
          <c:idx val="3"/>
          <c:order val="3"/>
          <c:tx>
            <c:strRef>
              <c:f>'ЗВР-інт 2022-2024'!$A$24</c:f>
              <c:strCache>
                <c:ptCount val="1"/>
                <c:pt idx="0">
                  <c:v>Изменение резервов</c:v>
                </c:pt>
              </c:strCache>
            </c:strRef>
          </c:tx>
          <c:spPr>
            <a:solidFill>
              <a:schemeClr val="accent4">
                <a:lumMod val="20000"/>
                <a:lumOff val="80000"/>
              </a:schemeClr>
            </a:solidFill>
            <a:ln w="25400">
              <a:noFill/>
            </a:ln>
            <a:effectLst/>
          </c:spPr>
          <c:dLbls>
            <c:dLbl>
              <c:idx val="0"/>
              <c:layout>
                <c:manualLayout>
                  <c:x val="0"/>
                  <c:y val="-0.1273043408528947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394-490B-97EF-70EBDC3664EF}"/>
                </c:ext>
              </c:extLst>
            </c:dLbl>
            <c:dLbl>
              <c:idx val="1"/>
              <c:layout>
                <c:manualLayout>
                  <c:x val="5.4545456497689928E-3"/>
                  <c:y val="-0.1293912972603192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394-490B-97EF-70EBDC3664EF}"/>
                </c:ext>
              </c:extLst>
            </c:dLbl>
            <c:dLbl>
              <c:idx val="2"/>
              <c:layout>
                <c:manualLayout>
                  <c:x val="-2.7272728248844964E-3"/>
                  <c:y val="-0.1293912972603192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394-490B-97EF-70EBDC3664EF}"/>
                </c:ext>
              </c:extLst>
            </c:dLbl>
            <c:dLbl>
              <c:idx val="3"/>
              <c:layout>
                <c:manualLayout>
                  <c:x val="0"/>
                  <c:y val="-0.1335652100751682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394-490B-97EF-70EBDC3664EF}"/>
                </c:ext>
              </c:extLst>
            </c:dLbl>
            <c:dLbl>
              <c:idx val="4"/>
              <c:layout>
                <c:manualLayout>
                  <c:x val="2.7272728248844964E-3"/>
                  <c:y val="-0.1377391228900172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394-490B-97EF-70EBDC3664EF}"/>
                </c:ext>
              </c:extLst>
            </c:dLbl>
            <c:dLbl>
              <c:idx val="5"/>
              <c:layout>
                <c:manualLayout>
                  <c:x val="0"/>
                  <c:y val="-0.1356521664825927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394-490B-97EF-70EBDC3664EF}"/>
                </c:ext>
              </c:extLst>
            </c:dLbl>
            <c:dLbl>
              <c:idx val="6"/>
              <c:layout>
                <c:manualLayout>
                  <c:x val="-2.7272728248845962E-3"/>
                  <c:y val="-0.143999992112290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394-490B-97EF-70EBDC3664EF}"/>
                </c:ext>
              </c:extLst>
            </c:dLbl>
            <c:dLbl>
              <c:idx val="7"/>
              <c:layout>
                <c:manualLayout>
                  <c:x val="0"/>
                  <c:y val="-0.1544347741494132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394-490B-97EF-70EBDC3664EF}"/>
                </c:ext>
              </c:extLst>
            </c:dLbl>
            <c:dLbl>
              <c:idx val="8"/>
              <c:layout>
                <c:manualLayout>
                  <c:x val="0"/>
                  <c:y val="-0.1606956433716867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394-490B-97EF-70EBDC3664EF}"/>
                </c:ext>
              </c:extLst>
            </c:dLbl>
            <c:dLbl>
              <c:idx val="9"/>
              <c:layout>
                <c:manualLayout>
                  <c:x val="4.0909092373267444E-3"/>
                  <c:y val="-0.1669565125939602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394-490B-97EF-70EBDC3664EF}"/>
                </c:ext>
              </c:extLst>
            </c:dLbl>
            <c:dLbl>
              <c:idx val="10"/>
              <c:layout>
                <c:manualLayout>
                  <c:x val="-1.9999769676773685E-16"/>
                  <c:y val="-0.169043469001384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2394-490B-97EF-70EBDC3664EF}"/>
                </c:ext>
              </c:extLst>
            </c:dLbl>
            <c:dLbl>
              <c:idx val="11"/>
              <c:layout>
                <c:manualLayout>
                  <c:x val="2.7272728248844964E-3"/>
                  <c:y val="-0.1690434690013847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394-490B-97EF-70EBDC3664EF}"/>
                </c:ext>
              </c:extLst>
            </c:dLbl>
            <c:numFmt formatCode="#,##0.0" sourceLinked="0"/>
            <c:spPr>
              <a:solidFill>
                <a:schemeClr val="accent4">
                  <a:lumMod val="20000"/>
                  <a:lumOff val="80000"/>
                </a:schemeClr>
              </a:solidFill>
              <a:ln>
                <a:solidFill>
                  <a:schemeClr val="accent4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4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2022-2024'!$B$24:$M$24</c:f>
              <c:numCache>
                <c:formatCode>#,##0</c:formatCode>
                <c:ptCount val="12"/>
                <c:pt idx="0">
                  <c:v>40476.03966148934</c:v>
                </c:pt>
                <c:pt idx="1">
                  <c:v>40115.575738322943</c:v>
                </c:pt>
                <c:pt idx="2">
                  <c:v>40715.730761703926</c:v>
                </c:pt>
                <c:pt idx="3">
                  <c:v>41185.360040052066</c:v>
                </c:pt>
                <c:pt idx="4">
                  <c:v>41608.990048832762</c:v>
                </c:pt>
                <c:pt idx="5">
                  <c:v>43367.459668451032</c:v>
                </c:pt>
                <c:pt idx="6">
                  <c:v>44347.112255007996</c:v>
                </c:pt>
                <c:pt idx="7">
                  <c:v>46004.944938139983</c:v>
                </c:pt>
                <c:pt idx="8">
                  <c:v>48077.894953228642</c:v>
                </c:pt>
                <c:pt idx="9">
                  <c:v>49289.358093112874</c:v>
                </c:pt>
                <c:pt idx="10">
                  <c:v>50644.640903678286</c:v>
                </c:pt>
                <c:pt idx="11">
                  <c:v>53443.283275895672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394-490B-97EF-70EBDC3664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08910896"/>
        <c:axId val="108908816"/>
      </c:areaChart>
      <c:barChart>
        <c:barDir val="col"/>
        <c:grouping val="clustered"/>
        <c:varyColors val="0"/>
        <c:ser>
          <c:idx val="0"/>
          <c:order val="0"/>
          <c:tx>
            <c:strRef>
              <c:f>'ЗВР-інт 2022-2024'!$A$21</c:f>
              <c:strCache>
                <c:ptCount val="1"/>
                <c:pt idx="0">
                  <c:v>Объемы интервенций по месяцам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2022-2024'!$B$21:$M$21</c:f>
              <c:numCache>
                <c:formatCode>#,##0</c:formatCode>
                <c:ptCount val="12"/>
                <c:pt idx="0">
                  <c:v>-1810.4178166917461</c:v>
                </c:pt>
                <c:pt idx="1">
                  <c:v>-2843.7831373735075</c:v>
                </c:pt>
                <c:pt idx="2">
                  <c:v>-3272.3022309921439</c:v>
                </c:pt>
                <c:pt idx="3">
                  <c:v>-2101.5611664165344</c:v>
                </c:pt>
                <c:pt idx="4">
                  <c:v>-2680.1064577729621</c:v>
                </c:pt>
                <c:pt idx="5">
                  <c:v>-2494.0289130709571</c:v>
                </c:pt>
                <c:pt idx="6">
                  <c:v>-2451.0996047337517</c:v>
                </c:pt>
                <c:pt idx="7">
                  <c:v>-1005.1585914403573</c:v>
                </c:pt>
                <c:pt idx="8">
                  <c:v>-1739.8484822304677</c:v>
                </c:pt>
                <c:pt idx="9">
                  <c:v>-1354.104743012784</c:v>
                </c:pt>
                <c:pt idx="10">
                  <c:v>-1477.6948474954359</c:v>
                </c:pt>
                <c:pt idx="11">
                  <c:v>-1703.9523365588987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394-490B-97EF-70EBDC3664EF}"/>
            </c:ext>
          </c:extLst>
        </c:ser>
        <c:ser>
          <c:idx val="1"/>
          <c:order val="1"/>
          <c:tx>
            <c:strRef>
              <c:f>'ЗВР-інт 2022-2024'!$A$22</c:f>
              <c:strCache>
                <c:ptCount val="1"/>
                <c:pt idx="0">
                  <c:v>Сальдо платежного баланса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2022-2024'!$B$22:$M$22</c:f>
              <c:numCache>
                <c:formatCode>#,##0</c:formatCode>
                <c:ptCount val="12"/>
                <c:pt idx="0">
                  <c:v>-232.99787369862486</c:v>
                </c:pt>
                <c:pt idx="1">
                  <c:v>-676.43982731900735</c:v>
                </c:pt>
                <c:pt idx="2">
                  <c:v>236.56588660407374</c:v>
                </c:pt>
                <c:pt idx="3">
                  <c:v>359.02079590516234</c:v>
                </c:pt>
                <c:pt idx="4">
                  <c:v>282.57177416106219</c:v>
                </c:pt>
                <c:pt idx="5">
                  <c:v>1627.2049399829514</c:v>
                </c:pt>
                <c:pt idx="6">
                  <c:v>850.64734420255854</c:v>
                </c:pt>
                <c:pt idx="7">
                  <c:v>1604.9295993719618</c:v>
                </c:pt>
                <c:pt idx="8">
                  <c:v>1981.3790423396867</c:v>
                </c:pt>
                <c:pt idx="9">
                  <c:v>1140.1944691993506</c:v>
                </c:pt>
                <c:pt idx="10">
                  <c:v>1277.5093975393313</c:v>
                </c:pt>
                <c:pt idx="11">
                  <c:v>2708.9606702932301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394-490B-97EF-70EBDC3664EF}"/>
            </c:ext>
          </c:extLst>
        </c:ser>
        <c:ser>
          <c:idx val="2"/>
          <c:order val="2"/>
          <c:tx>
            <c:strRef>
              <c:f>'ЗВР-інт 2022-2024'!$A$23</c:f>
              <c:strCache>
                <c:ptCount val="1"/>
                <c:pt idx="0">
                  <c:v>Сальдо операций частного сект.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2022-2024'!$B$23:$M$23</c:f>
              <c:numCache>
                <c:formatCode>#,##0</c:formatCode>
                <c:ptCount val="12"/>
                <c:pt idx="0">
                  <c:v>-2011.5753518797178</c:v>
                </c:pt>
                <c:pt idx="1">
                  <c:v>-3159.7590415261193</c:v>
                </c:pt>
                <c:pt idx="2">
                  <c:v>-3635.8913677690489</c:v>
                </c:pt>
                <c:pt idx="3">
                  <c:v>-2212.1696488595098</c:v>
                </c:pt>
                <c:pt idx="4">
                  <c:v>-2821.1646923925919</c:v>
                </c:pt>
                <c:pt idx="5">
                  <c:v>-2625.2935927062708</c:v>
                </c:pt>
                <c:pt idx="6">
                  <c:v>-2580.1048470881597</c:v>
                </c:pt>
                <c:pt idx="7">
                  <c:v>-1058.0616752003762</c:v>
                </c:pt>
                <c:pt idx="8">
                  <c:v>-1831.4194549794397</c:v>
                </c:pt>
                <c:pt idx="9">
                  <c:v>-1425.3734136976675</c:v>
                </c:pt>
                <c:pt idx="10">
                  <c:v>-1555.4682605215114</c:v>
                </c:pt>
                <c:pt idx="11">
                  <c:v>-1793.6340384830512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394-490B-97EF-70EBDC3664E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08908400"/>
        <c:axId val="108910480"/>
      </c:barChart>
      <c:catAx>
        <c:axId val="10890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10480"/>
        <c:crosses val="autoZero"/>
        <c:auto val="1"/>
        <c:lblAlgn val="ctr"/>
        <c:lblOffset val="100"/>
        <c:noMultiLvlLbl val="0"/>
      </c:catAx>
      <c:valAx>
        <c:axId val="108910480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8400"/>
        <c:crosses val="autoZero"/>
        <c:crossBetween val="between"/>
        <c:dispUnits>
          <c:builtInUnit val="thousands"/>
        </c:dispUnits>
      </c:valAx>
      <c:valAx>
        <c:axId val="108908816"/>
        <c:scaling>
          <c:orientation val="minMax"/>
          <c:min val="-45000"/>
        </c:scaling>
        <c:delete val="0"/>
        <c:axPos val="r"/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10896"/>
        <c:crosses val="max"/>
        <c:crossBetween val="between"/>
        <c:dispUnits>
          <c:builtInUnit val="thousands"/>
        </c:dispUnits>
      </c:valAx>
      <c:catAx>
        <c:axId val="10891089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890881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0.12302179396605112"/>
          <c:w val="1"/>
          <c:h val="8.74939858720423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3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4483165295228576E-2"/>
          <c:y val="0.22948386937526227"/>
          <c:w val="0.90219704113239685"/>
          <c:h val="0.706273706382313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'ЗВР-інт 2022-2024'!$A$7</c:f>
              <c:strCache>
                <c:ptCount val="1"/>
                <c:pt idx="0">
                  <c:v>Сальдо резервів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-1.3653902597144292E-3"/>
                  <c:y val="4.178019832435086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17-4EBB-9193-B5D2F84287D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2022-2024'!$B$7:$M$7</c:f>
              <c:numCache>
                <c:formatCode>#,##0</c:formatCode>
                <c:ptCount val="12"/>
                <c:pt idx="0">
                  <c:v>536.41000000000008</c:v>
                </c:pt>
                <c:pt idx="1">
                  <c:v>2708.199999999998</c:v>
                </c:pt>
                <c:pt idx="2">
                  <c:v>1314.1900000000035</c:v>
                </c:pt>
                <c:pt idx="3">
                  <c:v>-1506.5600000000004</c:v>
                </c:pt>
                <c:pt idx="4">
                  <c:v>3052.150000000001</c:v>
                </c:pt>
                <c:pt idx="5">
                  <c:v>-415.55000000000319</c:v>
                </c:pt>
                <c:pt idx="6">
                  <c:v>-2300.0900000000011</c:v>
                </c:pt>
                <c:pt idx="7">
                  <c:v>-1842.8299999999992</c:v>
                </c:pt>
                <c:pt idx="8">
                  <c:v>-1162.3799999999987</c:v>
                </c:pt>
                <c:pt idx="9">
                  <c:v>554.59000000000106</c:v>
                </c:pt>
                <c:pt idx="10">
                  <c:v>-1534.1200000000015</c:v>
                </c:pt>
                <c:pt idx="11">
                  <c:v>-1853.9700000000003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17-4EBB-9193-B5D2F84287D9}"/>
            </c:ext>
          </c:extLst>
        </c:ser>
        <c:ser>
          <c:idx val="1"/>
          <c:order val="1"/>
          <c:tx>
            <c:strRef>
              <c:f>'ЗВР-інт 2022-2024'!$A$4</c:f>
              <c:strCache>
                <c:ptCount val="1"/>
                <c:pt idx="0">
                  <c:v>Сальдо платежного баланса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Lbl>
              <c:idx val="6"/>
              <c:layout>
                <c:manualLayout>
                  <c:x val="-1.3653902597144292E-3"/>
                  <c:y val="-2.0890099162175434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617-4EBB-9193-B5D2F84287D9}"/>
                </c:ext>
              </c:extLst>
            </c:dLbl>
            <c:dLbl>
              <c:idx val="7"/>
              <c:layout>
                <c:manualLayout>
                  <c:x val="-1.3647219379051519E-3"/>
                  <c:y val="5.6426332288401215E-2"/>
                </c:manualLayout>
              </c:layout>
              <c:numFmt formatCode="#,##0.0" sourceLinked="0"/>
              <c:spPr>
                <a:solidFill>
                  <a:schemeClr val="accent2">
                    <a:lumMod val="20000"/>
                    <a:lumOff val="80000"/>
                  </a:schemeClr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1" i="0" u="none" strike="noStrike" kern="120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617-4EBB-9193-B5D2F84287D9}"/>
                </c:ext>
              </c:extLst>
            </c:dLbl>
            <c:dLbl>
              <c:idx val="11"/>
              <c:layout>
                <c:manualLayout>
                  <c:x val="1.365390259714329E-3"/>
                  <c:y val="0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617-4EBB-9193-B5D2F84287D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2022-2024'!$B$4:$M$4</c:f>
              <c:numCache>
                <c:formatCode>#,##0</c:formatCode>
                <c:ptCount val="12"/>
                <c:pt idx="0">
                  <c:v>-1762</c:v>
                </c:pt>
                <c:pt idx="1">
                  <c:v>-1658</c:v>
                </c:pt>
                <c:pt idx="2">
                  <c:v>679</c:v>
                </c:pt>
                <c:pt idx="3">
                  <c:v>-867</c:v>
                </c:pt>
                <c:pt idx="4">
                  <c:v>-1921</c:v>
                </c:pt>
                <c:pt idx="5">
                  <c:v>-2220</c:v>
                </c:pt>
                <c:pt idx="6">
                  <c:v>-299</c:v>
                </c:pt>
                <c:pt idx="7">
                  <c:v>3105</c:v>
                </c:pt>
                <c:pt idx="8">
                  <c:v>-1375</c:v>
                </c:pt>
                <c:pt idx="9">
                  <c:v>1251</c:v>
                </c:pt>
                <c:pt idx="10">
                  <c:v>2437</c:v>
                </c:pt>
                <c:pt idx="11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0617-4EBB-9193-B5D2F84287D9}"/>
            </c:ext>
          </c:extLst>
        </c:ser>
        <c:ser>
          <c:idx val="2"/>
          <c:order val="2"/>
          <c:tx>
            <c:strRef>
              <c:f>'ЗВР-інт 2022-2024'!$A$5</c:f>
              <c:strCache>
                <c:ptCount val="1"/>
                <c:pt idx="0">
                  <c:v>Сальдо операций частного сект.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2022-2024'!$B$5:$M$5</c:f>
              <c:numCache>
                <c:formatCode>#,##0</c:formatCode>
                <c:ptCount val="12"/>
                <c:pt idx="0">
                  <c:v>-1277</c:v>
                </c:pt>
                <c:pt idx="1">
                  <c:v>-1083</c:v>
                </c:pt>
                <c:pt idx="2">
                  <c:v>-1962</c:v>
                </c:pt>
                <c:pt idx="3">
                  <c:v>-1661</c:v>
                </c:pt>
                <c:pt idx="4">
                  <c:v>-2880</c:v>
                </c:pt>
                <c:pt idx="5">
                  <c:v>-3960</c:v>
                </c:pt>
                <c:pt idx="6">
                  <c:v>-126</c:v>
                </c:pt>
                <c:pt idx="7">
                  <c:v>1666</c:v>
                </c:pt>
                <c:pt idx="8">
                  <c:v>-1209</c:v>
                </c:pt>
                <c:pt idx="9">
                  <c:v>-2652</c:v>
                </c:pt>
                <c:pt idx="10">
                  <c:v>-1979</c:v>
                </c:pt>
                <c:pt idx="11">
                  <c:v>-3694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617-4EBB-9193-B5D2F84287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8908400"/>
        <c:axId val="108910480"/>
      </c:barChart>
      <c:catAx>
        <c:axId val="10890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10480"/>
        <c:crosses val="autoZero"/>
        <c:auto val="1"/>
        <c:lblAlgn val="ctr"/>
        <c:lblOffset val="100"/>
        <c:noMultiLvlLbl val="0"/>
      </c:catAx>
      <c:valAx>
        <c:axId val="108910480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840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0.12302179396605112"/>
          <c:w val="1"/>
          <c:h val="8.74939858720423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3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4504949270913856E-2"/>
          <c:y val="0.19374082546442586"/>
          <c:w val="0.94047575787222737"/>
          <c:h val="0.7419553982506120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'ЗВР-інт 2022-2024'!$A$16</c:f>
              <c:strCache>
                <c:ptCount val="1"/>
                <c:pt idx="0">
                  <c:v>Сальдо резервів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2022-2024'!$B$16:$M$16</c:f>
              <c:numCache>
                <c:formatCode>#,##0</c:formatCode>
                <c:ptCount val="12"/>
                <c:pt idx="0">
                  <c:v>1437.2199999999975</c:v>
                </c:pt>
                <c:pt idx="1">
                  <c:v>-1058.5699999999997</c:v>
                </c:pt>
                <c:pt idx="2">
                  <c:v>3017.09</c:v>
                </c:pt>
                <c:pt idx="3">
                  <c:v>4065.7899999999972</c:v>
                </c:pt>
                <c:pt idx="4">
                  <c:v>1368.9100000000035</c:v>
                </c:pt>
                <c:pt idx="5">
                  <c:v>1705.1200000000026</c:v>
                </c:pt>
                <c:pt idx="6">
                  <c:v>2711</c:v>
                </c:pt>
                <c:pt idx="7">
                  <c:v>-1332.3500000000058</c:v>
                </c:pt>
                <c:pt idx="8">
                  <c:v>-682.41999999999825</c:v>
                </c:pt>
                <c:pt idx="9">
                  <c:v>-735.58000000000175</c:v>
                </c:pt>
                <c:pt idx="10">
                  <c:v>-191.14999999999418</c:v>
                </c:pt>
                <c:pt idx="11">
                  <c:v>1711.8299999999945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139-46F8-A618-7318914B3DAB}"/>
            </c:ext>
          </c:extLst>
        </c:ser>
        <c:ser>
          <c:idx val="1"/>
          <c:order val="1"/>
          <c:tx>
            <c:strRef>
              <c:f>'ЗВР-інт 2022-2024'!$A$13</c:f>
              <c:strCache>
                <c:ptCount val="1"/>
                <c:pt idx="0">
                  <c:v>Сальдо платежного баланса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2022-2024'!$B$13:$M$13</c:f>
              <c:numCache>
                <c:formatCode>#,##0</c:formatCode>
                <c:ptCount val="12"/>
                <c:pt idx="0">
                  <c:v>1208</c:v>
                </c:pt>
                <c:pt idx="1">
                  <c:v>-856</c:v>
                </c:pt>
                <c:pt idx="2">
                  <c:v>2765</c:v>
                </c:pt>
                <c:pt idx="3">
                  <c:v>4021</c:v>
                </c:pt>
                <c:pt idx="4">
                  <c:v>1533</c:v>
                </c:pt>
                <c:pt idx="5">
                  <c:v>1688</c:v>
                </c:pt>
                <c:pt idx="6">
                  <c:v>2579</c:v>
                </c:pt>
                <c:pt idx="7">
                  <c:v>-1297</c:v>
                </c:pt>
                <c:pt idx="8">
                  <c:v>-609</c:v>
                </c:pt>
                <c:pt idx="9">
                  <c:v>-847</c:v>
                </c:pt>
                <c:pt idx="10">
                  <c:v>-355</c:v>
                </c:pt>
                <c:pt idx="11">
                  <c:v>1146.4890524503166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139-46F8-A618-7318914B3DAB}"/>
            </c:ext>
          </c:extLst>
        </c:ser>
        <c:ser>
          <c:idx val="2"/>
          <c:order val="2"/>
          <c:tx>
            <c:strRef>
              <c:f>'ЗВР-інт 2022-2024'!$A$14</c:f>
              <c:strCache>
                <c:ptCount val="1"/>
                <c:pt idx="0">
                  <c:v>Сальдо операций частного сект.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'ЗВР-інт 2022-2024'!$B$2:$M$2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'ЗВР-інт 2022-2024'!$B$14:$M$14</c:f>
              <c:numCache>
                <c:formatCode>#,##0</c:formatCode>
                <c:ptCount val="12"/>
                <c:pt idx="0">
                  <c:v>-3351</c:v>
                </c:pt>
                <c:pt idx="1">
                  <c:v>-2698</c:v>
                </c:pt>
                <c:pt idx="2">
                  <c:v>-1363</c:v>
                </c:pt>
                <c:pt idx="3">
                  <c:v>-1373</c:v>
                </c:pt>
                <c:pt idx="4">
                  <c:v>-1605</c:v>
                </c:pt>
                <c:pt idx="5">
                  <c:v>-2068.6999999999998</c:v>
                </c:pt>
                <c:pt idx="6">
                  <c:v>-1928.3</c:v>
                </c:pt>
                <c:pt idx="7">
                  <c:v>-2671</c:v>
                </c:pt>
                <c:pt idx="8">
                  <c:v>-2641</c:v>
                </c:pt>
                <c:pt idx="9">
                  <c:v>-3464</c:v>
                </c:pt>
                <c:pt idx="10">
                  <c:v>-2237</c:v>
                </c:pt>
                <c:pt idx="11">
                  <c:v>-3749.080077400155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139-46F8-A618-7318914B3DA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108908400"/>
        <c:axId val="108910480"/>
      </c:barChart>
      <c:catAx>
        <c:axId val="108908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10480"/>
        <c:crosses val="autoZero"/>
        <c:auto val="1"/>
        <c:lblAlgn val="ctr"/>
        <c:lblOffset val="100"/>
        <c:noMultiLvlLbl val="0"/>
      </c:catAx>
      <c:valAx>
        <c:axId val="108910480"/>
        <c:scaling>
          <c:orientation val="minMax"/>
          <c:max val="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3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08400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"/>
          <c:y val="0.12302179396605112"/>
          <c:w val="1"/>
          <c:h val="8.74939858720423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3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r>
              <a:rPr lang="ru-RU" sz="2400" b="1">
                <a:solidFill>
                  <a:schemeClr val="accent1"/>
                </a:solidFill>
                <a:latin typeface="Montserrat" panose="00000500000000000000" pitchFamily="2" charset="-52"/>
              </a:rPr>
              <a:t>К</a:t>
            </a:r>
            <a:r>
              <a:rPr lang="uk-UA" sz="2400" b="1">
                <a:solidFill>
                  <a:schemeClr val="accent1"/>
                </a:solidFill>
                <a:latin typeface="Montserrat" panose="00000500000000000000" pitchFamily="2" charset="-52"/>
              </a:rPr>
              <a:t>урсовой прогноз до</a:t>
            </a:r>
            <a:r>
              <a:rPr lang="uk-UA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 конца </a:t>
            </a:r>
            <a:r>
              <a:rPr lang="en-US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2023</a:t>
            </a:r>
            <a:r>
              <a:rPr lang="uk-UA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 года</a:t>
            </a:r>
            <a:r>
              <a:rPr lang="uk-UA" sz="2400" b="1">
                <a:solidFill>
                  <a:schemeClr val="accent1"/>
                </a:solidFill>
                <a:latin typeface="Montserrat" panose="00000500000000000000" pitchFamily="2" charset="-52"/>
              </a:rPr>
              <a:t>, </a:t>
            </a:r>
            <a:r>
              <a:rPr lang="en-US" sz="2400" b="1">
                <a:solidFill>
                  <a:schemeClr val="accent1"/>
                </a:solidFill>
                <a:latin typeface="Montserrat" panose="00000500000000000000" pitchFamily="2" charset="-52"/>
              </a:rPr>
              <a:t>UAH/USD,</a:t>
            </a:r>
            <a:r>
              <a:rPr lang="en-US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 </a:t>
            </a:r>
            <a:r>
              <a:rPr lang="ru-RU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млн долл.</a:t>
            </a:r>
            <a:endParaRPr lang="uk-UA" sz="2400" b="1">
              <a:solidFill>
                <a:schemeClr val="accent1"/>
              </a:solidFill>
              <a:latin typeface="Montserrat" panose="00000500000000000000" pitchFamily="2" charset="-52"/>
            </a:endParaRPr>
          </a:p>
        </c:rich>
      </c:tx>
      <c:layout>
        <c:manualLayout>
          <c:xMode val="edge"/>
          <c:yMode val="edge"/>
          <c:x val="1.2754239906296256E-3"/>
          <c:y val="2.073737647997762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" panose="00000500000000000000" pitchFamily="2" charset="-52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36205159616047E-2"/>
          <c:y val="0.22678531171064428"/>
          <c:w val="0.87429501419078259"/>
          <c:h val="0.67658628094685647"/>
        </c:manualLayout>
      </c:layout>
      <c:areaChart>
        <c:grouping val="stacked"/>
        <c:varyColors val="0"/>
        <c:ser>
          <c:idx val="3"/>
          <c:order val="1"/>
          <c:tx>
            <c:strRef>
              <c:f>'курс 2022-2023 v1'!$A$8</c:f>
              <c:strCache>
                <c:ptCount val="1"/>
                <c:pt idx="0">
                  <c:v>заливка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v1'!$B$2:$Y$2</c15:sqref>
                  </c15:fullRef>
                </c:ext>
              </c:extLst>
              <c:f>'курс 2022-2023 v1'!$H$2:$Y$2</c:f>
              <c:numCache>
                <c:formatCode>General</c:formatCode>
                <c:ptCount val="18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v1'!$B$8:$Y$8</c15:sqref>
                  </c15:fullRef>
                </c:ext>
              </c:extLst>
              <c:f>'курс 2022-2023 v1'!$H$8:$Y$8</c:f>
              <c:numCache>
                <c:formatCode>0.00</c:formatCode>
                <c:ptCount val="18"/>
                <c:pt idx="0">
                  <c:v>36.068600000000032</c:v>
                </c:pt>
                <c:pt idx="1">
                  <c:v>36.068600000000032</c:v>
                </c:pt>
                <c:pt idx="2">
                  <c:v>36.068600000000032</c:v>
                </c:pt>
                <c:pt idx="3">
                  <c:v>36.01895161290323</c:v>
                </c:pt>
                <c:pt idx="4">
                  <c:v>35.655420000000007</c:v>
                </c:pt>
                <c:pt idx="5">
                  <c:v>36.593925806451622</c:v>
                </c:pt>
                <c:pt idx="6">
                  <c:v>37.072233277496139</c:v>
                </c:pt>
                <c:pt idx="7">
                  <c:v>37.77478587846511</c:v>
                </c:pt>
                <c:pt idx="8">
                  <c:v>38.605806424374762</c:v>
                </c:pt>
                <c:pt idx="9">
                  <c:v>38.895705147134706</c:v>
                </c:pt>
                <c:pt idx="10">
                  <c:v>39.281047044824604</c:v>
                </c:pt>
                <c:pt idx="11">
                  <c:v>39.658399481375852</c:v>
                </c:pt>
                <c:pt idx="12">
                  <c:v>40.015635176768157</c:v>
                </c:pt>
                <c:pt idx="13">
                  <c:v>40.14772687713463</c:v>
                </c:pt>
                <c:pt idx="14">
                  <c:v>40.36685760056217</c:v>
                </c:pt>
                <c:pt idx="15">
                  <c:v>40.527007871865493</c:v>
                </c:pt>
                <c:pt idx="16">
                  <c:v>40.700074709472133</c:v>
                </c:pt>
                <c:pt idx="17">
                  <c:v>40.902614826192249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E97-475D-A388-FD9975238FA1}"/>
            </c:ext>
          </c:extLst>
        </c:ser>
        <c:ser>
          <c:idx val="4"/>
          <c:order val="2"/>
          <c:tx>
            <c:strRef>
              <c:f>'курс 2022-2023 v1'!$A$11</c:f>
              <c:strCache>
                <c:ptCount val="1"/>
                <c:pt idx="0">
                  <c:v>Заливка нижний предел уверенности</c:v>
                </c:pt>
              </c:strCache>
            </c:strRef>
          </c:tx>
          <c:spPr>
            <a:noFill/>
            <a:ln w="25400">
              <a:noFill/>
            </a:ln>
            <a:effectLst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v1'!$B$2:$Y$2</c15:sqref>
                  </c15:fullRef>
                </c:ext>
              </c:extLst>
              <c:f>'курс 2022-2023 v1'!$H$2:$Y$2</c:f>
              <c:numCache>
                <c:formatCode>General</c:formatCode>
                <c:ptCount val="18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v1'!$B$11:$Y$11</c15:sqref>
                  </c15:fullRef>
                </c:ext>
              </c:extLst>
              <c:f>'курс 2022-2023 v1'!$H$11:$Y$11</c:f>
              <c:numCache>
                <c:formatCode>General</c:formatCode>
                <c:ptCount val="18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BE97-475D-A388-FD9975238FA1}"/>
            </c:ext>
          </c:extLst>
        </c:ser>
        <c:ser>
          <c:idx val="5"/>
          <c:order val="5"/>
          <c:tx>
            <c:strRef>
              <c:f>'курс 2022-2023 v1'!$A$10</c:f>
              <c:strCache>
                <c:ptCount val="1"/>
                <c:pt idx="0">
                  <c:v>Разбивка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v1'!$B$2:$Y$2</c15:sqref>
                  </c15:fullRef>
                </c:ext>
              </c:extLst>
              <c:f>'курс 2022-2023 v1'!$H$2:$Y$2</c:f>
              <c:numCache>
                <c:formatCode>General</c:formatCode>
                <c:ptCount val="18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v1'!$B$10:$Y$10</c15:sqref>
                  </c15:fullRef>
                </c:ext>
              </c:extLst>
              <c:f>'курс 2022-2023 v1'!$H$10:$Y$10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-0.71266969139801972</c:v>
                </c:pt>
                <c:pt idx="7">
                  <c:v>-1.7495510839218156</c:v>
                </c:pt>
                <c:pt idx="8">
                  <c:v>-2.9628841488234627</c:v>
                </c:pt>
                <c:pt idx="9">
                  <c:v>-3.6710682421819172</c:v>
                </c:pt>
                <c:pt idx="10">
                  <c:v>-4.3968901416268267</c:v>
                </c:pt>
                <c:pt idx="11">
                  <c:v>-5.4217086373776553</c:v>
                </c:pt>
                <c:pt idx="12">
                  <c:v>-6.3751778005040194</c:v>
                </c:pt>
                <c:pt idx="13">
                  <c:v>-6.7254923706581025</c:v>
                </c:pt>
                <c:pt idx="14">
                  <c:v>-7.3005978693343536</c:v>
                </c:pt>
                <c:pt idx="15">
                  <c:v>-7.7177410663238106</c:v>
                </c:pt>
                <c:pt idx="16">
                  <c:v>-8.1648915981940178</c:v>
                </c:pt>
                <c:pt idx="17">
                  <c:v>-8.6833101644401367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E97-475D-A388-FD9975238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445312"/>
        <c:axId val="516452528"/>
        <c:extLst>
          <c:ext xmlns:c15="http://schemas.microsoft.com/office/drawing/2012/chart" uri="{02D57815-91ED-43cb-92C2-25804820EDAC}">
            <c15:filteredArea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'курс 2022-2023 v1'!$A$9</c15:sqref>
                        </c15:formulaRef>
                      </c:ext>
                    </c:extLst>
                    <c:strCache>
                      <c:ptCount val="1"/>
                      <c:pt idx="0">
                        <c:v>Заливка верхний предел уверенности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ullRef>
                          <c15:sqref>'курс 2022-2023 v1'!$B$2:$Y$2</c15:sqref>
                        </c15:fullRef>
                        <c15:formulaRef>
                          <c15:sqref>'курс 2022-2023 v1'!$H$2:$Y$2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7</c:v>
                      </c:pt>
                      <c:pt idx="1">
                        <c:v>8</c:v>
                      </c:pt>
                      <c:pt idx="2">
                        <c:v>9</c:v>
                      </c:pt>
                      <c:pt idx="3">
                        <c:v>10</c:v>
                      </c:pt>
                      <c:pt idx="4">
                        <c:v>11</c:v>
                      </c:pt>
                      <c:pt idx="5">
                        <c:v>12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3</c:v>
                      </c:pt>
                      <c:pt idx="9">
                        <c:v>4</c:v>
                      </c:pt>
                      <c:pt idx="10">
                        <c:v>5</c:v>
                      </c:pt>
                      <c:pt idx="11">
                        <c:v>6</c:v>
                      </c:pt>
                      <c:pt idx="12">
                        <c:v>7</c:v>
                      </c:pt>
                      <c:pt idx="13">
                        <c:v>8</c:v>
                      </c:pt>
                      <c:pt idx="14">
                        <c:v>9</c:v>
                      </c:pt>
                      <c:pt idx="15">
                        <c:v>10</c:v>
                      </c:pt>
                      <c:pt idx="16">
                        <c:v>11</c:v>
                      </c:pt>
                      <c:pt idx="17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'курс 2022-2023 v1'!$B$9:$Y$9</c15:sqref>
                        </c15:fullRef>
                        <c15:formulaRef>
                          <c15:sqref>'курс 2022-2023 v1'!$H$9:$Y$9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0.5</c:v>
                      </c:pt>
                      <c:pt idx="1">
                        <c:v>0.5</c:v>
                      </c:pt>
                      <c:pt idx="2">
                        <c:v>0.5</c:v>
                      </c:pt>
                      <c:pt idx="3">
                        <c:v>0.5</c:v>
                      </c:pt>
                      <c:pt idx="4">
                        <c:v>0.5</c:v>
                      </c:pt>
                      <c:pt idx="5">
                        <c:v>0.5</c:v>
                      </c:pt>
                      <c:pt idx="6">
                        <c:v>0.5</c:v>
                      </c:pt>
                      <c:pt idx="7">
                        <c:v>0.5</c:v>
                      </c:pt>
                      <c:pt idx="8">
                        <c:v>0.5</c:v>
                      </c:pt>
                      <c:pt idx="9">
                        <c:v>0.5</c:v>
                      </c:pt>
                      <c:pt idx="10">
                        <c:v>0.5</c:v>
                      </c:pt>
                      <c:pt idx="11">
                        <c:v>0.5</c:v>
                      </c:pt>
                      <c:pt idx="12">
                        <c:v>0.5</c:v>
                      </c:pt>
                      <c:pt idx="13">
                        <c:v>0.5</c:v>
                      </c:pt>
                      <c:pt idx="14">
                        <c:v>0.5</c:v>
                      </c:pt>
                      <c:pt idx="15">
                        <c:v>0.5</c:v>
                      </c:pt>
                      <c:pt idx="16">
                        <c:v>0.5</c:v>
                      </c:pt>
                      <c:pt idx="17">
                        <c:v>0.5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E-BE97-475D-A388-FD9975238FA1}"/>
                  </c:ext>
                </c:extLst>
              </c15:ser>
            </c15:filteredAreaSeries>
          </c:ext>
        </c:extLst>
      </c:areaChart>
      <c:barChart>
        <c:barDir val="col"/>
        <c:grouping val="clustered"/>
        <c:varyColors val="0"/>
        <c:ser>
          <c:idx val="0"/>
          <c:order val="0"/>
          <c:tx>
            <c:strRef>
              <c:f>'курс 2022-2023 v1'!$A$3</c:f>
              <c:strCache>
                <c:ptCount val="1"/>
                <c:pt idx="0">
                  <c:v>Сводное сальдо платежного баланса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10"/>
              <c:layout>
                <c:manualLayout>
                  <c:x val="-4.0941658137154556E-3"/>
                  <c:y val="1.5325493456676104E-1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97-475D-A388-FD9975238FA1}"/>
                </c:ext>
              </c:extLst>
            </c:dLbl>
            <c:dLbl>
              <c:idx val="12"/>
              <c:layout>
                <c:manualLayout>
                  <c:x val="-9.5530535653361622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E97-475D-A388-FD9975238FA1}"/>
                </c:ext>
              </c:extLst>
            </c:dLbl>
            <c:dLbl>
              <c:idx val="13"/>
              <c:layout>
                <c:manualLayout>
                  <c:x val="-4.0941658137154556E-3"/>
                  <c:y val="2.089864158829676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97-475D-A388-FD9975238F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accent5"/>
                    </a:solidFill>
                    <a:latin typeface="Montserrat" panose="00000500000000000000" pitchFamily="2" charset="-52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'курс 2022-2023 v1'!$B$1:$Y$2</c15:sqref>
                  </c15:fullRef>
                </c:ext>
              </c:extLst>
              <c:f>'курс 2022-2023 v1'!$H$1:$Y$2</c:f>
              <c:multiLvlStrCache>
                <c:ptCount val="18"/>
                <c:lvl>
                  <c:pt idx="0">
                    <c:v>7</c:v>
                  </c:pt>
                  <c:pt idx="1">
                    <c:v>8</c:v>
                  </c:pt>
                  <c:pt idx="2">
                    <c:v>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9</c:v>
                  </c:pt>
                  <c:pt idx="15">
                    <c:v>10</c:v>
                  </c:pt>
                  <c:pt idx="16">
                    <c:v>11</c:v>
                  </c:pt>
                  <c:pt idx="17">
                    <c:v>12</c:v>
                  </c:pt>
                </c:lvl>
                <c:lvl>
                  <c:pt idx="6">
                    <c:v>2024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v1'!$B$3:$Y$3</c15:sqref>
                  </c15:fullRef>
                </c:ext>
              </c:extLst>
              <c:f>'курс 2022-2023 v1'!$H$3:$Y$3</c:f>
              <c:numCache>
                <c:formatCode>0.0</c:formatCode>
                <c:ptCount val="18"/>
                <c:pt idx="0">
                  <c:v>2579</c:v>
                </c:pt>
                <c:pt idx="1">
                  <c:v>-1297</c:v>
                </c:pt>
                <c:pt idx="2">
                  <c:v>-609</c:v>
                </c:pt>
                <c:pt idx="3">
                  <c:v>-847</c:v>
                </c:pt>
                <c:pt idx="4">
                  <c:v>-355</c:v>
                </c:pt>
                <c:pt idx="5">
                  <c:v>1146.4890524503166</c:v>
                </c:pt>
                <c:pt idx="6">
                  <c:v>-232.99787369862486</c:v>
                </c:pt>
                <c:pt idx="7">
                  <c:v>-676.43982731900735</c:v>
                </c:pt>
                <c:pt idx="8">
                  <c:v>236.56588660407374</c:v>
                </c:pt>
                <c:pt idx="9">
                  <c:v>359.02079590516234</c:v>
                </c:pt>
                <c:pt idx="10">
                  <c:v>282.57177416106219</c:v>
                </c:pt>
                <c:pt idx="11">
                  <c:v>1627.2049399829514</c:v>
                </c:pt>
                <c:pt idx="12">
                  <c:v>850.64734420255854</c:v>
                </c:pt>
                <c:pt idx="13">
                  <c:v>1604.9295993719618</c:v>
                </c:pt>
                <c:pt idx="14">
                  <c:v>1981.3790423396867</c:v>
                </c:pt>
                <c:pt idx="15">
                  <c:v>1140.1944691993506</c:v>
                </c:pt>
                <c:pt idx="16">
                  <c:v>1277.5093975393313</c:v>
                </c:pt>
                <c:pt idx="17">
                  <c:v>2708.9606702932301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97-475D-A388-FD9975238FA1}"/>
            </c:ext>
          </c:extLst>
        </c:ser>
        <c:ser>
          <c:idx val="7"/>
          <c:order val="7"/>
          <c:tx>
            <c:strRef>
              <c:f>'курс 2022-2023 v1'!$A$4</c:f>
              <c:strCache>
                <c:ptCount val="1"/>
                <c:pt idx="0">
                  <c:v>Интервенции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12"/>
              <c:layout>
                <c:manualLayout>
                  <c:x val="2.7294438758102037E-3"/>
                  <c:y val="-7.6627467283380521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E97-475D-A388-FD9975238FA1}"/>
                </c:ext>
              </c:extLst>
            </c:dLbl>
            <c:dLbl>
              <c:idx val="13"/>
              <c:layout>
                <c:manualLayout>
                  <c:x val="5.4588877516205071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E97-475D-A388-FD9975238FA1}"/>
                </c:ext>
              </c:extLst>
            </c:dLbl>
            <c:dLbl>
              <c:idx val="14"/>
              <c:layout>
                <c:manualLayout>
                  <c:x val="5.4588877516206077E-3"/>
                  <c:y val="8.359456635318627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97-475D-A388-FD9975238FA1}"/>
                </c:ext>
              </c:extLst>
            </c:dLbl>
            <c:dLbl>
              <c:idx val="15"/>
              <c:layout>
                <c:manualLayout>
                  <c:x val="8.1883316274309111E-3"/>
                  <c:y val="2.089864158829676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E97-475D-A388-FD9975238FA1}"/>
                </c:ext>
              </c:extLst>
            </c:dLbl>
            <c:dLbl>
              <c:idx val="16"/>
              <c:layout>
                <c:manualLayout>
                  <c:x val="6.8236096895256592E-3"/>
                  <c:y val="8.359456635318627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97-475D-A388-FD9975238FA1}"/>
                </c:ext>
              </c:extLst>
            </c:dLbl>
            <c:dLbl>
              <c:idx val="17"/>
              <c:layout>
                <c:manualLayout>
                  <c:x val="5.4588877516206077E-3"/>
                  <c:y val="4.179728317659275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E97-475D-A388-FD9975238FA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accent4"/>
                    </a:solidFill>
                    <a:latin typeface="Montserrat" panose="00000500000000000000" pitchFamily="2" charset="-52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'курс 2022-2023 v1'!$B$1:$Y$2</c15:sqref>
                  </c15:fullRef>
                </c:ext>
              </c:extLst>
              <c:f>'курс 2022-2023 v1'!$H$1:$Y$2</c:f>
              <c:multiLvlStrCache>
                <c:ptCount val="18"/>
                <c:lvl>
                  <c:pt idx="0">
                    <c:v>7</c:v>
                  </c:pt>
                  <c:pt idx="1">
                    <c:v>8</c:v>
                  </c:pt>
                  <c:pt idx="2">
                    <c:v>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9</c:v>
                  </c:pt>
                  <c:pt idx="15">
                    <c:v>10</c:v>
                  </c:pt>
                  <c:pt idx="16">
                    <c:v>11</c:v>
                  </c:pt>
                  <c:pt idx="17">
                    <c:v>12</c:v>
                  </c:pt>
                </c:lvl>
                <c:lvl>
                  <c:pt idx="6">
                    <c:v>2024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v1'!$B$4:$Y$4</c15:sqref>
                  </c15:fullRef>
                </c:ext>
              </c:extLst>
              <c:f>'курс 2022-2023 v1'!$H$4:$Y$4</c:f>
              <c:numCache>
                <c:formatCode>0.0</c:formatCode>
                <c:ptCount val="18"/>
                <c:pt idx="0">
                  <c:v>-1932.92</c:v>
                </c:pt>
                <c:pt idx="1">
                  <c:v>-2364.23</c:v>
                </c:pt>
                <c:pt idx="2">
                  <c:v>-2691.4</c:v>
                </c:pt>
                <c:pt idx="3">
                  <c:v>-3337.4700000000003</c:v>
                </c:pt>
                <c:pt idx="4">
                  <c:v>-2452.8599999999997</c:v>
                </c:pt>
                <c:pt idx="5">
                  <c:v>-3553.0400000000004</c:v>
                </c:pt>
                <c:pt idx="6">
                  <c:v>-1810.4178166917461</c:v>
                </c:pt>
                <c:pt idx="7">
                  <c:v>-2843.7831373735075</c:v>
                </c:pt>
                <c:pt idx="8">
                  <c:v>-3272.3022309921439</c:v>
                </c:pt>
                <c:pt idx="9">
                  <c:v>-2101.5611664165344</c:v>
                </c:pt>
                <c:pt idx="10">
                  <c:v>-2680.1064577729621</c:v>
                </c:pt>
                <c:pt idx="11">
                  <c:v>-2494.0289130709571</c:v>
                </c:pt>
                <c:pt idx="12">
                  <c:v>-2451.0996047337517</c:v>
                </c:pt>
                <c:pt idx="13">
                  <c:v>-1005.1585914403573</c:v>
                </c:pt>
                <c:pt idx="14">
                  <c:v>-1739.8484822304677</c:v>
                </c:pt>
                <c:pt idx="15">
                  <c:v>-1354.104743012784</c:v>
                </c:pt>
                <c:pt idx="16">
                  <c:v>-1477.6948474954359</c:v>
                </c:pt>
                <c:pt idx="17">
                  <c:v>-1703.9523365588987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E97-475D-A388-FD9975238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516438752"/>
        <c:axId val="516436128"/>
      </c:barChart>
      <c:lineChart>
        <c:grouping val="standard"/>
        <c:varyColors val="0"/>
        <c:ser>
          <c:idx val="2"/>
          <c:order val="3"/>
          <c:tx>
            <c:strRef>
              <c:f>'курс 2022-2023 v1'!$A$7</c:f>
              <c:strCache>
                <c:ptCount val="1"/>
                <c:pt idx="0">
                  <c:v>Обменный курс (борьба с инфляцией)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BE97-475D-A388-FD9975238FA1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BE97-475D-A388-FD9975238FA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BE97-475D-A388-FD9975238FA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BE97-475D-A388-FD9975238FA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BE97-475D-A388-FD9975238FA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BE97-475D-A388-FD9975238FA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BE97-475D-A388-FD9975238FA1}"/>
                </c:ext>
              </c:extLst>
            </c:dLbl>
            <c:dLbl>
              <c:idx val="7"/>
              <c:layout>
                <c:manualLayout>
                  <c:x val="-3.3575598341916625E-2"/>
                  <c:y val="-3.24241601461259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BE97-475D-A388-FD9975238FA1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BE97-475D-A388-FD9975238FA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BE97-475D-A388-FD9975238FA1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BE97-475D-A388-FD9975238FA1}"/>
                </c:ext>
              </c:extLst>
            </c:dLbl>
            <c:dLbl>
              <c:idx val="13"/>
              <c:layout>
                <c:manualLayout>
                  <c:x val="-5.2685144142038537E-2"/>
                  <c:y val="-1.560601946700236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7-4276-9477-5A11CEC7C2B3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BE97-475D-A388-FD9975238FA1}"/>
                </c:ext>
              </c:extLst>
            </c:dLbl>
            <c:dLbl>
              <c:idx val="15"/>
              <c:layout>
                <c:manualLayout>
                  <c:x val="-5.2637325145001808E-2"/>
                  <c:y val="-3.02350685788101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58-4E43-801B-31A08BA8A678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BE97-475D-A388-FD9975238FA1}"/>
                </c:ext>
              </c:extLst>
            </c:dLbl>
            <c:dLbl>
              <c:idx val="17"/>
              <c:layout>
                <c:manualLayout>
                  <c:x val="-4.1023541453428965E-2"/>
                  <c:y val="-2.605534026115078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BE97-475D-A388-FD9975238FA1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accent3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v1'!$B$2:$Y$2</c15:sqref>
                  </c15:fullRef>
                </c:ext>
              </c:extLst>
              <c:f>'курс 2022-2023 v1'!$H$2:$Y$2</c:f>
              <c:numCache>
                <c:formatCode>General</c:formatCode>
                <c:ptCount val="18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v1'!$B$7:$Y$7</c15:sqref>
                  </c15:fullRef>
                </c:ext>
              </c:extLst>
              <c:f>'курс 2022-2023 v1'!$H$7:$Y$7</c:f>
              <c:numCache>
                <c:formatCode>0.00</c:formatCode>
                <c:ptCount val="18"/>
                <c:pt idx="0">
                  <c:v>36.568600000000032</c:v>
                </c:pt>
                <c:pt idx="1">
                  <c:v>36.568600000000032</c:v>
                </c:pt>
                <c:pt idx="2">
                  <c:v>36.568600000000032</c:v>
                </c:pt>
                <c:pt idx="3">
                  <c:v>36.51895161290323</c:v>
                </c:pt>
                <c:pt idx="4">
                  <c:v>36.155420000000007</c:v>
                </c:pt>
                <c:pt idx="5">
                  <c:v>37.093925806451622</c:v>
                </c:pt>
                <c:pt idx="6">
                  <c:v>36.859563586098119</c:v>
                </c:pt>
                <c:pt idx="7">
                  <c:v>36.525234794543294</c:v>
                </c:pt>
                <c:pt idx="8">
                  <c:v>36.1429222755513</c:v>
                </c:pt>
                <c:pt idx="9">
                  <c:v>35.724636904952789</c:v>
                </c:pt>
                <c:pt idx="10">
                  <c:v>35.384156903197777</c:v>
                </c:pt>
                <c:pt idx="11">
                  <c:v>34.736690843998197</c:v>
                </c:pt>
                <c:pt idx="12">
                  <c:v>34.140457376264138</c:v>
                </c:pt>
                <c:pt idx="13">
                  <c:v>33.922234506476528</c:v>
                </c:pt>
                <c:pt idx="14">
                  <c:v>33.566259731227817</c:v>
                </c:pt>
                <c:pt idx="15">
                  <c:v>33.309266805541682</c:v>
                </c:pt>
                <c:pt idx="16">
                  <c:v>33.035183111278116</c:v>
                </c:pt>
                <c:pt idx="17">
                  <c:v>32.719304661752112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BE97-475D-A388-FD9975238FA1}"/>
            </c:ext>
          </c:extLst>
        </c:ser>
        <c:ser>
          <c:idx val="1"/>
          <c:order val="4"/>
          <c:tx>
            <c:strRef>
              <c:f>'курс 2022-2023 v1'!$A$6</c:f>
              <c:strCache>
                <c:ptCount val="1"/>
                <c:pt idx="0">
                  <c:v>Обменный курс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3.3360681501301587E-2"/>
                  <c:y val="2.60553402611507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BE97-475D-A388-FD9975238FA1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BE97-475D-A388-FD9975238FA1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BE97-475D-A388-FD9975238FA1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BE97-475D-A388-FD9975238FA1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BE97-475D-A388-FD9975238FA1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BE97-475D-A388-FD9975238FA1}"/>
                </c:ext>
              </c:extLst>
            </c:dLbl>
            <c:dLbl>
              <c:idx val="7"/>
              <c:layout>
                <c:manualLayout>
                  <c:x val="-2.9587171613783741E-2"/>
                  <c:y val="-3.027160006253136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BE97-475D-A388-FD9975238FA1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BE97-475D-A388-FD9975238FA1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BE97-475D-A388-FD9975238FA1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BE97-475D-A388-FD9975238FA1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BE97-475D-A388-FD9975238FA1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BE97-475D-A388-FD9975238FA1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BE97-475D-A388-FD9975238FA1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BE97-475D-A388-FD9975238FA1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B-BE97-475D-A388-FD9975238FA1}"/>
                </c:ext>
              </c:extLst>
            </c:dLbl>
            <c:dLbl>
              <c:idx val="16"/>
              <c:layout>
                <c:manualLayout>
                  <c:x val="-5.7598143118497189E-2"/>
                  <c:y val="2.814520441998041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C-BE97-475D-A388-FD9975238FA1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accent5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v1'!$B$2:$Y$2</c15:sqref>
                  </c15:fullRef>
                </c:ext>
              </c:extLst>
              <c:f>'курс 2022-2023 v1'!$H$2:$Y$2</c:f>
              <c:numCache>
                <c:formatCode>General</c:formatCode>
                <c:ptCount val="18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  <c:pt idx="12">
                  <c:v>7</c:v>
                </c:pt>
                <c:pt idx="13">
                  <c:v>8</c:v>
                </c:pt>
                <c:pt idx="14">
                  <c:v>9</c:v>
                </c:pt>
                <c:pt idx="15">
                  <c:v>10</c:v>
                </c:pt>
                <c:pt idx="16">
                  <c:v>11</c:v>
                </c:pt>
                <c:pt idx="17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v1'!$B$6:$Y$6</c15:sqref>
                  </c15:fullRef>
                </c:ext>
              </c:extLst>
              <c:f>'курс 2022-2023 v1'!$H$6:$Y$6</c:f>
              <c:numCache>
                <c:formatCode>0.00</c:formatCode>
                <c:ptCount val="18"/>
                <c:pt idx="0">
                  <c:v>36.568600000000032</c:v>
                </c:pt>
                <c:pt idx="1">
                  <c:v>36.568600000000032</c:v>
                </c:pt>
                <c:pt idx="2">
                  <c:v>36.568600000000032</c:v>
                </c:pt>
                <c:pt idx="3">
                  <c:v>36.51895161290323</c:v>
                </c:pt>
                <c:pt idx="4">
                  <c:v>36.155420000000007</c:v>
                </c:pt>
                <c:pt idx="5">
                  <c:v>37.093925806451622</c:v>
                </c:pt>
                <c:pt idx="6">
                  <c:v>37.572233277496139</c:v>
                </c:pt>
                <c:pt idx="7">
                  <c:v>38.27478587846511</c:v>
                </c:pt>
                <c:pt idx="8">
                  <c:v>39.105806424374762</c:v>
                </c:pt>
                <c:pt idx="9">
                  <c:v>39.395705147134706</c:v>
                </c:pt>
                <c:pt idx="10">
                  <c:v>39.781047044824604</c:v>
                </c:pt>
                <c:pt idx="11">
                  <c:v>40.158399481375852</c:v>
                </c:pt>
                <c:pt idx="12">
                  <c:v>40.515635176768157</c:v>
                </c:pt>
                <c:pt idx="13">
                  <c:v>40.64772687713463</c:v>
                </c:pt>
                <c:pt idx="14">
                  <c:v>40.86685760056217</c:v>
                </c:pt>
                <c:pt idx="15">
                  <c:v>41.027007871865493</c:v>
                </c:pt>
                <c:pt idx="16">
                  <c:v>41.200074709472133</c:v>
                </c:pt>
                <c:pt idx="17">
                  <c:v>41.402614826192249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D-BE97-475D-A388-FD9975238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445312"/>
        <c:axId val="516452528"/>
        <c:extLst>
          <c:ext xmlns:c15="http://schemas.microsoft.com/office/drawing/2012/chart" uri="{02D57815-91ED-43cb-92C2-25804820EDAC}">
            <c15:filteredLine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'курс 2022-2023 v1'!$A$9</c15:sqref>
                        </c15:formulaRef>
                      </c:ext>
                    </c:extLst>
                    <c:strCache>
                      <c:ptCount val="1"/>
                      <c:pt idx="0">
                        <c:v>Заливка верхний предел уверенности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'курс 2022-2023 v1'!$B$2:$Y$2</c15:sqref>
                        </c15:fullRef>
                        <c15:formulaRef>
                          <c15:sqref>'курс 2022-2023 v1'!$H$2:$Y$2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7</c:v>
                      </c:pt>
                      <c:pt idx="1">
                        <c:v>8</c:v>
                      </c:pt>
                      <c:pt idx="2">
                        <c:v>9</c:v>
                      </c:pt>
                      <c:pt idx="3">
                        <c:v>10</c:v>
                      </c:pt>
                      <c:pt idx="4">
                        <c:v>11</c:v>
                      </c:pt>
                      <c:pt idx="5">
                        <c:v>12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3</c:v>
                      </c:pt>
                      <c:pt idx="9">
                        <c:v>4</c:v>
                      </c:pt>
                      <c:pt idx="10">
                        <c:v>5</c:v>
                      </c:pt>
                      <c:pt idx="11">
                        <c:v>6</c:v>
                      </c:pt>
                      <c:pt idx="12">
                        <c:v>7</c:v>
                      </c:pt>
                      <c:pt idx="13">
                        <c:v>8</c:v>
                      </c:pt>
                      <c:pt idx="14">
                        <c:v>9</c:v>
                      </c:pt>
                      <c:pt idx="15">
                        <c:v>10</c:v>
                      </c:pt>
                      <c:pt idx="16">
                        <c:v>11</c:v>
                      </c:pt>
                      <c:pt idx="17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'курс 2022-2023 v1'!$B$10:$Y$10</c15:sqref>
                        </c15:fullRef>
                        <c15:formulaRef>
                          <c15:sqref>'курс 2022-2023 v1'!$H$10:$Y$10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-0.71266969139801972</c:v>
                      </c:pt>
                      <c:pt idx="7">
                        <c:v>-1.7495510839218156</c:v>
                      </c:pt>
                      <c:pt idx="8">
                        <c:v>-2.9628841488234627</c:v>
                      </c:pt>
                      <c:pt idx="9">
                        <c:v>-3.6710682421819172</c:v>
                      </c:pt>
                      <c:pt idx="10">
                        <c:v>-4.3968901416268267</c:v>
                      </c:pt>
                      <c:pt idx="11">
                        <c:v>-5.4217086373776553</c:v>
                      </c:pt>
                      <c:pt idx="12">
                        <c:v>-6.3751778005040194</c:v>
                      </c:pt>
                      <c:pt idx="13">
                        <c:v>-6.7254923706581025</c:v>
                      </c:pt>
                      <c:pt idx="14">
                        <c:v>-7.3005978693343536</c:v>
                      </c:pt>
                      <c:pt idx="15">
                        <c:v>-7.7177410663238106</c:v>
                      </c:pt>
                      <c:pt idx="16">
                        <c:v>-8.1648915981940178</c:v>
                      </c:pt>
                      <c:pt idx="17">
                        <c:v>-8.6833101644401367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F-BE97-475D-A388-FD9975238FA1}"/>
                  </c:ext>
                </c:extLst>
              </c15:ser>
            </c15:filteredLineSeries>
          </c:ext>
        </c:extLst>
      </c:lineChart>
      <c:catAx>
        <c:axId val="51643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endParaRPr lang="en-US"/>
          </a:p>
        </c:txPr>
        <c:crossAx val="516436128"/>
        <c:crosses val="autoZero"/>
        <c:auto val="1"/>
        <c:lblAlgn val="ctr"/>
        <c:lblOffset val="100"/>
        <c:noMultiLvlLbl val="0"/>
      </c:catAx>
      <c:valAx>
        <c:axId val="516436128"/>
        <c:scaling>
          <c:orientation val="minMax"/>
          <c:max val="10000"/>
          <c:min val="-6000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endParaRPr lang="en-US"/>
          </a:p>
        </c:txPr>
        <c:crossAx val="516438752"/>
        <c:crosses val="autoZero"/>
        <c:crossBetween val="between"/>
      </c:valAx>
      <c:valAx>
        <c:axId val="516452528"/>
        <c:scaling>
          <c:orientation val="minMax"/>
          <c:min val="15"/>
        </c:scaling>
        <c:delete val="0"/>
        <c:axPos val="r"/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accent1"/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endParaRPr lang="en-US"/>
          </a:p>
        </c:txPr>
        <c:crossAx val="516445312"/>
        <c:crosses val="max"/>
        <c:crossBetween val="between"/>
      </c:valAx>
      <c:catAx>
        <c:axId val="516445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6452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2.7294438758103039E-3"/>
          <c:y val="0.13272727272727275"/>
          <c:w val="0.99684749232343928"/>
          <c:h val="7.49905791556619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r>
              <a:rPr lang="ru-RU" sz="2400" b="1">
                <a:solidFill>
                  <a:schemeClr val="accent1"/>
                </a:solidFill>
                <a:latin typeface="Montserrat" panose="00000500000000000000" pitchFamily="2" charset="-52"/>
              </a:rPr>
              <a:t>К</a:t>
            </a:r>
            <a:r>
              <a:rPr lang="uk-UA" sz="2400" b="1">
                <a:solidFill>
                  <a:schemeClr val="accent1"/>
                </a:solidFill>
                <a:latin typeface="Montserrat" panose="00000500000000000000" pitchFamily="2" charset="-52"/>
              </a:rPr>
              <a:t>урсовой прогноз до</a:t>
            </a:r>
            <a:r>
              <a:rPr lang="uk-UA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 конца 202</a:t>
            </a:r>
            <a:r>
              <a:rPr lang="en-US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2</a:t>
            </a:r>
            <a:r>
              <a:rPr lang="uk-UA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 года</a:t>
            </a:r>
            <a:r>
              <a:rPr lang="uk-UA" sz="2400" b="1">
                <a:solidFill>
                  <a:schemeClr val="accent1"/>
                </a:solidFill>
                <a:latin typeface="Montserrat" panose="00000500000000000000" pitchFamily="2" charset="-52"/>
              </a:rPr>
              <a:t>, </a:t>
            </a:r>
            <a:r>
              <a:rPr lang="en-US" sz="2400" b="1">
                <a:solidFill>
                  <a:schemeClr val="accent1"/>
                </a:solidFill>
                <a:latin typeface="Montserrat" panose="00000500000000000000" pitchFamily="2" charset="-52"/>
              </a:rPr>
              <a:t>UAH/EUR,</a:t>
            </a:r>
            <a:r>
              <a:rPr lang="en-US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 </a:t>
            </a:r>
            <a:r>
              <a:rPr lang="ru-RU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млн долл.</a:t>
            </a:r>
            <a:endParaRPr lang="uk-UA" sz="2400" b="1">
              <a:solidFill>
                <a:schemeClr val="accent1"/>
              </a:solidFill>
              <a:latin typeface="Montserrat" panose="00000500000000000000" pitchFamily="2" charset="-52"/>
            </a:endParaRPr>
          </a:p>
        </c:rich>
      </c:tx>
      <c:layout>
        <c:manualLayout>
          <c:xMode val="edge"/>
          <c:yMode val="edge"/>
          <c:x val="1.2754239906296256E-3"/>
          <c:y val="2.073737647997762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" panose="00000500000000000000" pitchFamily="2" charset="-52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36205159616047E-2"/>
          <c:y val="0.19549757690946939"/>
          <c:w val="0.87429501419078259"/>
          <c:h val="0.73301261323525779"/>
        </c:manualLayout>
      </c:layout>
      <c:area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16445312"/>
        <c:axId val="516452528"/>
        <c:extLst>
          <c:ext xmlns:c15="http://schemas.microsoft.com/office/drawing/2012/chart" uri="{02D57815-91ED-43cb-92C2-25804820EDAC}">
            <c15:filteredAreaSeries>
              <c15:ser>
                <c:idx val="3"/>
                <c:order val="2"/>
                <c:tx>
                  <c:strRef>
                    <c:extLst>
                      <c:ext uri="{02D57815-91ED-43cb-92C2-25804820EDAC}">
                        <c15:formulaRef>
                          <c15:sqref>'курс 2022-2023 v1'!$A$8</c15:sqref>
                        </c15:formulaRef>
                      </c:ext>
                    </c:extLst>
                    <c:strCache>
                      <c:ptCount val="1"/>
                      <c:pt idx="0">
                        <c:v>заливка</c:v>
                      </c:pt>
                    </c:strCache>
                  </c:strRef>
                </c:tx>
                <c:spPr>
                  <a:noFill/>
                  <a:ln w="25400"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ullRef>
                          <c15:sqref>'курс 2022-2023 v1'!$B$2:$Y$2</c15:sqref>
                        </c15:fullRef>
                        <c15:formulaRef>
                          <c15:sqref>'курс 2022-2023 v1'!$N$2:$Y$2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'курс 2022-2023 v1'!$B$19:$Y$19</c15:sqref>
                        </c15:fullRef>
                        <c15:formulaRef>
                          <c15:sqref>'курс 2022-2023 v1'!$N$19:$Y$19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31.670651612903228</c:v>
                      </c:pt>
                      <c:pt idx="1">
                        <c:v>33.373101459764726</c:v>
                      </c:pt>
                      <c:pt idx="2">
                        <c:v>35.137401982976172</c:v>
                      </c:pt>
                      <c:pt idx="3">
                        <c:v>34.589972798599504</c:v>
                      </c:pt>
                      <c:pt idx="4">
                        <c:v>34.285079551481232</c:v>
                      </c:pt>
                      <c:pt idx="5">
                        <c:v>41.569934336378175</c:v>
                      </c:pt>
                      <c:pt idx="6">
                        <c:v>40.887976023621704</c:v>
                      </c:pt>
                      <c:pt idx="7">
                        <c:v>41.444498455266078</c:v>
                      </c:pt>
                      <c:pt idx="8">
                        <c:v>40.115723354476501</c:v>
                      </c:pt>
                      <c:pt idx="9">
                        <c:v>41.500453451030737</c:v>
                      </c:pt>
                      <c:pt idx="10">
                        <c:v>41.431642044784304</c:v>
                      </c:pt>
                      <c:pt idx="11">
                        <c:v>41.598705465091669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6-6DA4-4CF7-B76E-8A769C09AC5B}"/>
                  </c:ext>
                </c:extLst>
              </c15:ser>
            </c15:filteredAreaSeries>
            <c15:filteredArea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'курс 2022-2023 v1'!$A$22</c15:sqref>
                        </c15:formulaRef>
                      </c:ext>
                    </c:extLst>
                    <c:strCache>
                      <c:ptCount val="1"/>
                      <c:pt idx="0">
                        <c:v>Заливка нижний предел уверенности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v1'!$B$2:$Y$2</c15:sqref>
                        </c15:fullRef>
                        <c15:formulaRef>
                          <c15:sqref>'курс 2022-2023 v1'!$N$2:$Y$2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v1'!$B$22:$Y$22</c15:sqref>
                        </c15:fullRef>
                        <c15:formulaRef>
                          <c15:sqref>'курс 2022-2023 v1'!$N$22:$Y$22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1" formatCode="0.0">
                        <c:v>0.44173779789431278</c:v>
                      </c:pt>
                      <c:pt idx="2" formatCode="0.0">
                        <c:v>0.45507923855712118</c:v>
                      </c:pt>
                      <c:pt idx="3" formatCode="0.0">
                        <c:v>0.44465028552320274</c:v>
                      </c:pt>
                      <c:pt idx="4" formatCode="0.0">
                        <c:v>0.43640740421656338</c:v>
                      </c:pt>
                      <c:pt idx="5" formatCode="0.0">
                        <c:v>0.52410000000000001</c:v>
                      </c:pt>
                      <c:pt idx="6" formatCode="0.0">
                        <c:v>0.51090000000000002</c:v>
                      </c:pt>
                      <c:pt idx="7" formatCode="0.0">
                        <c:v>0.51615</c:v>
                      </c:pt>
                      <c:pt idx="8" formatCode="0.0">
                        <c:v>0.49688935105414089</c:v>
                      </c:pt>
                      <c:pt idx="9" formatCode="0.0">
                        <c:v>0.51200983776353526</c:v>
                      </c:pt>
                      <c:pt idx="10" formatCode="0.0">
                        <c:v>0.50898729720441904</c:v>
                      </c:pt>
                      <c:pt idx="11" formatCode="0.0">
                        <c:v>0.50850912150552385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DA4-4CF7-B76E-8A769C09AC5B}"/>
                  </c:ext>
                </c:extLst>
              </c15:ser>
            </c15:filteredAreaSeries>
            <c15:filteredArea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'курс 2022-2023 v1'!$A$21</c15:sqref>
                        </c15:formulaRef>
                      </c:ext>
                    </c:extLst>
                    <c:strCache>
                      <c:ptCount val="1"/>
                      <c:pt idx="0">
                        <c:v>Разбивка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v1'!$B$21:$Y$21</c15:sqref>
                        </c15:fullRef>
                        <c15:formulaRef>
                          <c15:sqref>'курс 2022-2023 v1'!$N$21:$Y$21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-1.5456856862304633</c:v>
                      </c:pt>
                      <c:pt idx="2">
                        <c:v>-2.696694124759091</c:v>
                      </c:pt>
                      <c:pt idx="3">
                        <c:v>-3.2646830841227015</c:v>
                      </c:pt>
                      <c:pt idx="4">
                        <c:v>-3.8376708266655228</c:v>
                      </c:pt>
                      <c:pt idx="5">
                        <c:v>-5.683034993699259</c:v>
                      </c:pt>
                      <c:pt idx="6">
                        <c:v>-6.5141566765550039</c:v>
                      </c:pt>
                      <c:pt idx="7">
                        <c:v>-6.942725774230361</c:v>
                      </c:pt>
                      <c:pt idx="8">
                        <c:v>-7.2551786752015843</c:v>
                      </c:pt>
                      <c:pt idx="9">
                        <c:v>-7.9031187025388547</c:v>
                      </c:pt>
                      <c:pt idx="10">
                        <c:v>-8.3116522130636881</c:v>
                      </c:pt>
                      <c:pt idx="11">
                        <c:v>-8.8310848469588805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DA4-4CF7-B76E-8A769C09AC5B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'курс 2022-2023 v1'!$A$20</c15:sqref>
                        </c15:formulaRef>
                      </c:ext>
                    </c:extLst>
                    <c:strCache>
                      <c:ptCount val="1"/>
                      <c:pt idx="0">
                        <c:v>Заливка верхний предел уверенности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v1'!$B$20:$Y$20</c15:sqref>
                        </c15:fullRef>
                        <c15:formulaRef>
                          <c15:sqref>'курс 2022-2023 v1'!$N$20:$Y$20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1">
                        <c:v>0.44173779789431278</c:v>
                      </c:pt>
                      <c:pt idx="2">
                        <c:v>0.45507923855712118</c:v>
                      </c:pt>
                      <c:pt idx="3">
                        <c:v>0.44465028552320274</c:v>
                      </c:pt>
                      <c:pt idx="4">
                        <c:v>0.43640740421656338</c:v>
                      </c:pt>
                      <c:pt idx="5">
                        <c:v>0.52410000000000001</c:v>
                      </c:pt>
                      <c:pt idx="6">
                        <c:v>0.51090000000000002</c:v>
                      </c:pt>
                      <c:pt idx="7">
                        <c:v>0.51615</c:v>
                      </c:pt>
                      <c:pt idx="8">
                        <c:v>0.49688935105414089</c:v>
                      </c:pt>
                      <c:pt idx="9">
                        <c:v>0.51200983776353526</c:v>
                      </c:pt>
                      <c:pt idx="10">
                        <c:v>0.50898729720441904</c:v>
                      </c:pt>
                      <c:pt idx="11">
                        <c:v>0.50850912150552385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DA4-4CF7-B76E-8A769C09AC5B}"/>
                  </c:ext>
                </c:extLst>
              </c15:ser>
            </c15:filteredAreaSeries>
          </c:ext>
        </c:extLst>
      </c:areaChart>
      <c:barChart>
        <c:barDir val="col"/>
        <c:grouping val="clustered"/>
        <c:varyColors val="0"/>
        <c:ser>
          <c:idx val="0"/>
          <c:order val="0"/>
          <c:tx>
            <c:strRef>
              <c:f>'курс 2022-2023 v1'!$A$3</c:f>
              <c:strCache>
                <c:ptCount val="1"/>
                <c:pt idx="0">
                  <c:v>Сводное сальдо платежного баланса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6.8274572114029571E-3"/>
                  <c:y val="-6.257864463468688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DA4-4CF7-B76E-8A769C09AC5B}"/>
                </c:ext>
              </c:extLst>
            </c:dLbl>
            <c:dLbl>
              <c:idx val="6"/>
              <c:layout>
                <c:manualLayout>
                  <c:x val="-1.3647219379052519E-3"/>
                  <c:y val="1.8923966792475556E-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DA4-4CF7-B76E-8A769C09AC5B}"/>
                </c:ext>
              </c:extLst>
            </c:dLbl>
            <c:dLbl>
              <c:idx val="7"/>
              <c:layout>
                <c:manualLayout>
                  <c:x val="0"/>
                  <c:y val="1.04493207941483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DA4-4CF7-B76E-8A769C09AC5B}"/>
                </c:ext>
              </c:extLst>
            </c:dLbl>
            <c:dLbl>
              <c:idx val="8"/>
              <c:layout>
                <c:manualLayout>
                  <c:x val="0"/>
                  <c:y val="1.25393495092111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DA4-4CF7-B76E-8A769C09AC5B}"/>
                </c:ext>
              </c:extLst>
            </c:dLbl>
            <c:dLbl>
              <c:idx val="9"/>
              <c:layout>
                <c:manualLayout>
                  <c:x val="-4.0941658137154556E-3"/>
                  <c:y val="-1.4316392269148175E-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DA4-4CF7-B76E-8A769C09AC5B}"/>
                </c:ext>
              </c:extLst>
            </c:dLbl>
            <c:dLbl>
              <c:idx val="11"/>
              <c:layout>
                <c:manualLayout>
                  <c:x val="2.7294438758104036E-3"/>
                  <c:y val="-6.26959247648902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DA4-4CF7-B76E-8A769C09AC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accent5"/>
                    </a:solidFill>
                    <a:latin typeface="Montserrat" panose="00000500000000000000" pitchFamily="2" charset="-52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v1'!$B$2:$Y$2</c15:sqref>
                  </c15:fullRef>
                </c:ext>
              </c:extLst>
              <c:f>'курс 2022-2023 v1'!$N$2:$Y$2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v1'!$B$3:$Y$3</c15:sqref>
                  </c15:fullRef>
                </c:ext>
              </c:extLst>
              <c:f>'курс 2022-2023 v1'!$N$3:$Y$3</c:f>
              <c:numCache>
                <c:formatCode>0.0</c:formatCode>
                <c:ptCount val="12"/>
                <c:pt idx="0">
                  <c:v>-232.99787369862486</c:v>
                </c:pt>
                <c:pt idx="1">
                  <c:v>-676.43982731900735</c:v>
                </c:pt>
                <c:pt idx="2">
                  <c:v>236.56588660407374</c:v>
                </c:pt>
                <c:pt idx="3">
                  <c:v>359.02079590516234</c:v>
                </c:pt>
                <c:pt idx="4">
                  <c:v>282.57177416106219</c:v>
                </c:pt>
                <c:pt idx="5">
                  <c:v>1627.2049399829514</c:v>
                </c:pt>
                <c:pt idx="6">
                  <c:v>850.64734420255854</c:v>
                </c:pt>
                <c:pt idx="7">
                  <c:v>1604.9295993719618</c:v>
                </c:pt>
                <c:pt idx="8">
                  <c:v>1981.3790423396867</c:v>
                </c:pt>
                <c:pt idx="9">
                  <c:v>1140.1944691993506</c:v>
                </c:pt>
                <c:pt idx="10">
                  <c:v>1277.5093975393313</c:v>
                </c:pt>
                <c:pt idx="11">
                  <c:v>2708.9606702932301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DA4-4CF7-B76E-8A769C09AC5B}"/>
            </c:ext>
          </c:extLst>
        </c:ser>
        <c:ser>
          <c:idx val="7"/>
          <c:order val="7"/>
          <c:tx>
            <c:strRef>
              <c:f>'курс 2022-2023 v1'!$A$4</c:f>
              <c:strCache>
                <c:ptCount val="1"/>
                <c:pt idx="0">
                  <c:v>Интервенции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9"/>
              <c:layout>
                <c:manualLayout>
                  <c:x val="5.4588877516206077E-3"/>
                  <c:y val="2.089864158829676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DA4-4CF7-B76E-8A769C09AC5B}"/>
                </c:ext>
              </c:extLst>
            </c:dLbl>
            <c:dLbl>
              <c:idx val="10"/>
              <c:layout>
                <c:manualLayout>
                  <c:x val="2.7294438758103039E-3"/>
                  <c:y val="1.04442195509258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6DA4-4CF7-B76E-8A769C09AC5B}"/>
                </c:ext>
              </c:extLst>
            </c:dLbl>
            <c:dLbl>
              <c:idx val="11"/>
              <c:layout>
                <c:manualLayout>
                  <c:x val="4.0941658137152552E-3"/>
                  <c:y val="4.179728317659352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DA4-4CF7-B76E-8A769C09AC5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accent4"/>
                    </a:solidFill>
                    <a:latin typeface="Montserrat" panose="00000500000000000000" pitchFamily="2" charset="-52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v1'!$B$4:$Y$4</c15:sqref>
                  </c15:fullRef>
                </c:ext>
              </c:extLst>
              <c:f>'курс 2022-2023 v1'!$N$4:$Y$4</c:f>
              <c:numCache>
                <c:formatCode>0.0</c:formatCode>
                <c:ptCount val="12"/>
                <c:pt idx="0">
                  <c:v>-1810.4178166917461</c:v>
                </c:pt>
                <c:pt idx="1">
                  <c:v>-2843.7831373735075</c:v>
                </c:pt>
                <c:pt idx="2">
                  <c:v>-3272.3022309921439</c:v>
                </c:pt>
                <c:pt idx="3">
                  <c:v>-2101.5611664165344</c:v>
                </c:pt>
                <c:pt idx="4">
                  <c:v>-2680.1064577729621</c:v>
                </c:pt>
                <c:pt idx="5">
                  <c:v>-2494.0289130709571</c:v>
                </c:pt>
                <c:pt idx="6">
                  <c:v>-2451.0996047337517</c:v>
                </c:pt>
                <c:pt idx="7">
                  <c:v>-1005.1585914403573</c:v>
                </c:pt>
                <c:pt idx="8">
                  <c:v>-1739.8484822304677</c:v>
                </c:pt>
                <c:pt idx="9">
                  <c:v>-1354.104743012784</c:v>
                </c:pt>
                <c:pt idx="10">
                  <c:v>-1477.6948474954359</c:v>
                </c:pt>
                <c:pt idx="11">
                  <c:v>-1703.9523365588987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DA4-4CF7-B76E-8A769C09A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516438752"/>
        <c:axId val="516436128"/>
      </c:barChart>
      <c:lineChart>
        <c:grouping val="standard"/>
        <c:varyColors val="0"/>
        <c:ser>
          <c:idx val="2"/>
          <c:order val="4"/>
          <c:tx>
            <c:strRef>
              <c:f>'курс 2022-2023 v1'!$A$18</c:f>
              <c:strCache>
                <c:ptCount val="1"/>
                <c:pt idx="0">
                  <c:v>Курсовой прогноз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DA4-4CF7-B76E-8A769C09AC5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6DA4-4CF7-B76E-8A769C09AC5B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DA4-4CF7-B76E-8A769C09AC5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6DA4-4CF7-B76E-8A769C09AC5B}"/>
                </c:ext>
              </c:extLst>
            </c:dLbl>
            <c:spPr>
              <a:solidFill>
                <a:schemeClr val="bg1"/>
              </a:solidFill>
              <a:ln w="12700">
                <a:solidFill>
                  <a:schemeClr val="accent5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Montserrat" panose="00000500000000000000" pitchFamily="2" charset="-52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2"/>
              <c:pt idx="0">
                <c:v>13</c:v>
              </c:pt>
              <c:pt idx="1">
                <c:v>14</c:v>
              </c:pt>
              <c:pt idx="2">
                <c:v>15</c:v>
              </c:pt>
              <c:pt idx="3">
                <c:v>16</c:v>
              </c:pt>
              <c:pt idx="4">
                <c:v>17</c:v>
              </c:pt>
              <c:pt idx="5">
                <c:v>18</c:v>
              </c:pt>
              <c:pt idx="6">
                <c:v>19</c:v>
              </c:pt>
              <c:pt idx="7">
                <c:v>20</c:v>
              </c:pt>
              <c:pt idx="8">
                <c:v>21</c:v>
              </c:pt>
              <c:pt idx="9">
                <c:v>22</c:v>
              </c:pt>
              <c:pt idx="10">
                <c:v>23</c:v>
              </c:pt>
              <c:pt idx="11">
                <c:v>24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v1'!$B$18:$Y$18</c15:sqref>
                  </c15:fullRef>
                </c:ext>
              </c:extLst>
              <c:f>'курс 2022-2023 v1'!$N$18:$Y$18</c:f>
              <c:numCache>
                <c:formatCode>0.00</c:formatCode>
                <c:ptCount val="12"/>
                <c:pt idx="0">
                  <c:v>31.670651612903228</c:v>
                </c:pt>
                <c:pt idx="1">
                  <c:v>32.269153571428575</c:v>
                </c:pt>
                <c:pt idx="2">
                  <c:v>32.8957870967742</c:v>
                </c:pt>
                <c:pt idx="3">
                  <c:v>31.769940000000005</c:v>
                </c:pt>
                <c:pt idx="4">
                  <c:v>30.883816129032269</c:v>
                </c:pt>
                <c:pt idx="5">
                  <c:v>36.410999342678913</c:v>
                </c:pt>
                <c:pt idx="6">
                  <c:v>34.884719347066699</c:v>
                </c:pt>
                <c:pt idx="7">
                  <c:v>35.017922681035721</c:v>
                </c:pt>
                <c:pt idx="8">
                  <c:v>33.35743403032906</c:v>
                </c:pt>
                <c:pt idx="9">
                  <c:v>34.109344586255418</c:v>
                </c:pt>
                <c:pt idx="10">
                  <c:v>33.628977128925037</c:v>
                </c:pt>
                <c:pt idx="11">
                  <c:v>33.276129739638314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'курс 2022-2023 v1'!$J$18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08D4-4347-B48B-B503F0951A91}"/>
                      </c:ext>
                    </c:extLst>
                  </c15:dLbl>
                </c15:categoryFilterException>
                <c15:categoryFilterException>
                  <c15:sqref>'курс 2022-2023 v1'!$L$18</c15:sqref>
                  <c15:dLbl>
                    <c:idx val="-1"/>
                    <c:layout>
                      <c:manualLayout>
                        <c:x val="-3.6079809368762372E-2"/>
                        <c:y val="2.8145204419980342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08D4-4347-B48B-B503F0951A91}"/>
                      </c:ext>
                    </c:extLst>
                  </c15:dLbl>
                </c15:categoryFilterException>
                <c15:categoryFilterException>
                  <c15:sqref>'курс 2022-2023 v1'!$M$18</c15:sqref>
                  <c15:dLbl>
                    <c:idx val="-1"/>
                    <c:layout>
                      <c:manualLayout>
                        <c:x val="-5.8945779167573348E-2"/>
                        <c:y val="-3.4550720344909941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08D4-4347-B48B-B503F0951A91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F-6DA4-4CF7-B76E-8A769C09AC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445312"/>
        <c:axId val="51645252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'курс 2022-2023 v1'!$A$17</c15:sqref>
                        </c15:formulaRef>
                      </c:ext>
                    </c:extLst>
                    <c:strCache>
                      <c:ptCount val="1"/>
                      <c:pt idx="0">
                        <c:v>Сценарий А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0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0-6DA4-4CF7-B76E-8A769C09AC5B}"/>
                      </c:ext>
                    </c:extLst>
                  </c:dLbl>
                  <c:dLbl>
                    <c:idx val="2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1-6DA4-4CF7-B76E-8A769C09AC5B}"/>
                      </c:ext>
                    </c:extLst>
                  </c:dLbl>
                  <c:dLbl>
                    <c:idx val="4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2-6DA4-4CF7-B76E-8A769C09AC5B}"/>
                      </c:ext>
                    </c:extLst>
                  </c:dLbl>
                  <c:dLbl>
                    <c:idx val="6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3-6DA4-4CF7-B76E-8A769C09AC5B}"/>
                      </c:ext>
                    </c:extLst>
                  </c:dLbl>
                  <c:dLbl>
                    <c:idx val="9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4-6DA4-4CF7-B76E-8A769C09AC5B}"/>
                      </c:ext>
                    </c:extLst>
                  </c:dLbl>
                  <c:spPr>
                    <a:solidFill>
                      <a:schemeClr val="bg1"/>
                    </a:solidFill>
                    <a:ln w="12700">
                      <a:solidFill>
                        <a:schemeClr val="accent5"/>
                      </a:solidFill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400" b="1" i="0" u="none" strike="noStrike" kern="1200" baseline="0">
                          <a:solidFill>
                            <a:schemeClr val="accent5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b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ullRef>
                          <c15:sqref>'курс 2022-2023 v1'!$B$2:$M$2</c15:sqref>
                        </c15:fullRef>
                        <c15:formulaRef>
                          <c15:sqref/>
                        </c15:formulaRef>
                      </c:ext>
                    </c:extLst>
                    <c:numCache>
                      <c:formatCode>General</c:formatCode>
                      <c:ptCount val="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'курс 2022-2023 v1'!$B$17:$Y$17</c15:sqref>
                        </c15:fullRef>
                        <c15:formulaRef>
                          <c15:sqref>'курс 2022-2023 v1'!$N$17:$Y$17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31.670651612903228</c:v>
                      </c:pt>
                      <c:pt idx="1">
                        <c:v>33.814839257659038</c:v>
                      </c:pt>
                      <c:pt idx="2">
                        <c:v>35.592481221533291</c:v>
                      </c:pt>
                      <c:pt idx="3">
                        <c:v>35.034623084122707</c:v>
                      </c:pt>
                      <c:pt idx="4">
                        <c:v>34.721486955697792</c:v>
                      </c:pt>
                      <c:pt idx="5">
                        <c:v>42.094034336378172</c:v>
                      </c:pt>
                      <c:pt idx="6">
                        <c:v>41.398876023621703</c:v>
                      </c:pt>
                      <c:pt idx="7">
                        <c:v>41.960648455266082</c:v>
                      </c:pt>
                      <c:pt idx="8">
                        <c:v>40.612612705530644</c:v>
                      </c:pt>
                      <c:pt idx="9">
                        <c:v>42.012463288794272</c:v>
                      </c:pt>
                      <c:pt idx="10">
                        <c:v>41.940629341988725</c:v>
                      </c:pt>
                      <c:pt idx="11">
                        <c:v>42.107214586597195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5-6DA4-4CF7-B76E-8A769C09AC5B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'курс 2022-2023 v1'!$A$9</c15:sqref>
                        </c15:formulaRef>
                      </c:ext>
                    </c:extLst>
                    <c:strCache>
                      <c:ptCount val="1"/>
                      <c:pt idx="0">
                        <c:v>Заливка верхний предел уверенности</c:v>
                      </c:pt>
                    </c:strCache>
                  </c:strRef>
                </c:tx>
                <c:spPr>
                  <a:ln w="2540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v1'!$B$10:$Y$10</c15:sqref>
                        </c15:fullRef>
                        <c15:formulaRef>
                          <c15:sqref>'курс 2022-2023 v1'!$N$10:$Y$10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-0.71266969139801972</c:v>
                      </c:pt>
                      <c:pt idx="1">
                        <c:v>-1.7495510839218156</c:v>
                      </c:pt>
                      <c:pt idx="2">
                        <c:v>-2.9628841488234627</c:v>
                      </c:pt>
                      <c:pt idx="3">
                        <c:v>-3.6710682421819172</c:v>
                      </c:pt>
                      <c:pt idx="4">
                        <c:v>-4.3968901416268267</c:v>
                      </c:pt>
                      <c:pt idx="5">
                        <c:v>-5.4217086373776553</c:v>
                      </c:pt>
                      <c:pt idx="6">
                        <c:v>-6.3751778005040194</c:v>
                      </c:pt>
                      <c:pt idx="7">
                        <c:v>-6.7254923706581025</c:v>
                      </c:pt>
                      <c:pt idx="8">
                        <c:v>-7.3005978693343536</c:v>
                      </c:pt>
                      <c:pt idx="9">
                        <c:v>-7.7177410663238106</c:v>
                      </c:pt>
                      <c:pt idx="10">
                        <c:v>-8.1648915981940178</c:v>
                      </c:pt>
                      <c:pt idx="11">
                        <c:v>-8.6833101644401367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DA4-4CF7-B76E-8A769C09AC5B}"/>
                  </c:ext>
                </c:extLst>
              </c15:ser>
            </c15:filteredLineSeries>
          </c:ext>
        </c:extLst>
      </c:lineChart>
      <c:catAx>
        <c:axId val="51643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endParaRPr lang="en-US"/>
          </a:p>
        </c:txPr>
        <c:crossAx val="516436128"/>
        <c:crosses val="autoZero"/>
        <c:auto val="1"/>
        <c:lblAlgn val="ctr"/>
        <c:lblOffset val="100"/>
        <c:noMultiLvlLbl val="0"/>
      </c:catAx>
      <c:valAx>
        <c:axId val="516436128"/>
        <c:scaling>
          <c:orientation val="minMax"/>
          <c:max val="5000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endParaRPr lang="en-US"/>
          </a:p>
        </c:txPr>
        <c:crossAx val="516438752"/>
        <c:crosses val="autoZero"/>
        <c:crossBetween val="between"/>
      </c:valAx>
      <c:valAx>
        <c:axId val="516452528"/>
        <c:scaling>
          <c:orientation val="minMax"/>
          <c:min val="15"/>
        </c:scaling>
        <c:delete val="0"/>
        <c:axPos val="r"/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accent1"/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endParaRPr lang="en-US"/>
          </a:p>
        </c:txPr>
        <c:crossAx val="516445312"/>
        <c:crosses val="max"/>
        <c:crossBetween val="between"/>
      </c:valAx>
      <c:catAx>
        <c:axId val="516445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6452528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t"/>
      <c:legendEntry>
        <c:idx val="2"/>
        <c:delete val="1"/>
      </c:legendEntry>
      <c:layout>
        <c:manualLayout>
          <c:xMode val="edge"/>
          <c:yMode val="edge"/>
          <c:x val="0"/>
          <c:y val="0.13272727272727275"/>
          <c:w val="0.99682857964146498"/>
          <c:h val="4.5332280173442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r>
              <a:rPr lang="ru-RU" sz="2400" b="1">
                <a:solidFill>
                  <a:schemeClr val="accent1"/>
                </a:solidFill>
                <a:latin typeface="Montserrat" panose="00000500000000000000" pitchFamily="2" charset="-52"/>
              </a:rPr>
              <a:t>К</a:t>
            </a:r>
            <a:r>
              <a:rPr lang="uk-UA" sz="2400" b="1">
                <a:solidFill>
                  <a:schemeClr val="accent1"/>
                </a:solidFill>
                <a:latin typeface="Montserrat" panose="00000500000000000000" pitchFamily="2" charset="-52"/>
              </a:rPr>
              <a:t>урсовой прогноз до</a:t>
            </a:r>
            <a:r>
              <a:rPr lang="uk-UA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 конца 202</a:t>
            </a:r>
            <a:r>
              <a:rPr lang="en-US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2</a:t>
            </a:r>
            <a:r>
              <a:rPr lang="uk-UA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 года</a:t>
            </a:r>
            <a:r>
              <a:rPr lang="uk-UA" sz="2400" b="1">
                <a:solidFill>
                  <a:schemeClr val="accent1"/>
                </a:solidFill>
                <a:latin typeface="Montserrat" panose="00000500000000000000" pitchFamily="2" charset="-52"/>
              </a:rPr>
              <a:t>, </a:t>
            </a:r>
            <a:r>
              <a:rPr lang="en-US" sz="2400" b="1">
                <a:solidFill>
                  <a:schemeClr val="accent1"/>
                </a:solidFill>
                <a:latin typeface="Montserrat" panose="00000500000000000000" pitchFamily="2" charset="-52"/>
              </a:rPr>
              <a:t>UAH/USD,</a:t>
            </a:r>
            <a:r>
              <a:rPr lang="en-US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 </a:t>
            </a:r>
            <a:r>
              <a:rPr lang="ru-RU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млн долл.</a:t>
            </a:r>
            <a:endParaRPr lang="uk-UA" sz="2400" b="1">
              <a:solidFill>
                <a:schemeClr val="accent1"/>
              </a:solidFill>
              <a:latin typeface="Montserrat" panose="00000500000000000000" pitchFamily="2" charset="-52"/>
            </a:endParaRPr>
          </a:p>
        </c:rich>
      </c:tx>
      <c:layout>
        <c:manualLayout>
          <c:xMode val="edge"/>
          <c:yMode val="edge"/>
          <c:x val="1.2754239906296256E-3"/>
          <c:y val="2.073737647997762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" panose="00000500000000000000" pitchFamily="2" charset="-52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36205159616047E-2"/>
          <c:y val="0.19752721348702881"/>
          <c:w val="0.87429501419078259"/>
          <c:h val="0.70584437917047205"/>
        </c:manualLayout>
      </c:layout>
      <c:areaChart>
        <c:grouping val="stacked"/>
        <c:varyColors val="0"/>
        <c:ser>
          <c:idx val="3"/>
          <c:order val="1"/>
          <c:tx>
            <c:strRef>
              <c:f>'курс 2022-2023 v1'!$A$8</c:f>
              <c:strCache>
                <c:ptCount val="1"/>
                <c:pt idx="0">
                  <c:v>заливка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v1'!$B$2:$Y$2</c15:sqref>
                  </c15:fullRef>
                </c:ext>
              </c:extLst>
              <c:f>'курс 2022-2023 v1'!$B$2:$M$2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v1'!$B$8:$Y$8</c15:sqref>
                  </c15:fullRef>
                </c:ext>
              </c:extLst>
              <c:f>'курс 2022-2023 v1'!$B$8:$M$8</c:f>
              <c:numCache>
                <c:formatCode>0.00</c:formatCode>
                <c:ptCount val="12"/>
                <c:pt idx="0">
                  <c:v>36.068600000000032</c:v>
                </c:pt>
                <c:pt idx="1">
                  <c:v>36.068600000000025</c:v>
                </c:pt>
                <c:pt idx="2">
                  <c:v>36.068600000000032</c:v>
                </c:pt>
                <c:pt idx="3">
                  <c:v>36.068600000000032</c:v>
                </c:pt>
                <c:pt idx="4">
                  <c:v>36.068600000000032</c:v>
                </c:pt>
                <c:pt idx="5">
                  <c:v>36.068600000000032</c:v>
                </c:pt>
                <c:pt idx="6">
                  <c:v>36.068600000000032</c:v>
                </c:pt>
                <c:pt idx="7">
                  <c:v>36.068600000000032</c:v>
                </c:pt>
                <c:pt idx="8">
                  <c:v>36.068600000000032</c:v>
                </c:pt>
                <c:pt idx="9">
                  <c:v>36.01895161290323</c:v>
                </c:pt>
                <c:pt idx="10">
                  <c:v>35.655420000000007</c:v>
                </c:pt>
                <c:pt idx="11">
                  <c:v>36.593925806451622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540-4CD9-8CBC-42055578AA5B}"/>
            </c:ext>
          </c:extLst>
        </c:ser>
        <c:ser>
          <c:idx val="4"/>
          <c:order val="2"/>
          <c:tx>
            <c:strRef>
              <c:f>'курс 2022-2023 v1'!$A$11</c:f>
              <c:strCache>
                <c:ptCount val="1"/>
                <c:pt idx="0">
                  <c:v>Заливка нижний предел уверенности</c:v>
                </c:pt>
              </c:strCache>
            </c:strRef>
          </c:tx>
          <c:spPr>
            <a:noFill/>
            <a:ln w="25400">
              <a:noFill/>
            </a:ln>
            <a:effectLst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v1'!$B$2:$Y$2</c15:sqref>
                  </c15:fullRef>
                </c:ext>
              </c:extLst>
              <c:f>'курс 2022-2023 v1'!$B$2:$M$2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v1'!$B$11:$Y$11</c15:sqref>
                  </c15:fullRef>
                </c:ext>
              </c:extLst>
              <c:f>'курс 2022-2023 v1'!$B$11:$M$11</c:f>
              <c:numCache>
                <c:formatCode>General</c:formatCode>
                <c:ptCount val="12"/>
                <c:pt idx="0">
                  <c:v>0.5</c:v>
                </c:pt>
                <c:pt idx="1">
                  <c:v>0.5</c:v>
                </c:pt>
                <c:pt idx="2">
                  <c:v>0.5</c:v>
                </c:pt>
                <c:pt idx="3">
                  <c:v>0.5</c:v>
                </c:pt>
                <c:pt idx="4">
                  <c:v>0.5</c:v>
                </c:pt>
                <c:pt idx="5">
                  <c:v>0.5</c:v>
                </c:pt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B540-4CD9-8CBC-42055578AA5B}"/>
            </c:ext>
          </c:extLst>
        </c:ser>
        <c:ser>
          <c:idx val="5"/>
          <c:order val="5"/>
          <c:tx>
            <c:strRef>
              <c:f>'курс 2022-2023 v1'!$A$10</c:f>
              <c:strCache>
                <c:ptCount val="1"/>
                <c:pt idx="0">
                  <c:v>Разбивка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v1'!$B$2:$Y$2</c15:sqref>
                  </c15:fullRef>
                </c:ext>
              </c:extLst>
              <c:f>'курс 2022-2023 v1'!$B$2:$M$2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v1'!$B$10:$Y$10</c15:sqref>
                  </c15:fullRef>
                </c:ext>
              </c:extLst>
              <c:f>'курс 2022-2023 v1'!$B$10:$M$10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B540-4CD9-8CBC-42055578A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445312"/>
        <c:axId val="516452528"/>
        <c:extLst>
          <c:ext xmlns:c15="http://schemas.microsoft.com/office/drawing/2012/chart" uri="{02D57815-91ED-43cb-92C2-25804820EDAC}">
            <c15:filteredArea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'курс 2022-2023 v1'!$A$9</c15:sqref>
                        </c15:formulaRef>
                      </c:ext>
                    </c:extLst>
                    <c:strCache>
                      <c:ptCount val="1"/>
                      <c:pt idx="0">
                        <c:v>Заливка верхний предел уверенности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ullRef>
                          <c15:sqref>'курс 2022-2023 v1'!$B$2:$Y$2</c15:sqref>
                        </c15:fullRef>
                        <c15:formulaRef>
                          <c15:sqref>'курс 2022-2023 v1'!$B$2:$M$2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'курс 2022-2023 v1'!$B$9:$Y$9</c15:sqref>
                        </c15:fullRef>
                        <c15:formulaRef>
                          <c15:sqref>'курс 2022-2023 v1'!$B$9:$M$9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0.5</c:v>
                      </c:pt>
                      <c:pt idx="1">
                        <c:v>0.5</c:v>
                      </c:pt>
                      <c:pt idx="2">
                        <c:v>0.5</c:v>
                      </c:pt>
                      <c:pt idx="3">
                        <c:v>0.5</c:v>
                      </c:pt>
                      <c:pt idx="4">
                        <c:v>0.5</c:v>
                      </c:pt>
                      <c:pt idx="5">
                        <c:v>0.5</c:v>
                      </c:pt>
                      <c:pt idx="6">
                        <c:v>0.5</c:v>
                      </c:pt>
                      <c:pt idx="7">
                        <c:v>0.5</c:v>
                      </c:pt>
                      <c:pt idx="8">
                        <c:v>0.5</c:v>
                      </c:pt>
                      <c:pt idx="9">
                        <c:v>0.5</c:v>
                      </c:pt>
                      <c:pt idx="10">
                        <c:v>0.5</c:v>
                      </c:pt>
                      <c:pt idx="11">
                        <c:v>0.5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B540-4CD9-8CBC-42055578AA5B}"/>
                  </c:ext>
                </c:extLst>
              </c15:ser>
            </c15:filteredAreaSeries>
          </c:ext>
        </c:extLst>
      </c:areaChart>
      <c:barChart>
        <c:barDir val="col"/>
        <c:grouping val="clustered"/>
        <c:varyColors val="0"/>
        <c:ser>
          <c:idx val="0"/>
          <c:order val="0"/>
          <c:tx>
            <c:strRef>
              <c:f>'курс 2022-2023 v1'!$A$3</c:f>
              <c:strCache>
                <c:ptCount val="1"/>
                <c:pt idx="0">
                  <c:v>Сводное сальдо платежного баланса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accent5"/>
                    </a:solidFill>
                    <a:latin typeface="Montserrat" panose="00000500000000000000" pitchFamily="2" charset="-52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'курс 2022-2023 v1'!$B$1:$Y$2</c15:sqref>
                  </c15:fullRef>
                </c:ext>
              </c:extLst>
              <c:f>'курс 2022-2023 v1'!$B$1:$Y$2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v1'!$B$3:$Y$3</c15:sqref>
                  </c15:fullRef>
                </c:ext>
              </c:extLst>
              <c:f>'курс 2022-2023 v1'!$B$3:$M$3</c:f>
              <c:numCache>
                <c:formatCode>0.0</c:formatCode>
                <c:ptCount val="12"/>
                <c:pt idx="0">
                  <c:v>1208</c:v>
                </c:pt>
                <c:pt idx="1">
                  <c:v>-856</c:v>
                </c:pt>
                <c:pt idx="2">
                  <c:v>2765</c:v>
                </c:pt>
                <c:pt idx="3">
                  <c:v>4021</c:v>
                </c:pt>
                <c:pt idx="4">
                  <c:v>1533</c:v>
                </c:pt>
                <c:pt idx="5">
                  <c:v>1688</c:v>
                </c:pt>
                <c:pt idx="6">
                  <c:v>2579</c:v>
                </c:pt>
                <c:pt idx="7">
                  <c:v>-1297</c:v>
                </c:pt>
                <c:pt idx="8">
                  <c:v>-609</c:v>
                </c:pt>
                <c:pt idx="9">
                  <c:v>-847</c:v>
                </c:pt>
                <c:pt idx="10">
                  <c:v>-355</c:v>
                </c:pt>
                <c:pt idx="11">
                  <c:v>1146.4890524503166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'курс 2022-2023 v1'!$R$3</c15:sqref>
                  <c15:dLbl>
                    <c:idx val="11"/>
                    <c:layout>
                      <c:manualLayout>
                        <c:x val="-4.0941658137154556E-3"/>
                        <c:y val="1.5325493456676104E-16"/>
                      </c:manualLayout>
                    </c:layout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93B7-496C-B7B6-E09741446E62}"/>
                      </c:ext>
                    </c:extLst>
                  </c15:dLbl>
                </c15:categoryFilterException>
                <c15:categoryFilterException>
                  <c15:sqref>'курс 2022-2023 v1'!$T$3</c15:sqref>
                  <c15:dLbl>
                    <c:idx val="11"/>
                    <c:layout>
                      <c:manualLayout>
                        <c:x val="-9.5530535653361622E-3"/>
                        <c:y val="0"/>
                      </c:manualLayout>
                    </c:layout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93B7-496C-B7B6-E09741446E62}"/>
                      </c:ext>
                    </c:extLst>
                  </c15:dLbl>
                </c15:categoryFilterException>
                <c15:categoryFilterException>
                  <c15:sqref>'курс 2022-2023 v1'!$U$3</c15:sqref>
                  <c15:dLbl>
                    <c:idx val="11"/>
                    <c:layout>
                      <c:manualLayout>
                        <c:x val="-4.0941658137154556E-3"/>
                        <c:y val="2.0898641588296763E-3"/>
                      </c:manualLayout>
                    </c:layout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93B7-496C-B7B6-E09741446E62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3-B540-4CD9-8CBC-42055578AA5B}"/>
            </c:ext>
          </c:extLst>
        </c:ser>
        <c:ser>
          <c:idx val="7"/>
          <c:order val="7"/>
          <c:tx>
            <c:strRef>
              <c:f>'курс 2022-2023 v1'!$A$4</c:f>
              <c:strCache>
                <c:ptCount val="1"/>
                <c:pt idx="0">
                  <c:v>Интервенции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accent4"/>
                    </a:solidFill>
                    <a:latin typeface="Montserrat" panose="00000500000000000000" pitchFamily="2" charset="-52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'курс 2022-2023 v1'!$B$1:$Y$2</c15:sqref>
                  </c15:fullRef>
                </c:ext>
              </c:extLst>
              <c:f>'курс 2022-2023 v1'!$B$1:$Y$2</c:f>
              <c:multiLvlStrCache>
                <c:ptCount val="12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</c:lvl>
                <c:lvl>
                  <c:pt idx="0">
                    <c:v>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v1'!$B$4:$Y$4</c15:sqref>
                  </c15:fullRef>
                </c:ext>
              </c:extLst>
              <c:f>'курс 2022-2023 v1'!$B$4:$M$4</c:f>
              <c:numCache>
                <c:formatCode>0.0</c:formatCode>
                <c:ptCount val="12"/>
                <c:pt idx="0">
                  <c:v>-3082.1299999999997</c:v>
                </c:pt>
                <c:pt idx="1">
                  <c:v>-2431</c:v>
                </c:pt>
                <c:pt idx="2">
                  <c:v>-1668.97</c:v>
                </c:pt>
                <c:pt idx="3">
                  <c:v>-1370.3799999999999</c:v>
                </c:pt>
                <c:pt idx="4">
                  <c:v>-1927.6100000000001</c:v>
                </c:pt>
                <c:pt idx="5">
                  <c:v>-1797.8799999999999</c:v>
                </c:pt>
                <c:pt idx="6">
                  <c:v>-1932.92</c:v>
                </c:pt>
                <c:pt idx="7">
                  <c:v>-2364.23</c:v>
                </c:pt>
                <c:pt idx="8">
                  <c:v>-2691.4</c:v>
                </c:pt>
                <c:pt idx="9">
                  <c:v>-3337.4700000000003</c:v>
                </c:pt>
                <c:pt idx="10">
                  <c:v>-2452.8599999999997</c:v>
                </c:pt>
                <c:pt idx="11">
                  <c:v>-3553.0400000000004</c:v>
                </c:pt>
              </c:numCache>
            </c:numRef>
          </c:val>
          <c:extLst>
            <c:ext xmlns:c15="http://schemas.microsoft.com/office/drawing/2012/chart" uri="{02D57815-91ED-43cb-92C2-25804820EDAC}">
              <c15:categoryFilterExceptions>
                <c15:categoryFilterException>
                  <c15:sqref>'курс 2022-2023 v1'!$T$4</c15:sqref>
                  <c15:dLbl>
                    <c:idx val="11"/>
                    <c:layout>
                      <c:manualLayout>
                        <c:x val="2.7294438758102037E-3"/>
                        <c:y val="-7.6627467283380521E-17"/>
                      </c:manualLayout>
                    </c:layout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C-93B7-496C-B7B6-E09741446E62}"/>
                      </c:ext>
                    </c:extLst>
                  </c15:dLbl>
                </c15:categoryFilterException>
                <c15:categoryFilterException>
                  <c15:sqref>'курс 2022-2023 v1'!$U$4</c15:sqref>
                  <c15:dLbl>
                    <c:idx val="11"/>
                    <c:layout>
                      <c:manualLayout>
                        <c:x val="5.4588877516205071E-3"/>
                        <c:y val="0"/>
                      </c:manualLayout>
                    </c:layout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D-93B7-496C-B7B6-E09741446E62}"/>
                      </c:ext>
                    </c:extLst>
                  </c15:dLbl>
                </c15:categoryFilterException>
                <c15:categoryFilterException>
                  <c15:sqref>'курс 2022-2023 v1'!$V$4</c15:sqref>
                  <c15:dLbl>
                    <c:idx val="11"/>
                    <c:layout>
                      <c:manualLayout>
                        <c:x val="5.4588877516206077E-3"/>
                        <c:y val="8.3594566353186271E-3"/>
                      </c:manualLayout>
                    </c:layout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E-93B7-496C-B7B6-E09741446E62}"/>
                      </c:ext>
                    </c:extLst>
                  </c15:dLbl>
                </c15:categoryFilterException>
                <c15:categoryFilterException>
                  <c15:sqref>'курс 2022-2023 v1'!$W$4</c15:sqref>
                  <c15:dLbl>
                    <c:idx val="11"/>
                    <c:layout>
                      <c:manualLayout>
                        <c:x val="8.1883316274309111E-3"/>
                        <c:y val="2.0898641588296763E-3"/>
                      </c:manualLayout>
                    </c:layout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F-93B7-496C-B7B6-E09741446E62}"/>
                      </c:ext>
                    </c:extLst>
                  </c15:dLbl>
                </c15:categoryFilterException>
                <c15:categoryFilterException>
                  <c15:sqref>'курс 2022-2023 v1'!$X$4</c15:sqref>
                  <c15:dLbl>
                    <c:idx val="11"/>
                    <c:layout>
                      <c:manualLayout>
                        <c:x val="6.8236096895256592E-3"/>
                        <c:y val="8.3594566353186271E-3"/>
                      </c:manualLayout>
                    </c:layout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0-93B7-496C-B7B6-E09741446E62}"/>
                      </c:ext>
                    </c:extLst>
                  </c15:dLbl>
                </c15:categoryFilterException>
                <c15:categoryFilterException>
                  <c15:sqref>'курс 2022-2023 v1'!$Y$4</c15:sqref>
                  <c15:dLbl>
                    <c:idx val="11"/>
                    <c:layout>
                      <c:manualLayout>
                        <c:x val="5.4588877516206077E-3"/>
                        <c:y val="4.1797283176592754E-3"/>
                      </c:manualLayout>
                    </c:layout>
                    <c:dLblPos val="outEnd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1-93B7-496C-B7B6-E09741446E62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4-B540-4CD9-8CBC-42055578A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516438752"/>
        <c:axId val="516436128"/>
      </c:barChart>
      <c:lineChart>
        <c:grouping val="standard"/>
        <c:varyColors val="0"/>
        <c:ser>
          <c:idx val="2"/>
          <c:order val="3"/>
          <c:tx>
            <c:strRef>
              <c:f>'курс 2022-2023 v1'!$A$7</c:f>
              <c:strCache>
                <c:ptCount val="1"/>
                <c:pt idx="0">
                  <c:v>Обменный курс (борьба с инфляцией)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v1'!$B$2:$Y$2</c15:sqref>
                  </c15:fullRef>
                </c:ext>
              </c:extLst>
              <c:f>'курс 2022-2023 v1'!$B$2:$M$2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v1'!$B$7:$Y$7</c15:sqref>
                  </c15:fullRef>
                </c:ext>
              </c:extLst>
              <c:f>'курс 2022-2023 v1'!$B$7:$M$7</c:f>
              <c:numCache>
                <c:formatCode>0.00</c:formatCode>
                <c:ptCount val="12"/>
                <c:pt idx="0">
                  <c:v>36.568600000000032</c:v>
                </c:pt>
                <c:pt idx="1">
                  <c:v>36.568600000000025</c:v>
                </c:pt>
                <c:pt idx="2">
                  <c:v>36.568600000000032</c:v>
                </c:pt>
                <c:pt idx="3">
                  <c:v>36.568600000000032</c:v>
                </c:pt>
                <c:pt idx="4">
                  <c:v>36.568600000000032</c:v>
                </c:pt>
                <c:pt idx="5">
                  <c:v>36.568600000000032</c:v>
                </c:pt>
                <c:pt idx="6">
                  <c:v>36.568600000000032</c:v>
                </c:pt>
                <c:pt idx="7">
                  <c:v>36.568600000000032</c:v>
                </c:pt>
                <c:pt idx="8">
                  <c:v>36.568600000000032</c:v>
                </c:pt>
                <c:pt idx="9">
                  <c:v>36.51895161290323</c:v>
                </c:pt>
                <c:pt idx="10">
                  <c:v>36.155420000000007</c:v>
                </c:pt>
                <c:pt idx="11">
                  <c:v>37.093925806451622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540-4CD9-8CBC-42055578AA5B}"/>
            </c:ext>
          </c:extLst>
        </c:ser>
        <c:ser>
          <c:idx val="1"/>
          <c:order val="4"/>
          <c:tx>
            <c:strRef>
              <c:f>'курс 2022-2023 v1'!$A$6</c:f>
              <c:strCache>
                <c:ptCount val="1"/>
                <c:pt idx="0">
                  <c:v>Обменный курс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540-4CD9-8CBC-42055578AA5B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540-4CD9-8CBC-42055578AA5B}"/>
                </c:ext>
              </c:extLst>
            </c:dLbl>
            <c:dLbl>
              <c:idx val="7"/>
              <c:layout>
                <c:manualLayout>
                  <c:x val="-3.3360681501301587E-2"/>
                  <c:y val="-3.03709920272505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B540-4CD9-8CBC-42055578AA5B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540-4CD9-8CBC-42055578AA5B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B540-4CD9-8CBC-42055578AA5B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540-4CD9-8CBC-42055578AA5B}"/>
                </c:ext>
              </c:extLst>
            </c:dLbl>
            <c:dLbl>
              <c:idx val="11"/>
              <c:layout>
                <c:manualLayout>
                  <c:x val="-4.230638007505981E-2"/>
                  <c:y val="-2.716823406478578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B540-4CD9-8CBC-42055578AA5B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accent5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v1'!$B$2:$Y$2</c15:sqref>
                  </c15:fullRef>
                </c:ext>
              </c:extLst>
              <c:f>'курс 2022-2023 v1'!$B$2:$M$2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v1'!$B$6:$Y$6</c15:sqref>
                  </c15:fullRef>
                </c:ext>
              </c:extLst>
              <c:f>'курс 2022-2023 v1'!$B$6:$M$6</c:f>
              <c:numCache>
                <c:formatCode>0.00</c:formatCode>
                <c:ptCount val="12"/>
                <c:pt idx="0">
                  <c:v>36.568600000000032</c:v>
                </c:pt>
                <c:pt idx="1">
                  <c:v>36.568600000000025</c:v>
                </c:pt>
                <c:pt idx="2">
                  <c:v>36.568600000000032</c:v>
                </c:pt>
                <c:pt idx="3">
                  <c:v>36.568600000000032</c:v>
                </c:pt>
                <c:pt idx="4">
                  <c:v>36.568600000000032</c:v>
                </c:pt>
                <c:pt idx="5">
                  <c:v>36.568600000000032</c:v>
                </c:pt>
                <c:pt idx="6">
                  <c:v>36.568600000000032</c:v>
                </c:pt>
                <c:pt idx="7">
                  <c:v>36.568600000000032</c:v>
                </c:pt>
                <c:pt idx="8">
                  <c:v>36.568600000000032</c:v>
                </c:pt>
                <c:pt idx="9">
                  <c:v>36.51895161290323</c:v>
                </c:pt>
                <c:pt idx="10">
                  <c:v>36.155420000000007</c:v>
                </c:pt>
                <c:pt idx="11">
                  <c:v>37.093925806451622</c:v>
                </c:pt>
              </c:numCache>
            </c:numRef>
          </c:val>
          <c:smooth val="0"/>
          <c:extLst xmlns:c15="http://schemas.microsoft.com/office/drawing/2012/chart">
            <c:ext xmlns:c15="http://schemas.microsoft.com/office/drawing/2012/chart" uri="{02D57815-91ED-43cb-92C2-25804820EDAC}">
              <c15:categoryFilterExceptions>
                <c15:categoryFilterException>
                  <c15:sqref>'курс 2022-2023 v1'!$N$6</c15:sqref>
                  <c15:dLbl>
                    <c:idx val="1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3-93B7-496C-B7B6-E09741446E62}"/>
                      </c:ext>
                    </c:extLst>
                  </c15:dLbl>
                </c15:categoryFilterException>
                <c15:categoryFilterException>
                  <c15:sqref>'курс 2022-2023 v1'!$O$6</c15:sqref>
                  <c15:dLbl>
                    <c:idx val="11"/>
                    <c:layout>
                      <c:manualLayout>
                        <c:x val="-2.8222449675878541E-2"/>
                        <c:y val="1.9885139749380856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4-93B7-496C-B7B6-E09741446E62}"/>
                      </c:ext>
                    </c:extLst>
                  </c15:dLbl>
                </c15:categoryFilterException>
                <c15:categoryFilterException>
                  <c15:sqref>'курс 2022-2023 v1'!$R$6</c15:sqref>
                  <c15:dLbl>
                    <c:idx val="1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5-93B7-496C-B7B6-E09741446E62}"/>
                      </c:ext>
                    </c:extLst>
                  </c15:dLbl>
                </c15:categoryFilterException>
                <c15:categoryFilterException>
                  <c15:sqref>'курс 2022-2023 v1'!$S$6</c15:sqref>
                  <c15:dLbl>
                    <c:idx val="1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6-93B7-496C-B7B6-E09741446E62}"/>
                      </c:ext>
                    </c:extLst>
                  </c15:dLbl>
                </c15:categoryFilterException>
                <c15:categoryFilterException>
                  <c15:sqref>'курс 2022-2023 v1'!$T$6</c15:sqref>
                  <c15:dLbl>
                    <c:idx val="1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7-93B7-496C-B7B6-E09741446E62}"/>
                      </c:ext>
                    </c:extLst>
                  </c15:dLbl>
                </c15:categoryFilterException>
                <c15:categoryFilterException>
                  <c15:sqref>'курс 2022-2023 v1'!$U$6</c15:sqref>
                  <c15:dLbl>
                    <c:idx val="1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8-93B7-496C-B7B6-E09741446E62}"/>
                      </c:ext>
                    </c:extLst>
                  </c15:dLbl>
                </c15:categoryFilterException>
                <c15:categoryFilterException>
                  <c15:sqref>'курс 2022-2023 v1'!$V$6</c15:sqref>
                  <c15:dLbl>
                    <c:idx val="1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9-93B7-496C-B7B6-E09741446E62}"/>
                      </c:ext>
                    </c:extLst>
                  </c15:dLbl>
                </c15:categoryFilterException>
                <c15:categoryFilterException>
                  <c15:sqref>'курс 2022-2023 v1'!$W$6</c15:sqref>
                  <c15:dLbl>
                    <c:idx val="1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A-93B7-496C-B7B6-E09741446E62}"/>
                      </c:ext>
                    </c:extLst>
                  </c15:dLbl>
                </c15:categoryFilterException>
                <c15:categoryFilterException>
                  <c15:sqref>'курс 2022-2023 v1'!$X$6</c15:sqref>
                  <c15:dLbl>
                    <c:idx val="11"/>
                    <c:layout>
                      <c:manualLayout>
                        <c:x val="-5.6233421180591936E-2"/>
                        <c:y val="-3.6640584503739582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B-93B7-496C-B7B6-E09741446E62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D-B540-4CD9-8CBC-42055578A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445312"/>
        <c:axId val="516452528"/>
        <c:extLst>
          <c:ext xmlns:c15="http://schemas.microsoft.com/office/drawing/2012/chart" uri="{02D57815-91ED-43cb-92C2-25804820EDAC}">
            <c15:filteredLine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'курс 2022-2023 v1'!$A$9</c15:sqref>
                        </c15:formulaRef>
                      </c:ext>
                    </c:extLst>
                    <c:strCache>
                      <c:ptCount val="1"/>
                      <c:pt idx="0">
                        <c:v>Заливка верхний предел уверенности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ullRef>
                          <c15:sqref>'курс 2022-2023 v1'!$B$2:$Y$2</c15:sqref>
                        </c15:fullRef>
                        <c15:formulaRef>
                          <c15:sqref>'курс 2022-2023 v1'!$B$2:$M$2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'курс 2022-2023 v1'!$B$10:$Y$10</c15:sqref>
                        </c15:fullRef>
                        <c15:formulaRef>
                          <c15:sqref>'курс 2022-2023 v1'!$B$10:$M$10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F-B540-4CD9-8CBC-42055578AA5B}"/>
                  </c:ext>
                </c:extLst>
              </c15:ser>
            </c15:filteredLineSeries>
          </c:ext>
        </c:extLst>
      </c:lineChart>
      <c:catAx>
        <c:axId val="51643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endParaRPr lang="en-US"/>
          </a:p>
        </c:txPr>
        <c:crossAx val="516436128"/>
        <c:crosses val="autoZero"/>
        <c:auto val="1"/>
        <c:lblAlgn val="ctr"/>
        <c:lblOffset val="100"/>
        <c:noMultiLvlLbl val="0"/>
      </c:catAx>
      <c:valAx>
        <c:axId val="516436128"/>
        <c:scaling>
          <c:orientation val="minMax"/>
          <c:max val="10000"/>
          <c:min val="-6000"/>
        </c:scaling>
        <c:delete val="0"/>
        <c:axPos val="l"/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endParaRPr lang="en-US"/>
          </a:p>
        </c:txPr>
        <c:crossAx val="516438752"/>
        <c:crosses val="autoZero"/>
        <c:crossBetween val="between"/>
      </c:valAx>
      <c:valAx>
        <c:axId val="516452528"/>
        <c:scaling>
          <c:orientation val="minMax"/>
          <c:min val="15"/>
        </c:scaling>
        <c:delete val="0"/>
        <c:axPos val="r"/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accent1"/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endParaRPr lang="en-US"/>
          </a:p>
        </c:txPr>
        <c:crossAx val="516445312"/>
        <c:crosses val="max"/>
        <c:crossBetween val="between"/>
      </c:valAx>
      <c:catAx>
        <c:axId val="516445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6452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2.7294438758103039E-3"/>
          <c:y val="0.13272727272727275"/>
          <c:w val="0.99684749232343928"/>
          <c:h val="5.61818017261948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r>
              <a:rPr lang="ru-RU" sz="2400" b="1">
                <a:solidFill>
                  <a:schemeClr val="accent1"/>
                </a:solidFill>
                <a:latin typeface="Montserrat" panose="00000500000000000000" pitchFamily="2" charset="-52"/>
              </a:rPr>
              <a:t>К</a:t>
            </a:r>
            <a:r>
              <a:rPr lang="uk-UA" sz="2400" b="1">
                <a:solidFill>
                  <a:schemeClr val="accent1"/>
                </a:solidFill>
                <a:latin typeface="Montserrat" panose="00000500000000000000" pitchFamily="2" charset="-52"/>
              </a:rPr>
              <a:t>урсовой прогноз до</a:t>
            </a:r>
            <a:r>
              <a:rPr lang="uk-UA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 конца 202</a:t>
            </a:r>
            <a:r>
              <a:rPr lang="en-US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3</a:t>
            </a:r>
            <a:r>
              <a:rPr lang="uk-UA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 года</a:t>
            </a:r>
            <a:r>
              <a:rPr lang="uk-UA" sz="2400" b="1">
                <a:solidFill>
                  <a:schemeClr val="accent1"/>
                </a:solidFill>
                <a:latin typeface="Montserrat" panose="00000500000000000000" pitchFamily="2" charset="-52"/>
              </a:rPr>
              <a:t>, </a:t>
            </a:r>
            <a:r>
              <a:rPr lang="en-US" sz="2400" b="1">
                <a:solidFill>
                  <a:schemeClr val="accent1"/>
                </a:solidFill>
                <a:latin typeface="Montserrat" panose="00000500000000000000" pitchFamily="2" charset="-52"/>
              </a:rPr>
              <a:t>UAH/USD,</a:t>
            </a:r>
            <a:r>
              <a:rPr lang="en-US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 </a:t>
            </a:r>
            <a:r>
              <a:rPr lang="ru-RU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млн долл.</a:t>
            </a:r>
            <a:endParaRPr lang="uk-UA" sz="2400" b="1">
              <a:solidFill>
                <a:schemeClr val="accent1"/>
              </a:solidFill>
              <a:latin typeface="Montserrat" panose="00000500000000000000" pitchFamily="2" charset="-52"/>
            </a:endParaRPr>
          </a:p>
        </c:rich>
      </c:tx>
      <c:layout>
        <c:manualLayout>
          <c:xMode val="edge"/>
          <c:yMode val="edge"/>
          <c:x val="1.2754239906296256E-3"/>
          <c:y val="2.073737647997762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" panose="00000500000000000000" pitchFamily="2" charset="-52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36205159616047E-2"/>
          <c:y val="0.22678531171064428"/>
          <c:w val="0.87429501419078259"/>
          <c:h val="0.67658628094685647"/>
        </c:manualLayout>
      </c:layout>
      <c:areaChart>
        <c:grouping val="stacked"/>
        <c:varyColors val="0"/>
        <c:ser>
          <c:idx val="3"/>
          <c:order val="1"/>
          <c:tx>
            <c:strRef>
              <c:f>'курс 2022-2023 v2'!$A$7</c:f>
              <c:strCache>
                <c:ptCount val="1"/>
                <c:pt idx="0">
                  <c:v>заливка</c:v>
                </c:pt>
              </c:strCache>
            </c:strRef>
          </c:tx>
          <c:spPr>
            <a:noFill/>
            <a:ln>
              <a:noFill/>
            </a:ln>
            <a:effectLst/>
          </c:spPr>
          <c:cat>
            <c:multiLvlStrRef>
              <c:extLst>
                <c:ext xmlns:c15="http://schemas.microsoft.com/office/drawing/2012/chart" uri="{02D57815-91ED-43cb-92C2-25804820EDAC}">
                  <c15:fullRef>
                    <c15:sqref>'курс 2022-2023 v2'!$B$1:$Y$2</c15:sqref>
                  </c15:fullRef>
                </c:ext>
              </c:extLst>
              <c:f>'курс 2022-2023 v2'!$H$1:$Y$2</c:f>
              <c:multiLvlStrCache>
                <c:ptCount val="18"/>
                <c:lvl>
                  <c:pt idx="0">
                    <c:v>7</c:v>
                  </c:pt>
                  <c:pt idx="1">
                    <c:v>8</c:v>
                  </c:pt>
                  <c:pt idx="2">
                    <c:v>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9</c:v>
                  </c:pt>
                  <c:pt idx="15">
                    <c:v>10</c:v>
                  </c:pt>
                  <c:pt idx="16">
                    <c:v>11</c:v>
                  </c:pt>
                  <c:pt idx="17">
                    <c:v>12</c:v>
                  </c:pt>
                </c:lvl>
                <c:lvl>
                  <c:pt idx="6">
                    <c:v>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v2'!$B$7:$Y$7</c15:sqref>
                  </c15:fullRef>
                </c:ext>
              </c:extLst>
              <c:f>'курс 2022-2023 v2'!$H$7:$Y$7</c:f>
              <c:numCache>
                <c:formatCode>0.00</c:formatCode>
                <c:ptCount val="18"/>
                <c:pt idx="0">
                  <c:v>31.850083870967769</c:v>
                </c:pt>
                <c:pt idx="1">
                  <c:v>36.568600000000032</c:v>
                </c:pt>
                <c:pt idx="2">
                  <c:v>36.568600000000032</c:v>
                </c:pt>
                <c:pt idx="3">
                  <c:v>36.568600000000032</c:v>
                </c:pt>
                <c:pt idx="4">
                  <c:v>36.568600000000032</c:v>
                </c:pt>
                <c:pt idx="5">
                  <c:v>36.568600000000032</c:v>
                </c:pt>
                <c:pt idx="6">
                  <c:v>36.07</c:v>
                </c:pt>
                <c:pt idx="7">
                  <c:v>36.07</c:v>
                </c:pt>
                <c:pt idx="8">
                  <c:v>36.07</c:v>
                </c:pt>
                <c:pt idx="9">
                  <c:v>36.07</c:v>
                </c:pt>
                <c:pt idx="10">
                  <c:v>36.07</c:v>
                </c:pt>
                <c:pt idx="11">
                  <c:v>36.07</c:v>
                </c:pt>
                <c:pt idx="12">
                  <c:v>36.07</c:v>
                </c:pt>
                <c:pt idx="13">
                  <c:v>39.5</c:v>
                </c:pt>
                <c:pt idx="14">
                  <c:v>39.5</c:v>
                </c:pt>
                <c:pt idx="15">
                  <c:v>39.5</c:v>
                </c:pt>
                <c:pt idx="16">
                  <c:v>39.5</c:v>
                </c:pt>
                <c:pt idx="17">
                  <c:v>39.5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E3FB-4B86-A83B-69BE0D6DB7DE}"/>
            </c:ext>
          </c:extLst>
        </c:ser>
        <c:ser>
          <c:idx val="4"/>
          <c:order val="2"/>
          <c:tx>
            <c:strRef>
              <c:f>'курс 2022-2023 v2'!$A$10</c:f>
              <c:strCache>
                <c:ptCount val="1"/>
                <c:pt idx="0">
                  <c:v>Заливка нижний предел уверенности</c:v>
                </c:pt>
              </c:strCache>
            </c:strRef>
          </c:tx>
          <c:spPr>
            <a:noFill/>
            <a:ln w="25400">
              <a:noFill/>
            </a:ln>
            <a:effectLst/>
          </c:spPr>
          <c:cat>
            <c:multiLvlStrRef>
              <c:extLst>
                <c:ext xmlns:c15="http://schemas.microsoft.com/office/drawing/2012/chart" uri="{02D57815-91ED-43cb-92C2-25804820EDAC}">
                  <c15:fullRef>
                    <c15:sqref>'курс 2022-2023 v2'!$B$1:$Y$2</c15:sqref>
                  </c15:fullRef>
                </c:ext>
              </c:extLst>
              <c:f>'курс 2022-2023 v2'!$H$1:$Y$2</c:f>
              <c:multiLvlStrCache>
                <c:ptCount val="18"/>
                <c:lvl>
                  <c:pt idx="0">
                    <c:v>7</c:v>
                  </c:pt>
                  <c:pt idx="1">
                    <c:v>8</c:v>
                  </c:pt>
                  <c:pt idx="2">
                    <c:v>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9</c:v>
                  </c:pt>
                  <c:pt idx="15">
                    <c:v>10</c:v>
                  </c:pt>
                  <c:pt idx="16">
                    <c:v>11</c:v>
                  </c:pt>
                  <c:pt idx="17">
                    <c:v>12</c:v>
                  </c:pt>
                </c:lvl>
                <c:lvl>
                  <c:pt idx="6">
                    <c:v>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v2'!$B$10:$Y$10</c15:sqref>
                  </c15:fullRef>
                </c:ext>
              </c:extLst>
              <c:f>'курс 2022-2023 v2'!$H$10:$Y$10</c:f>
              <c:numCache>
                <c:formatCode>General</c:formatCode>
                <c:ptCount val="18"/>
                <c:pt idx="6">
                  <c:v>0.5</c:v>
                </c:pt>
                <c:pt idx="7">
                  <c:v>0.5</c:v>
                </c:pt>
                <c:pt idx="8">
                  <c:v>0.5</c:v>
                </c:pt>
                <c:pt idx="9">
                  <c:v>0.5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0.5</c:v>
                </c:pt>
                <c:pt idx="14">
                  <c:v>0.5</c:v>
                </c:pt>
                <c:pt idx="15">
                  <c:v>0.5</c:v>
                </c:pt>
                <c:pt idx="16">
                  <c:v>0.5</c:v>
                </c:pt>
                <c:pt idx="17">
                  <c:v>0.5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3FB-4B86-A83B-69BE0D6DB7DE}"/>
            </c:ext>
          </c:extLst>
        </c:ser>
        <c:ser>
          <c:idx val="5"/>
          <c:order val="5"/>
          <c:tx>
            <c:strRef>
              <c:f>'курс 2022-2023 v2'!$A$9</c:f>
              <c:strCache>
                <c:ptCount val="1"/>
                <c:pt idx="0">
                  <c:v>Разбивка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 w="25400">
              <a:noFill/>
            </a:ln>
            <a:effectLst/>
          </c:spPr>
          <c:cat>
            <c:multiLvlStrRef>
              <c:extLst>
                <c:ext xmlns:c15="http://schemas.microsoft.com/office/drawing/2012/chart" uri="{02D57815-91ED-43cb-92C2-25804820EDAC}">
                  <c15:fullRef>
                    <c15:sqref>'курс 2022-2023 v2'!$B$1:$Y$2</c15:sqref>
                  </c15:fullRef>
                </c:ext>
              </c:extLst>
              <c:f>'курс 2022-2023 v2'!$H$1:$Y$2</c:f>
              <c:multiLvlStrCache>
                <c:ptCount val="18"/>
                <c:lvl>
                  <c:pt idx="0">
                    <c:v>7</c:v>
                  </c:pt>
                  <c:pt idx="1">
                    <c:v>8</c:v>
                  </c:pt>
                  <c:pt idx="2">
                    <c:v>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9</c:v>
                  </c:pt>
                  <c:pt idx="15">
                    <c:v>10</c:v>
                  </c:pt>
                  <c:pt idx="16">
                    <c:v>11</c:v>
                  </c:pt>
                  <c:pt idx="17">
                    <c:v>12</c:v>
                  </c:pt>
                </c:lvl>
                <c:lvl>
                  <c:pt idx="6">
                    <c:v>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v2'!$B$9:$Y$9</c15:sqref>
                  </c15:fullRef>
                </c:ext>
              </c:extLst>
              <c:f>'курс 2022-2023 v2'!$H$9:$Y$9</c:f>
              <c:numCache>
                <c:formatCode>General</c:formatCode>
                <c:ptCount val="18"/>
                <c:pt idx="6" formatCode="0.0">
                  <c:v>0</c:v>
                </c:pt>
                <c:pt idx="7" formatCode="0.0">
                  <c:v>0</c:v>
                </c:pt>
                <c:pt idx="8" formatCode="0.0">
                  <c:v>0</c:v>
                </c:pt>
                <c:pt idx="9" formatCode="0.0">
                  <c:v>0</c:v>
                </c:pt>
                <c:pt idx="10" formatCode="0.0">
                  <c:v>0</c:v>
                </c:pt>
                <c:pt idx="11" formatCode="0.0">
                  <c:v>0</c:v>
                </c:pt>
                <c:pt idx="12" formatCode="0.0">
                  <c:v>0.25766930250689057</c:v>
                </c:pt>
                <c:pt idx="13" formatCode="0.0">
                  <c:v>-3.2075315883181403</c:v>
                </c:pt>
                <c:pt idx="14" formatCode="0.0">
                  <c:v>-3.0143088564366494</c:v>
                </c:pt>
                <c:pt idx="15" formatCode="0.0">
                  <c:v>-2.9007627500808155</c:v>
                </c:pt>
                <c:pt idx="16" formatCode="0.0">
                  <c:v>-2.3671079961871015</c:v>
                </c:pt>
                <c:pt idx="17" formatCode="0.0">
                  <c:v>-1.4248040113882254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E3FB-4B86-A83B-69BE0D6DB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445312"/>
        <c:axId val="516452528"/>
        <c:extLst>
          <c:ext xmlns:c15="http://schemas.microsoft.com/office/drawing/2012/chart" uri="{02D57815-91ED-43cb-92C2-25804820EDAC}">
            <c15:filteredArea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'курс 2022-2023 v2'!$A$8</c15:sqref>
                        </c15:formulaRef>
                      </c:ext>
                    </c:extLst>
                    <c:strCache>
                      <c:ptCount val="1"/>
                      <c:pt idx="0">
                        <c:v>Заливка верхний предел уверенности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cat>
                  <c:multiLvlStrRef>
                    <c:extLst>
                      <c:ext uri="{02D57815-91ED-43cb-92C2-25804820EDAC}">
                        <c15:fullRef>
                          <c15:sqref>'курс 2022-2023 v2'!$B$1:$Y$2</c15:sqref>
                        </c15:fullRef>
                        <c15:formulaRef>
                          <c15:sqref>'курс 2022-2023 v2'!$H$1:$Y$2</c15:sqref>
                        </c15:formulaRef>
                      </c:ext>
                    </c:extLst>
                    <c:multiLvlStrCache>
                      <c:ptCount val="18"/>
                      <c:lvl>
                        <c:pt idx="0">
                          <c:v>7</c:v>
                        </c:pt>
                        <c:pt idx="1">
                          <c:v>8</c:v>
                        </c:pt>
                        <c:pt idx="2">
                          <c:v>9</c:v>
                        </c:pt>
                        <c:pt idx="3">
                          <c:v>10</c:v>
                        </c:pt>
                        <c:pt idx="4">
                          <c:v>11</c:v>
                        </c:pt>
                        <c:pt idx="5">
                          <c:v>12</c:v>
                        </c:pt>
                        <c:pt idx="6">
                          <c:v>1</c:v>
                        </c:pt>
                        <c:pt idx="7">
                          <c:v>2</c:v>
                        </c:pt>
                        <c:pt idx="8">
                          <c:v>3</c:v>
                        </c:pt>
                        <c:pt idx="9">
                          <c:v>4</c:v>
                        </c:pt>
                        <c:pt idx="10">
                          <c:v>5</c:v>
                        </c:pt>
                        <c:pt idx="11">
                          <c:v>6</c:v>
                        </c:pt>
                        <c:pt idx="12">
                          <c:v>7</c:v>
                        </c:pt>
                        <c:pt idx="13">
                          <c:v>8</c:v>
                        </c:pt>
                        <c:pt idx="14">
                          <c:v>9</c:v>
                        </c:pt>
                        <c:pt idx="15">
                          <c:v>10</c:v>
                        </c:pt>
                        <c:pt idx="16">
                          <c:v>11</c:v>
                        </c:pt>
                        <c:pt idx="17">
                          <c:v>12</c:v>
                        </c:pt>
                      </c:lvl>
                      <c:lvl>
                        <c:pt idx="6">
                          <c:v>2023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ullRef>
                          <c15:sqref>'курс 2022-2023 v2'!$B$8:$Y$8</c15:sqref>
                        </c15:fullRef>
                        <c15:formulaRef>
                          <c15:sqref>'курс 2022-2023 v2'!$H$8:$Y$8</c15:sqref>
                        </c15:formulaRef>
                      </c:ext>
                    </c:extLst>
                    <c:numCache>
                      <c:formatCode>0.0</c:formatCode>
                      <c:ptCount val="18"/>
                      <c:pt idx="6">
                        <c:v>0.5</c:v>
                      </c:pt>
                      <c:pt idx="7">
                        <c:v>0.5</c:v>
                      </c:pt>
                      <c:pt idx="8">
                        <c:v>0.5</c:v>
                      </c:pt>
                      <c:pt idx="9">
                        <c:v>0.5</c:v>
                      </c:pt>
                      <c:pt idx="10">
                        <c:v>0.5</c:v>
                      </c:pt>
                      <c:pt idx="11">
                        <c:v>0.5</c:v>
                      </c:pt>
                      <c:pt idx="12">
                        <c:v>0.5</c:v>
                      </c:pt>
                      <c:pt idx="13">
                        <c:v>0.5</c:v>
                      </c:pt>
                      <c:pt idx="14">
                        <c:v>0.5</c:v>
                      </c:pt>
                      <c:pt idx="15">
                        <c:v>0.5</c:v>
                      </c:pt>
                      <c:pt idx="16">
                        <c:v>0.5</c:v>
                      </c:pt>
                      <c:pt idx="17">
                        <c:v>0.5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2C-E3FB-4B86-A83B-69BE0D6DB7DE}"/>
                  </c:ext>
                </c:extLst>
              </c15:ser>
            </c15:filteredAreaSeries>
          </c:ext>
        </c:extLst>
      </c:areaChart>
      <c:barChart>
        <c:barDir val="col"/>
        <c:grouping val="clustered"/>
        <c:varyColors val="0"/>
        <c:ser>
          <c:idx val="0"/>
          <c:order val="0"/>
          <c:tx>
            <c:strRef>
              <c:f>'курс 2022-2023 v2'!$A$3</c:f>
              <c:strCache>
                <c:ptCount val="1"/>
                <c:pt idx="0">
                  <c:v>Сводное сальдо платежного баланса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10"/>
              <c:layout>
                <c:manualLayout>
                  <c:x val="-4.0941658137154556E-3"/>
                  <c:y val="1.5325493456676104E-1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FB-4B86-A83B-69BE0D6DB7DE}"/>
                </c:ext>
              </c:extLst>
            </c:dLbl>
            <c:dLbl>
              <c:idx val="12"/>
              <c:layout>
                <c:manualLayout>
                  <c:x val="-9.5530535653361622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3FB-4B86-A83B-69BE0D6DB7DE}"/>
                </c:ext>
              </c:extLst>
            </c:dLbl>
            <c:dLbl>
              <c:idx val="13"/>
              <c:layout>
                <c:manualLayout>
                  <c:x val="-4.0941658137154556E-3"/>
                  <c:y val="2.089864158829676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FB-4B86-A83B-69BE0D6DB7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accent5"/>
                    </a:solidFill>
                    <a:latin typeface="Montserrat" panose="00000500000000000000" pitchFamily="2" charset="-52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'курс 2022-2023 v2'!$B$1:$Y$2</c15:sqref>
                  </c15:fullRef>
                </c:ext>
              </c:extLst>
              <c:f>'курс 2022-2023 v2'!$H$1:$Y$2</c:f>
              <c:multiLvlStrCache>
                <c:ptCount val="18"/>
                <c:lvl>
                  <c:pt idx="0">
                    <c:v>7</c:v>
                  </c:pt>
                  <c:pt idx="1">
                    <c:v>8</c:v>
                  </c:pt>
                  <c:pt idx="2">
                    <c:v>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9</c:v>
                  </c:pt>
                  <c:pt idx="15">
                    <c:v>10</c:v>
                  </c:pt>
                  <c:pt idx="16">
                    <c:v>11</c:v>
                  </c:pt>
                  <c:pt idx="17">
                    <c:v>12</c:v>
                  </c:pt>
                </c:lvl>
                <c:lvl>
                  <c:pt idx="6">
                    <c:v>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v2'!$B$3:$Y$3</c15:sqref>
                  </c15:fullRef>
                </c:ext>
              </c:extLst>
              <c:f>'курс 2022-2023 v2'!$H$3:$Y$3</c:f>
              <c:numCache>
                <c:formatCode>0</c:formatCode>
                <c:ptCount val="18"/>
                <c:pt idx="0">
                  <c:v>-157.27370226837593</c:v>
                </c:pt>
                <c:pt idx="1">
                  <c:v>1735.2159271362398</c:v>
                </c:pt>
                <c:pt idx="2">
                  <c:v>-1394.2521878695525</c:v>
                </c:pt>
                <c:pt idx="3">
                  <c:v>2015.0207172751984</c:v>
                </c:pt>
                <c:pt idx="4">
                  <c:v>519.87857565599029</c:v>
                </c:pt>
                <c:pt idx="5">
                  <c:v>1151.5389669156464</c:v>
                </c:pt>
                <c:pt idx="6">
                  <c:v>-1135.5511929061588</c:v>
                </c:pt>
                <c:pt idx="7">
                  <c:v>-203.17956449617554</c:v>
                </c:pt>
                <c:pt idx="8">
                  <c:v>-2785.202116406489</c:v>
                </c:pt>
                <c:pt idx="9">
                  <c:v>807.70534556695384</c:v>
                </c:pt>
                <c:pt idx="10">
                  <c:v>1116.0960799434934</c:v>
                </c:pt>
                <c:pt idx="11">
                  <c:v>-1048.1456705778523</c:v>
                </c:pt>
                <c:pt idx="12">
                  <c:v>904.56809703853787</c:v>
                </c:pt>
                <c:pt idx="13">
                  <c:v>1426.6636809740503</c:v>
                </c:pt>
                <c:pt idx="14">
                  <c:v>576.83284091793723</c:v>
                </c:pt>
                <c:pt idx="15">
                  <c:v>1323.5851665144351</c:v>
                </c:pt>
                <c:pt idx="16">
                  <c:v>140.33645956464534</c:v>
                </c:pt>
                <c:pt idx="17">
                  <c:v>-519.00808693165504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FB-4B86-A83B-69BE0D6DB7DE}"/>
            </c:ext>
          </c:extLst>
        </c:ser>
        <c:ser>
          <c:idx val="7"/>
          <c:order val="7"/>
          <c:tx>
            <c:strRef>
              <c:f>'курс 2022-2023 v2'!$A$4</c:f>
              <c:strCache>
                <c:ptCount val="1"/>
                <c:pt idx="0">
                  <c:v>Интервенции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12"/>
              <c:layout>
                <c:manualLayout>
                  <c:x val="2.7294438758102037E-3"/>
                  <c:y val="-7.6627467283380521E-17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3FB-4B86-A83B-69BE0D6DB7DE}"/>
                </c:ext>
              </c:extLst>
            </c:dLbl>
            <c:dLbl>
              <c:idx val="13"/>
              <c:layout>
                <c:manualLayout>
                  <c:x val="5.4588877516205071E-3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3FB-4B86-A83B-69BE0D6DB7DE}"/>
                </c:ext>
              </c:extLst>
            </c:dLbl>
            <c:dLbl>
              <c:idx val="14"/>
              <c:layout>
                <c:manualLayout>
                  <c:x val="5.4588877516206077E-3"/>
                  <c:y val="8.359456635318627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FB-4B86-A83B-69BE0D6DB7DE}"/>
                </c:ext>
              </c:extLst>
            </c:dLbl>
            <c:dLbl>
              <c:idx val="15"/>
              <c:layout>
                <c:manualLayout>
                  <c:x val="8.1883316274309111E-3"/>
                  <c:y val="2.0898641588296763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E3FB-4B86-A83B-69BE0D6DB7DE}"/>
                </c:ext>
              </c:extLst>
            </c:dLbl>
            <c:dLbl>
              <c:idx val="16"/>
              <c:layout>
                <c:manualLayout>
                  <c:x val="6.8236096895256592E-3"/>
                  <c:y val="8.3594566353186271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FB-4B86-A83B-69BE0D6DB7DE}"/>
                </c:ext>
              </c:extLst>
            </c:dLbl>
            <c:dLbl>
              <c:idx val="17"/>
              <c:layout>
                <c:manualLayout>
                  <c:x val="5.4588877516206077E-3"/>
                  <c:y val="4.1797283176592754E-3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E3FB-4B86-A83B-69BE0D6DB7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accent4"/>
                    </a:solidFill>
                    <a:latin typeface="Montserrat" panose="00000500000000000000" pitchFamily="2" charset="-52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'курс 2022-2023 v2'!$B$1:$Y$2</c15:sqref>
                  </c15:fullRef>
                </c:ext>
              </c:extLst>
              <c:f>'курс 2022-2023 v2'!$H$1:$Y$2</c:f>
              <c:multiLvlStrCache>
                <c:ptCount val="18"/>
                <c:lvl>
                  <c:pt idx="0">
                    <c:v>7</c:v>
                  </c:pt>
                  <c:pt idx="1">
                    <c:v>8</c:v>
                  </c:pt>
                  <c:pt idx="2">
                    <c:v>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9</c:v>
                  </c:pt>
                  <c:pt idx="15">
                    <c:v>10</c:v>
                  </c:pt>
                  <c:pt idx="16">
                    <c:v>11</c:v>
                  </c:pt>
                  <c:pt idx="17">
                    <c:v>12</c:v>
                  </c:pt>
                </c:lvl>
                <c:lvl>
                  <c:pt idx="6">
                    <c:v>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v2'!$B$4:$Y$4</c15:sqref>
                  </c15:fullRef>
                </c:ext>
              </c:extLst>
              <c:f>'курс 2022-2023 v2'!$H$4:$Y$4</c:f>
              <c:numCache>
                <c:formatCode>0</c:formatCode>
                <c:ptCount val="18"/>
                <c:pt idx="0">
                  <c:v>-1195</c:v>
                </c:pt>
                <c:pt idx="1">
                  <c:v>-1329.7</c:v>
                </c:pt>
                <c:pt idx="2">
                  <c:v>-2737.7</c:v>
                </c:pt>
                <c:pt idx="3">
                  <c:v>-2155.6774199257429</c:v>
                </c:pt>
                <c:pt idx="4">
                  <c:v>-1999.348048895941</c:v>
                </c:pt>
                <c:pt idx="5">
                  <c:v>-1909.395697312789</c:v>
                </c:pt>
                <c:pt idx="6">
                  <c:v>-3892.6300275514668</c:v>
                </c:pt>
                <c:pt idx="7">
                  <c:v>-2540.7602345268106</c:v>
                </c:pt>
                <c:pt idx="8">
                  <c:v>-4843.0303094676401</c:v>
                </c:pt>
                <c:pt idx="9">
                  <c:v>-1690.6078122969834</c:v>
                </c:pt>
                <c:pt idx="10">
                  <c:v>-1314.6676242016169</c:v>
                </c:pt>
                <c:pt idx="11">
                  <c:v>-3620.3374983067451</c:v>
                </c:pt>
                <c:pt idx="12">
                  <c:v>-1574.8075254464584</c:v>
                </c:pt>
                <c:pt idx="13">
                  <c:v>-809.04716231417069</c:v>
                </c:pt>
                <c:pt idx="14">
                  <c:v>-1133.436004276992</c:v>
                </c:pt>
                <c:pt idx="15">
                  <c:v>-1271.9336567906691</c:v>
                </c:pt>
                <c:pt idx="16">
                  <c:v>-2247.6746671575484</c:v>
                </c:pt>
                <c:pt idx="17">
                  <c:v>-3425.121616278238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3FB-4B86-A83B-69BE0D6DB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516438752"/>
        <c:axId val="516436128"/>
      </c:barChart>
      <c:lineChart>
        <c:grouping val="standard"/>
        <c:varyColors val="0"/>
        <c:ser>
          <c:idx val="2"/>
          <c:order val="3"/>
          <c:tx>
            <c:strRef>
              <c:f>'курс 2022-2023 v2'!$A$6</c:f>
              <c:strCache>
                <c:ptCount val="1"/>
                <c:pt idx="0">
                  <c:v>Обменный курс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E3FB-4B86-A83B-69BE0D6DB7DE}"/>
                </c:ext>
              </c:extLst>
            </c:dLbl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3FB-4B86-A83B-69BE0D6DB7D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E3FB-4B86-A83B-69BE0D6DB7D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3FB-4B86-A83B-69BE0D6DB7D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E3FB-4B86-A83B-69BE0D6DB7D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E3FB-4B86-A83B-69BE0D6DB7DE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E3FB-4B86-A83B-69BE0D6DB7D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E3FB-4B86-A83B-69BE0D6DB7DE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E3FB-4B86-A83B-69BE0D6DB7DE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6C8-4452-A4C5-10A7D7B7B73F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E3FB-4B86-A83B-69BE0D6DB7DE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66C8-4452-A4C5-10A7D7B7B73F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E3FB-4B86-A83B-69BE0D6DB7DE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E3FB-4B86-A83B-69BE0D6DB7DE}"/>
                </c:ext>
              </c:extLst>
            </c:dLbl>
            <c:dLbl>
              <c:idx val="1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E3FB-4B86-A83B-69BE0D6DB7DE}"/>
                </c:ext>
              </c:extLst>
            </c:dLbl>
            <c:dLbl>
              <c:idx val="17"/>
              <c:layout>
                <c:manualLayout>
                  <c:x val="-3.6929375639713512E-2"/>
                  <c:y val="3.037099202725047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E3FB-4B86-A83B-69BE0D6DB7DE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accent3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3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'курс 2022-2023 v2'!$B$1:$Y$2</c15:sqref>
                  </c15:fullRef>
                </c:ext>
              </c:extLst>
              <c:f>'курс 2022-2023 v2'!$H$1:$Y$2</c:f>
              <c:multiLvlStrCache>
                <c:ptCount val="18"/>
                <c:lvl>
                  <c:pt idx="0">
                    <c:v>7</c:v>
                  </c:pt>
                  <c:pt idx="1">
                    <c:v>8</c:v>
                  </c:pt>
                  <c:pt idx="2">
                    <c:v>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9</c:v>
                  </c:pt>
                  <c:pt idx="15">
                    <c:v>10</c:v>
                  </c:pt>
                  <c:pt idx="16">
                    <c:v>11</c:v>
                  </c:pt>
                  <c:pt idx="17">
                    <c:v>12</c:v>
                  </c:pt>
                </c:lvl>
                <c:lvl>
                  <c:pt idx="6">
                    <c:v>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v2'!$B$6:$Y$6</c15:sqref>
                  </c15:fullRef>
                </c:ext>
              </c:extLst>
              <c:f>'курс 2022-2023 v2'!$H$6:$Y$6</c:f>
              <c:numCache>
                <c:formatCode>0.00</c:formatCode>
                <c:ptCount val="18"/>
                <c:pt idx="0">
                  <c:v>31.850083870967769</c:v>
                </c:pt>
                <c:pt idx="1">
                  <c:v>36.568600000000032</c:v>
                </c:pt>
                <c:pt idx="2">
                  <c:v>36.568600000000032</c:v>
                </c:pt>
                <c:pt idx="3">
                  <c:v>36.568600000000032</c:v>
                </c:pt>
                <c:pt idx="4">
                  <c:v>36.568600000000032</c:v>
                </c:pt>
                <c:pt idx="5">
                  <c:v>36.568600000000032</c:v>
                </c:pt>
                <c:pt idx="6">
                  <c:v>36.57</c:v>
                </c:pt>
                <c:pt idx="7">
                  <c:v>36.57</c:v>
                </c:pt>
                <c:pt idx="8">
                  <c:v>36.57</c:v>
                </c:pt>
                <c:pt idx="9">
                  <c:v>36.57</c:v>
                </c:pt>
                <c:pt idx="10">
                  <c:v>36.57</c:v>
                </c:pt>
                <c:pt idx="11">
                  <c:v>36.57</c:v>
                </c:pt>
                <c:pt idx="12">
                  <c:v>36.827669302506891</c:v>
                </c:pt>
                <c:pt idx="13">
                  <c:v>36.79246841168186</c:v>
                </c:pt>
                <c:pt idx="14">
                  <c:v>36.985691143563351</c:v>
                </c:pt>
                <c:pt idx="15">
                  <c:v>37.099237249919184</c:v>
                </c:pt>
                <c:pt idx="16">
                  <c:v>37.632892003812898</c:v>
                </c:pt>
                <c:pt idx="17">
                  <c:v>38.575195988611775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3FB-4B86-A83B-69BE0D6DB7DE}"/>
            </c:ext>
          </c:extLst>
        </c:ser>
        <c:ser>
          <c:idx val="1"/>
          <c:order val="4"/>
          <c:tx>
            <c:strRef>
              <c:f>'курс 2022-2023 v2'!$A$5</c:f>
              <c:strCache>
                <c:ptCount val="1"/>
                <c:pt idx="0">
                  <c:v>Обменный курс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1"/>
              <c:layout>
                <c:manualLayout>
                  <c:x val="-4.2913735066637655E-2"/>
                  <c:y val="2.605534026115074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E3FB-4B86-A83B-69BE0D6DB7DE}"/>
                </c:ext>
              </c:extLst>
            </c:dLbl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E3FB-4B86-A83B-69BE0D6DB7DE}"/>
                </c:ext>
              </c:extLst>
            </c:dLbl>
            <c:dLbl>
              <c:idx val="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F-E3FB-4B86-A83B-69BE0D6DB7DE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E3FB-4B86-A83B-69BE0D6DB7DE}"/>
                </c:ext>
              </c:extLst>
            </c:dLbl>
            <c:dLbl>
              <c:idx val="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E3FB-4B86-A83B-69BE0D6DB7DE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E3FB-4B86-A83B-69BE0D6DB7DE}"/>
                </c:ext>
              </c:extLst>
            </c:dLbl>
            <c:dLbl>
              <c:idx val="7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3-E3FB-4B86-A83B-69BE0D6DB7DE}"/>
                </c:ext>
              </c:extLst>
            </c:dLbl>
            <c:dLbl>
              <c:idx val="8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66C8-4452-A4C5-10A7D7B7B73F}"/>
                </c:ext>
              </c:extLst>
            </c:dLbl>
            <c:dLbl>
              <c:idx val="9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6C8-4452-A4C5-10A7D7B7B73F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E3FB-4B86-A83B-69BE0D6DB7DE}"/>
                </c:ext>
              </c:extLst>
            </c:dLbl>
            <c:dLbl>
              <c:idx val="1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E3FB-4B86-A83B-69BE0D6DB7DE}"/>
                </c:ext>
              </c:extLst>
            </c:dLbl>
            <c:dLbl>
              <c:idx val="1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6-E3FB-4B86-A83B-69BE0D6DB7DE}"/>
                </c:ext>
              </c:extLst>
            </c:dLbl>
            <c:dLbl>
              <c:idx val="13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E3FB-4B86-A83B-69BE0D6DB7DE}"/>
                </c:ext>
              </c:extLst>
            </c:dLbl>
            <c:dLbl>
              <c:idx val="1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8-E3FB-4B86-A83B-69BE0D6DB7DE}"/>
                </c:ext>
              </c:extLst>
            </c:dLbl>
            <c:dLbl>
              <c:idx val="15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9-E3FB-4B86-A83B-69BE0D6DB7DE}"/>
                </c:ext>
              </c:extLst>
            </c:dLbl>
            <c:dLbl>
              <c:idx val="16"/>
              <c:layout>
                <c:manualLayout>
                  <c:x val="-0.1735995078404351"/>
                  <c:y val="-3.45507203449098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A-E3FB-4B86-A83B-69BE0D6DB7DE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accent5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multiLvlStrRef>
              <c:extLst>
                <c:ext xmlns:c15="http://schemas.microsoft.com/office/drawing/2012/chart" uri="{02D57815-91ED-43cb-92C2-25804820EDAC}">
                  <c15:fullRef>
                    <c15:sqref>'курс 2022-2023 v2'!$B$1:$Y$2</c15:sqref>
                  </c15:fullRef>
                </c:ext>
              </c:extLst>
              <c:f>'курс 2022-2023 v2'!$H$1:$Y$2</c:f>
              <c:multiLvlStrCache>
                <c:ptCount val="18"/>
                <c:lvl>
                  <c:pt idx="0">
                    <c:v>7</c:v>
                  </c:pt>
                  <c:pt idx="1">
                    <c:v>8</c:v>
                  </c:pt>
                  <c:pt idx="2">
                    <c:v>9</c:v>
                  </c:pt>
                  <c:pt idx="3">
                    <c:v>10</c:v>
                  </c:pt>
                  <c:pt idx="4">
                    <c:v>11</c:v>
                  </c:pt>
                  <c:pt idx="5">
                    <c:v>12</c:v>
                  </c:pt>
                  <c:pt idx="6">
                    <c:v>1</c:v>
                  </c:pt>
                  <c:pt idx="7">
                    <c:v>2</c:v>
                  </c:pt>
                  <c:pt idx="8">
                    <c:v>3</c:v>
                  </c:pt>
                  <c:pt idx="9">
                    <c:v>4</c:v>
                  </c:pt>
                  <c:pt idx="10">
                    <c:v>5</c:v>
                  </c:pt>
                  <c:pt idx="11">
                    <c:v>6</c:v>
                  </c:pt>
                  <c:pt idx="12">
                    <c:v>7</c:v>
                  </c:pt>
                  <c:pt idx="13">
                    <c:v>8</c:v>
                  </c:pt>
                  <c:pt idx="14">
                    <c:v>9</c:v>
                  </c:pt>
                  <c:pt idx="15">
                    <c:v>10</c:v>
                  </c:pt>
                  <c:pt idx="16">
                    <c:v>11</c:v>
                  </c:pt>
                  <c:pt idx="17">
                    <c:v>12</c:v>
                  </c:pt>
                </c:lvl>
                <c:lvl>
                  <c:pt idx="6">
                    <c:v>2023</c:v>
                  </c:pt>
                </c:lvl>
              </c:multiLvlStrCache>
            </c:multiLvl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v2'!$B$5:$Y$5</c15:sqref>
                  </c15:fullRef>
                </c:ext>
              </c:extLst>
              <c:f>'курс 2022-2023 v2'!$H$5:$Y$5</c:f>
              <c:numCache>
                <c:formatCode>0.00</c:formatCode>
                <c:ptCount val="18"/>
                <c:pt idx="0">
                  <c:v>31.850083870967769</c:v>
                </c:pt>
                <c:pt idx="1">
                  <c:v>36.568600000000032</c:v>
                </c:pt>
                <c:pt idx="2">
                  <c:v>36.568600000000032</c:v>
                </c:pt>
                <c:pt idx="3">
                  <c:v>36.568600000000032</c:v>
                </c:pt>
                <c:pt idx="4">
                  <c:v>36.568600000000032</c:v>
                </c:pt>
                <c:pt idx="5">
                  <c:v>36.568600000000032</c:v>
                </c:pt>
                <c:pt idx="6">
                  <c:v>36.57</c:v>
                </c:pt>
                <c:pt idx="7">
                  <c:v>36.57</c:v>
                </c:pt>
                <c:pt idx="8">
                  <c:v>36.57</c:v>
                </c:pt>
                <c:pt idx="9">
                  <c:v>36.57</c:v>
                </c:pt>
                <c:pt idx="10">
                  <c:v>36.57</c:v>
                </c:pt>
                <c:pt idx="11">
                  <c:v>36.57</c:v>
                </c:pt>
                <c:pt idx="12">
                  <c:v>36.57</c:v>
                </c:pt>
                <c:pt idx="13">
                  <c:v>40</c:v>
                </c:pt>
                <c:pt idx="14">
                  <c:v>40</c:v>
                </c:pt>
                <c:pt idx="15">
                  <c:v>40</c:v>
                </c:pt>
                <c:pt idx="16">
                  <c:v>40</c:v>
                </c:pt>
                <c:pt idx="17">
                  <c:v>40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2B-E3FB-4B86-A83B-69BE0D6DB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445312"/>
        <c:axId val="516452528"/>
        <c:extLst>
          <c:ext xmlns:c15="http://schemas.microsoft.com/office/drawing/2012/chart" uri="{02D57815-91ED-43cb-92C2-25804820EDAC}">
            <c15:filteredLineSeries>
              <c15:ser>
                <c:idx val="8"/>
                <c:order val="8"/>
                <c:tx>
                  <c:strRef>
                    <c:extLst>
                      <c:ext uri="{02D57815-91ED-43cb-92C2-25804820EDAC}">
                        <c15:formulaRef>
                          <c15:sqref>'курс 2022-2023 v2'!$A$8</c15:sqref>
                        </c15:formulaRef>
                      </c:ext>
                    </c:extLst>
                    <c:strCache>
                      <c:ptCount val="1"/>
                      <c:pt idx="0">
                        <c:v>Заливка верхний предел уверенности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multiLvlStrRef>
                    <c:extLst>
                      <c:ext uri="{02D57815-91ED-43cb-92C2-25804820EDAC}">
                        <c15:fullRef>
                          <c15:sqref>'курс 2022-2023 v2'!$B$1:$Y$2</c15:sqref>
                        </c15:fullRef>
                        <c15:formulaRef>
                          <c15:sqref>'курс 2022-2023 v2'!$H$1:$Y$2</c15:sqref>
                        </c15:formulaRef>
                      </c:ext>
                    </c:extLst>
                    <c:multiLvlStrCache>
                      <c:ptCount val="18"/>
                      <c:lvl>
                        <c:pt idx="0">
                          <c:v>7</c:v>
                        </c:pt>
                        <c:pt idx="1">
                          <c:v>8</c:v>
                        </c:pt>
                        <c:pt idx="2">
                          <c:v>9</c:v>
                        </c:pt>
                        <c:pt idx="3">
                          <c:v>10</c:v>
                        </c:pt>
                        <c:pt idx="4">
                          <c:v>11</c:v>
                        </c:pt>
                        <c:pt idx="5">
                          <c:v>12</c:v>
                        </c:pt>
                        <c:pt idx="6">
                          <c:v>1</c:v>
                        </c:pt>
                        <c:pt idx="7">
                          <c:v>2</c:v>
                        </c:pt>
                        <c:pt idx="8">
                          <c:v>3</c:v>
                        </c:pt>
                        <c:pt idx="9">
                          <c:v>4</c:v>
                        </c:pt>
                        <c:pt idx="10">
                          <c:v>5</c:v>
                        </c:pt>
                        <c:pt idx="11">
                          <c:v>6</c:v>
                        </c:pt>
                        <c:pt idx="12">
                          <c:v>7</c:v>
                        </c:pt>
                        <c:pt idx="13">
                          <c:v>8</c:v>
                        </c:pt>
                        <c:pt idx="14">
                          <c:v>9</c:v>
                        </c:pt>
                        <c:pt idx="15">
                          <c:v>10</c:v>
                        </c:pt>
                        <c:pt idx="16">
                          <c:v>11</c:v>
                        </c:pt>
                        <c:pt idx="17">
                          <c:v>12</c:v>
                        </c:pt>
                      </c:lvl>
                      <c:lvl>
                        <c:pt idx="6">
                          <c:v>2023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ullRef>
                          <c15:sqref>'курс 2022-2023 v2'!$B$9:$Y$9</c15:sqref>
                        </c15:fullRef>
                        <c15:formulaRef>
                          <c15:sqref>'курс 2022-2023 v2'!$H$9:$Y$9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6" formatCode="0.0">
                        <c:v>0</c:v>
                      </c:pt>
                      <c:pt idx="7" formatCode="0.0">
                        <c:v>0</c:v>
                      </c:pt>
                      <c:pt idx="8" formatCode="0.0">
                        <c:v>0</c:v>
                      </c:pt>
                      <c:pt idx="9" formatCode="0.0">
                        <c:v>0</c:v>
                      </c:pt>
                      <c:pt idx="10" formatCode="0.0">
                        <c:v>0</c:v>
                      </c:pt>
                      <c:pt idx="11" formatCode="0.0">
                        <c:v>0</c:v>
                      </c:pt>
                      <c:pt idx="12" formatCode="0.0">
                        <c:v>0.25766930250689057</c:v>
                      </c:pt>
                      <c:pt idx="13" formatCode="0.0">
                        <c:v>-3.2075315883181403</c:v>
                      </c:pt>
                      <c:pt idx="14" formatCode="0.0">
                        <c:v>-3.0143088564366494</c:v>
                      </c:pt>
                      <c:pt idx="15" formatCode="0.0">
                        <c:v>-2.9007627500808155</c:v>
                      </c:pt>
                      <c:pt idx="16" formatCode="0.0">
                        <c:v>-2.3671079961871015</c:v>
                      </c:pt>
                      <c:pt idx="17" formatCode="0.0">
                        <c:v>-1.4248040113882254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2D-E3FB-4B86-A83B-69BE0D6DB7DE}"/>
                  </c:ext>
                </c:extLst>
              </c15:ser>
            </c15:filteredLineSeries>
          </c:ext>
        </c:extLst>
      </c:lineChart>
      <c:catAx>
        <c:axId val="51643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endParaRPr lang="en-US"/>
          </a:p>
        </c:txPr>
        <c:crossAx val="516436128"/>
        <c:crosses val="autoZero"/>
        <c:auto val="1"/>
        <c:lblAlgn val="ctr"/>
        <c:lblOffset val="100"/>
        <c:noMultiLvlLbl val="0"/>
      </c:catAx>
      <c:valAx>
        <c:axId val="516436128"/>
        <c:scaling>
          <c:orientation val="minMax"/>
          <c:max val="10000"/>
          <c:min val="-6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endParaRPr lang="en-US"/>
          </a:p>
        </c:txPr>
        <c:crossAx val="516438752"/>
        <c:crosses val="autoZero"/>
        <c:crossBetween val="between"/>
      </c:valAx>
      <c:valAx>
        <c:axId val="516452528"/>
        <c:scaling>
          <c:orientation val="minMax"/>
          <c:min val="15"/>
        </c:scaling>
        <c:delete val="0"/>
        <c:axPos val="r"/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accent1"/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endParaRPr lang="en-US"/>
          </a:p>
        </c:txPr>
        <c:crossAx val="516445312"/>
        <c:crosses val="max"/>
        <c:crossBetween val="between"/>
      </c:valAx>
      <c:catAx>
        <c:axId val="516445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6452528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ayout>
        <c:manualLayout>
          <c:xMode val="edge"/>
          <c:yMode val="edge"/>
          <c:x val="2.7294438758103039E-3"/>
          <c:y val="0.13272727272727275"/>
          <c:w val="0.99684749232343928"/>
          <c:h val="7.499057915566197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uk-U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l"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r>
              <a:rPr lang="ru-RU" sz="2400" b="1">
                <a:solidFill>
                  <a:schemeClr val="accent1"/>
                </a:solidFill>
                <a:latin typeface="Montserrat" panose="00000500000000000000" pitchFamily="2" charset="-52"/>
              </a:rPr>
              <a:t>К</a:t>
            </a:r>
            <a:r>
              <a:rPr lang="uk-UA" sz="2400" b="1">
                <a:solidFill>
                  <a:schemeClr val="accent1"/>
                </a:solidFill>
                <a:latin typeface="Montserrat" panose="00000500000000000000" pitchFamily="2" charset="-52"/>
              </a:rPr>
              <a:t>урсовой прогноз до</a:t>
            </a:r>
            <a:r>
              <a:rPr lang="uk-UA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 конца 202</a:t>
            </a:r>
            <a:r>
              <a:rPr lang="en-US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2</a:t>
            </a:r>
            <a:r>
              <a:rPr lang="uk-UA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 года</a:t>
            </a:r>
            <a:r>
              <a:rPr lang="uk-UA" sz="2400" b="1">
                <a:solidFill>
                  <a:schemeClr val="accent1"/>
                </a:solidFill>
                <a:latin typeface="Montserrat" panose="00000500000000000000" pitchFamily="2" charset="-52"/>
              </a:rPr>
              <a:t>, </a:t>
            </a:r>
            <a:r>
              <a:rPr lang="en-US" sz="2400" b="1">
                <a:solidFill>
                  <a:schemeClr val="accent1"/>
                </a:solidFill>
                <a:latin typeface="Montserrat" panose="00000500000000000000" pitchFamily="2" charset="-52"/>
              </a:rPr>
              <a:t>UAH/EUR,</a:t>
            </a:r>
            <a:r>
              <a:rPr lang="en-US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 </a:t>
            </a:r>
            <a:r>
              <a:rPr lang="ru-RU" sz="2400" b="1" baseline="0">
                <a:solidFill>
                  <a:schemeClr val="accent1"/>
                </a:solidFill>
                <a:latin typeface="Montserrat" panose="00000500000000000000" pitchFamily="2" charset="-52"/>
              </a:rPr>
              <a:t>млн долл.</a:t>
            </a:r>
            <a:endParaRPr lang="uk-UA" sz="2400" b="1">
              <a:solidFill>
                <a:schemeClr val="accent1"/>
              </a:solidFill>
              <a:latin typeface="Montserrat" panose="00000500000000000000" pitchFamily="2" charset="-52"/>
            </a:endParaRPr>
          </a:p>
        </c:rich>
      </c:tx>
      <c:layout>
        <c:manualLayout>
          <c:xMode val="edge"/>
          <c:yMode val="edge"/>
          <c:x val="1.2754239906296256E-3"/>
          <c:y val="2.0737376479977626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l"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Montserrat" panose="00000500000000000000" pitchFamily="2" charset="-52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36205159616047E-2"/>
          <c:y val="0.19549757690946939"/>
          <c:w val="0.87429501419078259"/>
          <c:h val="0.73301261323525779"/>
        </c:manualLayout>
      </c:layout>
      <c:areaChart>
        <c:grouping val="stack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16445312"/>
        <c:axId val="516452528"/>
        <c:extLst>
          <c:ext xmlns:c15="http://schemas.microsoft.com/office/drawing/2012/chart" uri="{02D57815-91ED-43cb-92C2-25804820EDAC}">
            <c15:filteredAreaSeries>
              <c15:ser>
                <c:idx val="3"/>
                <c:order val="2"/>
                <c:tx>
                  <c:strRef>
                    <c:extLst>
                      <c:ext uri="{02D57815-91ED-43cb-92C2-25804820EDAC}">
                        <c15:formulaRef>
                          <c15:sqref>'курс 2022-2023 v2'!$A$7</c15:sqref>
                        </c15:formulaRef>
                      </c:ext>
                    </c:extLst>
                    <c:strCache>
                      <c:ptCount val="1"/>
                      <c:pt idx="0">
                        <c:v>заливка</c:v>
                      </c:pt>
                    </c:strCache>
                  </c:strRef>
                </c:tx>
                <c:spPr>
                  <a:noFill/>
                  <a:ln w="25400"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ullRef>
                          <c15:sqref>'курс 2022-2023 v2'!$B$2:$Y$2</c15:sqref>
                        </c15:fullRef>
                        <c15:formulaRef>
                          <c15:sqref>'курс 2022-2023 v2'!$N$2:$Y$2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'курс 2022-2023 v2'!$B$18:$Y$18</c15:sqref>
                        </c15:fullRef>
                        <c15:formulaRef>
                          <c15:sqref>'курс 2022-2023 v2'!$N$18:$Y$18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31.670651612903228</c:v>
                      </c:pt>
                      <c:pt idx="1">
                        <c:v>31.827956503183721</c:v>
                      </c:pt>
                      <c:pt idx="2">
                        <c:v>32.446022438628532</c:v>
                      </c:pt>
                      <c:pt idx="3">
                        <c:v>31.335568383921252</c:v>
                      </c:pt>
                      <c:pt idx="4">
                        <c:v>30.461559961011591</c:v>
                      </c:pt>
                      <c:pt idx="5">
                        <c:v>37.808574000000007</c:v>
                      </c:pt>
                      <c:pt idx="6">
                        <c:v>36.856326000000003</c:v>
                      </c:pt>
                      <c:pt idx="7">
                        <c:v>40.775849999999998</c:v>
                      </c:pt>
                      <c:pt idx="8">
                        <c:v>38.974771818408357</c:v>
                      </c:pt>
                      <c:pt idx="9">
                        <c:v>40.378905454602084</c:v>
                      </c:pt>
                      <c:pt idx="10">
                        <c:v>40.122656818252615</c:v>
                      </c:pt>
                      <c:pt idx="11">
                        <c:v>40.063046022815762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6-D76E-45B4-B419-22E6A1AF2283}"/>
                  </c:ext>
                </c:extLst>
              </c15:ser>
            </c15:filteredAreaSeries>
            <c15:filteredAreaSeries>
              <c15:ser>
                <c:idx val="4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'курс 2022-2023 v2'!$A$21</c15:sqref>
                        </c15:formulaRef>
                      </c:ext>
                    </c:extLst>
                    <c:strCache>
                      <c:ptCount val="1"/>
                      <c:pt idx="0">
                        <c:v>Заливка нижний предел уверенности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cat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v2'!$B$2:$Y$2</c15:sqref>
                        </c15:fullRef>
                        <c15:formulaRef>
                          <c15:sqref>'курс 2022-2023 v2'!$N$2:$Y$2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</c:numCache>
                  </c:num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v2'!$B$21:$Y$21</c15:sqref>
                        </c15:fullRef>
                        <c15:formulaRef>
                          <c15:sqref>'курс 2022-2023 v2'!$N$21:$Y$21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1" formatCode="0.0">
                        <c:v>0.44119706824485339</c:v>
                      </c:pt>
                      <c:pt idx="2" formatCode="0.0">
                        <c:v>0.44976465814566857</c:v>
                      </c:pt>
                      <c:pt idx="3" formatCode="0.0">
                        <c:v>0.43437161607875313</c:v>
                      </c:pt>
                      <c:pt idx="4" formatCode="0.0">
                        <c:v>0.42225616802067634</c:v>
                      </c:pt>
                      <c:pt idx="5" formatCode="0.0">
                        <c:v>0.52410000000000001</c:v>
                      </c:pt>
                      <c:pt idx="6" formatCode="0.0">
                        <c:v>0.51090000000000002</c:v>
                      </c:pt>
                      <c:pt idx="7" formatCode="0.0">
                        <c:v>0.51615</c:v>
                      </c:pt>
                      <c:pt idx="8" formatCode="0.0">
                        <c:v>0.49335154200516906</c:v>
                      </c:pt>
                      <c:pt idx="9" formatCode="0.0">
                        <c:v>0.51112538550129227</c:v>
                      </c:pt>
                      <c:pt idx="10" formatCode="0.0">
                        <c:v>0.50788173187661534</c:v>
                      </c:pt>
                      <c:pt idx="11" formatCode="0.0">
                        <c:v>0.50712716484576914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76E-45B4-B419-22E6A1AF2283}"/>
                  </c:ext>
                </c:extLst>
              </c15:ser>
            </c15:filteredAreaSeries>
            <c15:filteredArea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'курс 2022-2023 v2'!$A$20</c15:sqref>
                        </c15:formulaRef>
                      </c:ext>
                    </c:extLst>
                    <c:strCache>
                      <c:ptCount val="1"/>
                      <c:pt idx="0">
                        <c:v>Разбивка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v2'!$B$20:$Y$20</c15:sqref>
                        </c15:fullRef>
                        <c15:formulaRef>
                          <c15:sqref>'курс 2022-2023 v2'!$N$20:$Y$20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0.26328649330154263</c:v>
                      </c:pt>
                      <c:pt idx="7">
                        <c:v>-3.311134858620818</c:v>
                      </c:pt>
                      <c:pt idx="8">
                        <c:v>-2.9742278448057178</c:v>
                      </c:pt>
                      <c:pt idx="9">
                        <c:v>-2.9653069577656908</c:v>
                      </c:pt>
                      <c:pt idx="10">
                        <c:v>-2.4044218172849838</c:v>
                      </c:pt>
                      <c:pt idx="11">
                        <c:v>-1.4451136375123781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76E-45B4-B419-22E6A1AF228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'курс 2022-2023 v2'!$A$19</c15:sqref>
                        </c15:formulaRef>
                      </c:ext>
                    </c:extLst>
                    <c:strCache>
                      <c:ptCount val="1"/>
                      <c:pt idx="0">
                        <c:v>Заливка верхний предел уверенности</c:v>
                      </c:pt>
                    </c:strCache>
                  </c:strRef>
                </c:tx>
                <c:spPr>
                  <a:solidFill>
                    <a:schemeClr val="accent1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v2'!$B$19:$Y$19</c15:sqref>
                        </c15:fullRef>
                        <c15:formulaRef>
                          <c15:sqref>'курс 2022-2023 v2'!$N$19:$Y$19</c15:sqref>
                        </c15:formulaRef>
                      </c:ext>
                    </c:extLst>
                    <c:numCache>
                      <c:formatCode>0.0</c:formatCode>
                      <c:ptCount val="12"/>
                      <c:pt idx="1">
                        <c:v>0.44119706824485339</c:v>
                      </c:pt>
                      <c:pt idx="2">
                        <c:v>0.44976465814566857</c:v>
                      </c:pt>
                      <c:pt idx="3">
                        <c:v>0.43437161607875313</c:v>
                      </c:pt>
                      <c:pt idx="4">
                        <c:v>0.42225616802067634</c:v>
                      </c:pt>
                      <c:pt idx="5">
                        <c:v>0.52410000000000001</c:v>
                      </c:pt>
                      <c:pt idx="6">
                        <c:v>0.51090000000000002</c:v>
                      </c:pt>
                      <c:pt idx="7">
                        <c:v>0.51615</c:v>
                      </c:pt>
                      <c:pt idx="8">
                        <c:v>0.49335154200516906</c:v>
                      </c:pt>
                      <c:pt idx="9">
                        <c:v>0.51112538550129227</c:v>
                      </c:pt>
                      <c:pt idx="10">
                        <c:v>0.50788173187661534</c:v>
                      </c:pt>
                      <c:pt idx="11">
                        <c:v>0.50712716484576914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76E-45B4-B419-22E6A1AF2283}"/>
                  </c:ext>
                </c:extLst>
              </c15:ser>
            </c15:filteredAreaSeries>
          </c:ext>
        </c:extLst>
      </c:areaChart>
      <c:barChart>
        <c:barDir val="col"/>
        <c:grouping val="clustered"/>
        <c:varyColors val="0"/>
        <c:ser>
          <c:idx val="0"/>
          <c:order val="0"/>
          <c:tx>
            <c:strRef>
              <c:f>'курс 2022-2023 v2'!$A$3</c:f>
              <c:strCache>
                <c:ptCount val="1"/>
                <c:pt idx="0">
                  <c:v>Сводное сальдо платежного баланса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6.8274572114029571E-3"/>
                  <c:y val="-6.2578644634686889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76E-45B4-B419-22E6A1AF2283}"/>
                </c:ext>
              </c:extLst>
            </c:dLbl>
            <c:dLbl>
              <c:idx val="6"/>
              <c:layout>
                <c:manualLayout>
                  <c:x val="-1.3647219379052519E-3"/>
                  <c:y val="1.8923966792475556E-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76E-45B4-B419-22E6A1AF2283}"/>
                </c:ext>
              </c:extLst>
            </c:dLbl>
            <c:dLbl>
              <c:idx val="7"/>
              <c:layout>
                <c:manualLayout>
                  <c:x val="0"/>
                  <c:y val="1.0449320794148381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76E-45B4-B419-22E6A1AF2283}"/>
                </c:ext>
              </c:extLst>
            </c:dLbl>
            <c:dLbl>
              <c:idx val="8"/>
              <c:layout>
                <c:manualLayout>
                  <c:x val="0"/>
                  <c:y val="1.253934950921118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76E-45B4-B419-22E6A1AF2283}"/>
                </c:ext>
              </c:extLst>
            </c:dLbl>
            <c:dLbl>
              <c:idx val="9"/>
              <c:layout>
                <c:manualLayout>
                  <c:x val="-4.0941658137154556E-3"/>
                  <c:y val="-1.4316392269148175E-5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76E-45B4-B419-22E6A1AF2283}"/>
                </c:ext>
              </c:extLst>
            </c:dLbl>
            <c:dLbl>
              <c:idx val="11"/>
              <c:layout>
                <c:manualLayout>
                  <c:x val="2.7294438758104036E-3"/>
                  <c:y val="-6.269592476489028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76E-45B4-B419-22E6A1AF22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accent5"/>
                    </a:solidFill>
                    <a:latin typeface="Montserrat" panose="00000500000000000000" pitchFamily="2" charset="-52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'курс 2022-2023 v2'!$B$2:$Y$2</c15:sqref>
                  </c15:fullRef>
                </c:ext>
              </c:extLst>
              <c:f>'курс 2022-2023 v2'!$N$2:$Y$2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v2'!$B$3:$Y$3</c15:sqref>
                  </c15:fullRef>
                </c:ext>
              </c:extLst>
              <c:f>'курс 2022-2023 v2'!$N$3:$Y$3</c:f>
              <c:numCache>
                <c:formatCode>0</c:formatCode>
                <c:ptCount val="12"/>
                <c:pt idx="0">
                  <c:v>-1135.5511929061588</c:v>
                </c:pt>
                <c:pt idx="1">
                  <c:v>-203.17956449617554</c:v>
                </c:pt>
                <c:pt idx="2">
                  <c:v>-2785.202116406489</c:v>
                </c:pt>
                <c:pt idx="3">
                  <c:v>807.70534556695384</c:v>
                </c:pt>
                <c:pt idx="4">
                  <c:v>1116.0960799434934</c:v>
                </c:pt>
                <c:pt idx="5">
                  <c:v>-1048.1456705778523</c:v>
                </c:pt>
                <c:pt idx="6">
                  <c:v>904.56809703853787</c:v>
                </c:pt>
                <c:pt idx="7">
                  <c:v>1426.6636809740503</c:v>
                </c:pt>
                <c:pt idx="8">
                  <c:v>576.83284091793723</c:v>
                </c:pt>
                <c:pt idx="9">
                  <c:v>1323.5851665144351</c:v>
                </c:pt>
                <c:pt idx="10">
                  <c:v>140.33645956464534</c:v>
                </c:pt>
                <c:pt idx="11">
                  <c:v>-519.00808693165504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6E-45B4-B419-22E6A1AF2283}"/>
            </c:ext>
          </c:extLst>
        </c:ser>
        <c:ser>
          <c:idx val="7"/>
          <c:order val="7"/>
          <c:tx>
            <c:strRef>
              <c:f>'курс 2022-2023 v2'!$A$4</c:f>
              <c:strCache>
                <c:ptCount val="1"/>
                <c:pt idx="0">
                  <c:v>Интервенции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Lbl>
              <c:idx val="9"/>
              <c:layout>
                <c:manualLayout>
                  <c:x val="5.4588877516206077E-3"/>
                  <c:y val="2.0898641588296763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76E-45B4-B419-22E6A1AF2283}"/>
                </c:ext>
              </c:extLst>
            </c:dLbl>
            <c:dLbl>
              <c:idx val="10"/>
              <c:layout>
                <c:manualLayout>
                  <c:x val="2.7294438758103039E-3"/>
                  <c:y val="1.04442195509258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76E-45B4-B419-22E6A1AF2283}"/>
                </c:ext>
              </c:extLst>
            </c:dLbl>
            <c:dLbl>
              <c:idx val="11"/>
              <c:layout>
                <c:manualLayout>
                  <c:x val="4.0941658137152552E-3"/>
                  <c:y val="4.1797283176593526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76E-45B4-B419-22E6A1AF228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accent4"/>
                    </a:solidFill>
                    <a:latin typeface="Montserrat" panose="00000500000000000000" pitchFamily="2" charset="-52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v2'!$B$4:$Y$4</c15:sqref>
                  </c15:fullRef>
                </c:ext>
              </c:extLst>
              <c:f>'курс 2022-2023 v2'!$N$4:$Y$4</c:f>
              <c:numCache>
                <c:formatCode>0</c:formatCode>
                <c:ptCount val="12"/>
                <c:pt idx="0">
                  <c:v>-3892.6300275514668</c:v>
                </c:pt>
                <c:pt idx="1">
                  <c:v>-2540.7602345268106</c:v>
                </c:pt>
                <c:pt idx="2">
                  <c:v>-4843.0303094676401</c:v>
                </c:pt>
                <c:pt idx="3">
                  <c:v>-1690.6078122969834</c:v>
                </c:pt>
                <c:pt idx="4">
                  <c:v>-1314.6676242016169</c:v>
                </c:pt>
                <c:pt idx="5">
                  <c:v>-3620.3374983067451</c:v>
                </c:pt>
                <c:pt idx="6">
                  <c:v>-1574.8075254464584</c:v>
                </c:pt>
                <c:pt idx="7">
                  <c:v>-809.04716231417069</c:v>
                </c:pt>
                <c:pt idx="8">
                  <c:v>-1133.436004276992</c:v>
                </c:pt>
                <c:pt idx="9">
                  <c:v>-1271.9336567906691</c:v>
                </c:pt>
                <c:pt idx="10">
                  <c:v>-2247.6746671575484</c:v>
                </c:pt>
                <c:pt idx="11">
                  <c:v>-3425.121616278238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76E-45B4-B419-22E6A1AF2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516438752"/>
        <c:axId val="516436128"/>
      </c:barChart>
      <c:lineChart>
        <c:grouping val="standard"/>
        <c:varyColors val="0"/>
        <c:ser>
          <c:idx val="2"/>
          <c:order val="4"/>
          <c:tx>
            <c:strRef>
              <c:f>'курс 2022-2023 v2'!$A$17</c:f>
              <c:strCache>
                <c:ptCount val="1"/>
                <c:pt idx="0">
                  <c:v>Курсовой прогноз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76E-45B4-B419-22E6A1AF2283}"/>
                </c:ext>
              </c:extLst>
            </c:dLbl>
            <c:dLbl>
              <c:idx val="4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D76E-45B4-B419-22E6A1AF2283}"/>
                </c:ext>
              </c:extLst>
            </c:dLbl>
            <c:dLbl>
              <c:idx val="6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76E-45B4-B419-22E6A1AF2283}"/>
                </c:ext>
              </c:extLst>
            </c:dLbl>
            <c:dLbl>
              <c:idx val="10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D76E-45B4-B419-22E6A1AF2283}"/>
                </c:ext>
              </c:extLst>
            </c:dLbl>
            <c:spPr>
              <a:solidFill>
                <a:schemeClr val="bg1"/>
              </a:solidFill>
              <a:ln w="12700">
                <a:solidFill>
                  <a:schemeClr val="accent5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accent5"/>
                    </a:solidFill>
                    <a:latin typeface="Montserrat" panose="00000500000000000000" pitchFamily="2" charset="-52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Lit>
              <c:ptCount val="12"/>
              <c:pt idx="0">
                <c:v>13</c:v>
              </c:pt>
              <c:pt idx="1">
                <c:v>14</c:v>
              </c:pt>
              <c:pt idx="2">
                <c:v>15</c:v>
              </c:pt>
              <c:pt idx="3">
                <c:v>16</c:v>
              </c:pt>
              <c:pt idx="4">
                <c:v>17</c:v>
              </c:pt>
              <c:pt idx="5">
                <c:v>18</c:v>
              </c:pt>
              <c:pt idx="6">
                <c:v>19</c:v>
              </c:pt>
              <c:pt idx="7">
                <c:v>20</c:v>
              </c:pt>
              <c:pt idx="8">
                <c:v>21</c:v>
              </c:pt>
              <c:pt idx="9">
                <c:v>22</c:v>
              </c:pt>
              <c:pt idx="10">
                <c:v>23</c:v>
              </c:pt>
              <c:pt idx="11">
                <c:v>24</c:v>
              </c:pt>
              <c:extLst>
                <c:ext xmlns:c15="http://schemas.microsoft.com/office/drawing/2012/chart" uri="{02D57815-91ED-43cb-92C2-25804820EDAC}">
                  <c15:autoCat val="1"/>
                </c:ext>
              </c:extLst>
            </c:strLit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'курс 2022-2023 v2'!$B$17:$Y$17</c15:sqref>
                  </c15:fullRef>
                </c:ext>
              </c:extLst>
              <c:f>'курс 2022-2023 v2'!$N$17:$Y$17</c:f>
              <c:numCache>
                <c:formatCode>0.00</c:formatCode>
                <c:ptCount val="12"/>
                <c:pt idx="0">
                  <c:v>31.670651612903228</c:v>
                </c:pt>
                <c:pt idx="1">
                  <c:v>32.269153571428575</c:v>
                </c:pt>
                <c:pt idx="2">
                  <c:v>32.8957870967742</c:v>
                </c:pt>
                <c:pt idx="3">
                  <c:v>31.769940000000005</c:v>
                </c:pt>
                <c:pt idx="4">
                  <c:v>30.883816129032269</c:v>
                </c:pt>
                <c:pt idx="5">
                  <c:v>38.332674000000004</c:v>
                </c:pt>
                <c:pt idx="6">
                  <c:v>37.630512493301545</c:v>
                </c:pt>
                <c:pt idx="7">
                  <c:v>37.980865141379184</c:v>
                </c:pt>
                <c:pt idx="8">
                  <c:v>36.493895515607811</c:v>
                </c:pt>
                <c:pt idx="9">
                  <c:v>37.924723882337688</c:v>
                </c:pt>
                <c:pt idx="10">
                  <c:v>38.226116732844247</c:v>
                </c:pt>
                <c:pt idx="11">
                  <c:v>39.125059550149153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'курс 2022-2023 v2'!$J$17</c15:sqref>
                  <c15:dLbl>
                    <c:idx val="-1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0-BD90-4A6D-9CF8-A1D80EA07D3D}"/>
                      </c:ext>
                    </c:extLst>
                  </c15:dLbl>
                </c15:categoryFilterException>
                <c15:categoryFilterException>
                  <c15:sqref>'курс 2022-2023 v2'!$L$17</c15:sqref>
                  <c15:dLbl>
                    <c:idx val="-1"/>
                    <c:layout>
                      <c:manualLayout>
                        <c:x val="-3.6079809368762372E-2"/>
                        <c:y val="2.8145204419980342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BD90-4A6D-9CF8-A1D80EA07D3D}"/>
                      </c:ext>
                    </c:extLst>
                  </c15:dLbl>
                </c15:categoryFilterException>
                <c15:categoryFilterException>
                  <c15:sqref>'курс 2022-2023 v2'!$M$17</c15:sqref>
                  <c15:dLbl>
                    <c:idx val="-1"/>
                    <c:layout>
                      <c:manualLayout>
                        <c:x val="-5.8945779167573348E-2"/>
                        <c:y val="-3.4550720344909941E-2"/>
                      </c:manualLayout>
                    </c:layout>
                    <c:dLblPos val="r"/>
                    <c:showLegendKey val="0"/>
                    <c:showVal val="1"/>
                    <c:showCatName val="0"/>
                    <c:showSerName val="0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2-BD90-4A6D-9CF8-A1D80EA07D3D}"/>
                      </c:ext>
                    </c:extLst>
                  </c15:dLbl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0F-D76E-45B4-B419-22E6A1AF22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6445312"/>
        <c:axId val="516452528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'курс 2022-2023 v2'!$A$16</c15:sqref>
                        </c15:formulaRef>
                      </c:ext>
                    </c:extLst>
                    <c:strCache>
                      <c:ptCount val="1"/>
                      <c:pt idx="0">
                        <c:v>Сценарий А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0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0-D76E-45B4-B419-22E6A1AF2283}"/>
                      </c:ext>
                    </c:extLst>
                  </c:dLbl>
                  <c:dLbl>
                    <c:idx val="2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1-D76E-45B4-B419-22E6A1AF2283}"/>
                      </c:ext>
                    </c:extLst>
                  </c:dLbl>
                  <c:dLbl>
                    <c:idx val="4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2-D76E-45B4-B419-22E6A1AF2283}"/>
                      </c:ext>
                    </c:extLst>
                  </c:dLbl>
                  <c:dLbl>
                    <c:idx val="6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3-D76E-45B4-B419-22E6A1AF2283}"/>
                      </c:ext>
                    </c:extLst>
                  </c:dLbl>
                  <c:dLbl>
                    <c:idx val="9"/>
                    <c:delete val="1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14-D76E-45B4-B419-22E6A1AF2283}"/>
                      </c:ext>
                    </c:extLst>
                  </c:dLbl>
                  <c:spPr>
                    <a:solidFill>
                      <a:schemeClr val="bg1"/>
                    </a:solidFill>
                    <a:ln w="12700">
                      <a:solidFill>
                        <a:schemeClr val="accent5"/>
                      </a:solidFill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400" b="1" i="0" u="none" strike="noStrike" kern="1200" baseline="0">
                          <a:solidFill>
                            <a:schemeClr val="accent5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b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>
                      <c:ext uri="{02D57815-91ED-43cb-92C2-25804820EDAC}">
                        <c15:fullRef>
                          <c15:sqref>'курс 2022-2023 v2'!$B$2:$M$2</c15:sqref>
                        </c15:fullRef>
                        <c15:formulaRef>
                          <c15:sqref/>
                        </c15:formulaRef>
                      </c:ext>
                    </c:extLst>
                    <c:numCache>
                      <c:formatCode>General</c:formatCode>
                      <c:ptCount val="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'курс 2022-2023 v2'!$B$16:$Y$16</c15:sqref>
                        </c15:fullRef>
                        <c15:formulaRef>
                          <c15:sqref>'курс 2022-2023 v2'!$N$16:$Y$16</c15:sqref>
                        </c15:formulaRef>
                      </c:ext>
                    </c:extLst>
                    <c:numCache>
                      <c:formatCode>0.00</c:formatCode>
                      <c:ptCount val="12"/>
                      <c:pt idx="0">
                        <c:v>31.670651612903228</c:v>
                      </c:pt>
                      <c:pt idx="1">
                        <c:v>32.269153571428575</c:v>
                      </c:pt>
                      <c:pt idx="2">
                        <c:v>32.8957870967742</c:v>
                      </c:pt>
                      <c:pt idx="3">
                        <c:v>31.769940000000005</c:v>
                      </c:pt>
                      <c:pt idx="4">
                        <c:v>30.883816129032269</c:v>
                      </c:pt>
                      <c:pt idx="5">
                        <c:v>38.332674000000004</c:v>
                      </c:pt>
                      <c:pt idx="6">
                        <c:v>37.367226000000002</c:v>
                      </c:pt>
                      <c:pt idx="7">
                        <c:v>41.292000000000002</c:v>
                      </c:pt>
                      <c:pt idx="8">
                        <c:v>39.468123360413529</c:v>
                      </c:pt>
                      <c:pt idx="9">
                        <c:v>40.890030840103378</c:v>
                      </c:pt>
                      <c:pt idx="10">
                        <c:v>40.630538550129231</c:v>
                      </c:pt>
                      <c:pt idx="11">
                        <c:v>40.570173187661531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15-D76E-45B4-B419-22E6A1AF2283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'курс 2022-2023 v2'!$A$8</c15:sqref>
                        </c15:formulaRef>
                      </c:ext>
                    </c:extLst>
                    <c:strCache>
                      <c:ptCount val="1"/>
                      <c:pt idx="0">
                        <c:v>Заливка верхний предел уверенности</c:v>
                      </c:pt>
                    </c:strCache>
                  </c:strRef>
                </c:tx>
                <c:spPr>
                  <a:ln w="2540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xmlns:c15="http://schemas.microsoft.com/office/drawing/2012/chart" uri="{02D57815-91ED-43cb-92C2-25804820EDAC}">
                        <c15:fullRef>
                          <c15:sqref>'курс 2022-2023 v2'!$B$9:$Y$9</c15:sqref>
                        </c15:fullRef>
                        <c15:formulaRef>
                          <c15:sqref>'курс 2022-2023 v2'!$N$9:$Y$9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 formatCode="0.0">
                        <c:v>0</c:v>
                      </c:pt>
                      <c:pt idx="1" formatCode="0.0">
                        <c:v>0</c:v>
                      </c:pt>
                      <c:pt idx="2" formatCode="0.0">
                        <c:v>0</c:v>
                      </c:pt>
                      <c:pt idx="3" formatCode="0.0">
                        <c:v>0</c:v>
                      </c:pt>
                      <c:pt idx="4" formatCode="0.0">
                        <c:v>0</c:v>
                      </c:pt>
                      <c:pt idx="5" formatCode="0.0">
                        <c:v>0</c:v>
                      </c:pt>
                      <c:pt idx="6" formatCode="0.0">
                        <c:v>0.25766930250689057</c:v>
                      </c:pt>
                      <c:pt idx="7" formatCode="0.0">
                        <c:v>-3.2075315883181403</c:v>
                      </c:pt>
                      <c:pt idx="8" formatCode="0.0">
                        <c:v>-3.0143088564366494</c:v>
                      </c:pt>
                      <c:pt idx="9" formatCode="0.0">
                        <c:v>-2.9007627500808155</c:v>
                      </c:pt>
                      <c:pt idx="10" formatCode="0.0">
                        <c:v>-2.3671079961871015</c:v>
                      </c:pt>
                      <c:pt idx="11" formatCode="0.0">
                        <c:v>-1.4248040113882254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76E-45B4-B419-22E6A1AF2283}"/>
                  </c:ext>
                </c:extLst>
              </c15:ser>
            </c15:filteredLineSeries>
          </c:ext>
        </c:extLst>
      </c:lineChart>
      <c:catAx>
        <c:axId val="51643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1200" b="1" i="0" u="none" strike="noStrike" kern="1200" baseline="0">
                <a:solidFill>
                  <a:schemeClr val="tx1"/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endParaRPr lang="en-US"/>
          </a:p>
        </c:txPr>
        <c:crossAx val="516436128"/>
        <c:crosses val="autoZero"/>
        <c:auto val="1"/>
        <c:lblAlgn val="ctr"/>
        <c:lblOffset val="100"/>
        <c:noMultiLvlLbl val="0"/>
      </c:catAx>
      <c:valAx>
        <c:axId val="516436128"/>
        <c:scaling>
          <c:orientation val="minMax"/>
          <c:max val="5000"/>
        </c:scaling>
        <c:delete val="0"/>
        <c:axPos val="l"/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/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endParaRPr lang="en-US"/>
          </a:p>
        </c:txPr>
        <c:crossAx val="516438752"/>
        <c:crosses val="autoZero"/>
        <c:crossBetween val="between"/>
      </c:valAx>
      <c:valAx>
        <c:axId val="516452528"/>
        <c:scaling>
          <c:orientation val="minMax"/>
          <c:min val="15"/>
        </c:scaling>
        <c:delete val="0"/>
        <c:axPos val="r"/>
        <c:numFmt formatCode="0.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accent1"/>
                </a:solidFill>
                <a:latin typeface="Montserrat" panose="00000500000000000000" pitchFamily="2" charset="-52"/>
                <a:ea typeface="+mn-ea"/>
                <a:cs typeface="+mn-cs"/>
              </a:defRPr>
            </a:pPr>
            <a:endParaRPr lang="en-US"/>
          </a:p>
        </c:txPr>
        <c:crossAx val="516445312"/>
        <c:crosses val="max"/>
        <c:crossBetween val="between"/>
      </c:valAx>
      <c:catAx>
        <c:axId val="5164453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16452528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t"/>
      <c:legendEntry>
        <c:idx val="2"/>
        <c:delete val="1"/>
      </c:legendEntry>
      <c:layout>
        <c:manualLayout>
          <c:xMode val="edge"/>
          <c:yMode val="edge"/>
          <c:x val="0"/>
          <c:y val="0.13272727272727275"/>
          <c:w val="0.99682857964146498"/>
          <c:h val="4.5332280173442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/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/>
  <sheetViews>
    <sheetView zoomScale="101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/>
  <sheetViews>
    <sheetView zoomScale="108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600-000000000000}">
  <sheetPr/>
  <sheetViews>
    <sheetView zoomScale="108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image" Target="../media/image3.png"/><Relationship Id="rId26" Type="http://schemas.openxmlformats.org/officeDocument/2006/relationships/image" Target="../media/image8.svg"/><Relationship Id="rId39" Type="http://schemas.openxmlformats.org/officeDocument/2006/relationships/image" Target="../media/image21.png"/><Relationship Id="rId21" Type="http://schemas.openxmlformats.org/officeDocument/2006/relationships/chart" Target="../charts/chart17.xml"/><Relationship Id="rId34" Type="http://schemas.openxmlformats.org/officeDocument/2006/relationships/image" Target="../media/image16.svg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image" Target="../media/image2.svg"/><Relationship Id="rId25" Type="http://schemas.openxmlformats.org/officeDocument/2006/relationships/image" Target="../media/image7.png"/><Relationship Id="rId33" Type="http://schemas.openxmlformats.org/officeDocument/2006/relationships/image" Target="../media/image15.png"/><Relationship Id="rId38" Type="http://schemas.openxmlformats.org/officeDocument/2006/relationships/image" Target="../media/image20.svg"/><Relationship Id="rId2" Type="http://schemas.openxmlformats.org/officeDocument/2006/relationships/chart" Target="../charts/chart2.xml"/><Relationship Id="rId16" Type="http://schemas.openxmlformats.org/officeDocument/2006/relationships/image" Target="../media/image1.png"/><Relationship Id="rId20" Type="http://schemas.openxmlformats.org/officeDocument/2006/relationships/chart" Target="../charts/chart16.xml"/><Relationship Id="rId29" Type="http://schemas.openxmlformats.org/officeDocument/2006/relationships/image" Target="../media/image11.png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image" Target="../media/image6.svg"/><Relationship Id="rId32" Type="http://schemas.openxmlformats.org/officeDocument/2006/relationships/image" Target="../media/image14.svg"/><Relationship Id="rId37" Type="http://schemas.openxmlformats.org/officeDocument/2006/relationships/image" Target="../media/image19.png"/><Relationship Id="rId40" Type="http://schemas.openxmlformats.org/officeDocument/2006/relationships/image" Target="../media/image22.svg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image" Target="../media/image5.png"/><Relationship Id="rId28" Type="http://schemas.openxmlformats.org/officeDocument/2006/relationships/image" Target="../media/image10.svg"/><Relationship Id="rId36" Type="http://schemas.openxmlformats.org/officeDocument/2006/relationships/image" Target="../media/image18.svg"/><Relationship Id="rId10" Type="http://schemas.openxmlformats.org/officeDocument/2006/relationships/chart" Target="../charts/chart10.xml"/><Relationship Id="rId19" Type="http://schemas.openxmlformats.org/officeDocument/2006/relationships/image" Target="../media/image4.svg"/><Relationship Id="rId31" Type="http://schemas.openxmlformats.org/officeDocument/2006/relationships/image" Target="../media/image13.png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18.xml"/><Relationship Id="rId27" Type="http://schemas.openxmlformats.org/officeDocument/2006/relationships/image" Target="../media/image9.png"/><Relationship Id="rId30" Type="http://schemas.openxmlformats.org/officeDocument/2006/relationships/image" Target="../media/image12.svg"/><Relationship Id="rId35" Type="http://schemas.openxmlformats.org/officeDocument/2006/relationships/image" Target="../media/image17.png"/><Relationship Id="rId8" Type="http://schemas.openxmlformats.org/officeDocument/2006/relationships/chart" Target="../charts/chart8.xml"/><Relationship Id="rId3" Type="http://schemas.openxmlformats.org/officeDocument/2006/relationships/chart" Target="../charts/chart3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21.xml"/><Relationship Id="rId7" Type="http://schemas.openxmlformats.org/officeDocument/2006/relationships/image" Target="../media/image24.svg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image" Target="../media/image23.png"/><Relationship Id="rId5" Type="http://schemas.openxmlformats.org/officeDocument/2006/relationships/chart" Target="../charts/chart23.xml"/><Relationship Id="rId4" Type="http://schemas.openxmlformats.org/officeDocument/2006/relationships/chart" Target="../charts/chart22.xml"/><Relationship Id="rId9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svg"/><Relationship Id="rId3" Type="http://schemas.openxmlformats.org/officeDocument/2006/relationships/image" Target="../media/image26.svg"/><Relationship Id="rId7" Type="http://schemas.openxmlformats.org/officeDocument/2006/relationships/image" Target="../media/image29.png"/><Relationship Id="rId2" Type="http://schemas.openxmlformats.org/officeDocument/2006/relationships/image" Target="../media/image25.png"/><Relationship Id="rId1" Type="http://schemas.openxmlformats.org/officeDocument/2006/relationships/chart" Target="../charts/chart26.xml"/><Relationship Id="rId6" Type="http://schemas.openxmlformats.org/officeDocument/2006/relationships/image" Target="../media/image28.svg"/><Relationship Id="rId5" Type="http://schemas.openxmlformats.org/officeDocument/2006/relationships/image" Target="../media/image27.png"/><Relationship Id="rId4" Type="http://schemas.openxmlformats.org/officeDocument/2006/relationships/chart" Target="../charts/chart27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11" Type="http://schemas.openxmlformats.org/officeDocument/2006/relationships/image" Target="../media/image32.svg"/><Relationship Id="rId5" Type="http://schemas.openxmlformats.org/officeDocument/2006/relationships/chart" Target="../charts/chart32.xml"/><Relationship Id="rId10" Type="http://schemas.openxmlformats.org/officeDocument/2006/relationships/image" Target="../media/image31.png"/><Relationship Id="rId4" Type="http://schemas.openxmlformats.org/officeDocument/2006/relationships/chart" Target="../charts/chart31.xml"/><Relationship Id="rId9" Type="http://schemas.openxmlformats.org/officeDocument/2006/relationships/chart" Target="../charts/chart3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chart" Target="../charts/chart43.xm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7.xml"/><Relationship Id="rId1" Type="http://schemas.openxmlformats.org/officeDocument/2006/relationships/chart" Target="../charts/chart56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5" Type="http://schemas.openxmlformats.org/officeDocument/2006/relationships/chart" Target="../charts/chart62.xml"/><Relationship Id="rId4" Type="http://schemas.openxmlformats.org/officeDocument/2006/relationships/chart" Target="../charts/chart61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87211" y="629051"/>
    <xdr:ext cx="4078800" cy="2664000"/>
    <xdr:graphicFrame macro="">
      <xdr:nvGraphicFramePr>
        <xdr:cNvPr id="9" name="Диаграмма 2">
          <a:extLst>
            <a:ext uri="{FF2B5EF4-FFF2-40B4-BE49-F238E27FC236}">
              <a16:creationId xmlns:a16="http://schemas.microsoft.com/office/drawing/2014/main" id="{5F0599D4-89DD-4D0E-B08E-FEDCF6EF0ED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0" y="19222681"/>
    <xdr:ext cx="8157600" cy="5328000"/>
    <xdr:graphicFrame macro="">
      <xdr:nvGraphicFramePr>
        <xdr:cNvPr id="10" name="Діаграма 9">
          <a:extLst>
            <a:ext uri="{FF2B5EF4-FFF2-40B4-BE49-F238E27FC236}">
              <a16:creationId xmlns:a16="http://schemas.microsoft.com/office/drawing/2014/main" id="{E67E9ECC-4AF4-4DF5-8742-125658B6C4BD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0" y="26138481"/>
    <xdr:ext cx="4078800" cy="2664000"/>
    <xdr:graphicFrame macro="">
      <xdr:nvGraphicFramePr>
        <xdr:cNvPr id="11" name="Діаграма 10">
          <a:extLst>
            <a:ext uri="{FF2B5EF4-FFF2-40B4-BE49-F238E27FC236}">
              <a16:creationId xmlns:a16="http://schemas.microsoft.com/office/drawing/2014/main" id="{CE6C31C0-46E1-4DA9-938F-B96AB964247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0" y="33372134"/>
    <xdr:ext cx="4078800" cy="2664000"/>
    <xdr:graphicFrame macro="">
      <xdr:nvGraphicFramePr>
        <xdr:cNvPr id="6" name="Диаграмма 2">
          <a:extLst>
            <a:ext uri="{FF2B5EF4-FFF2-40B4-BE49-F238E27FC236}">
              <a16:creationId xmlns:a16="http://schemas.microsoft.com/office/drawing/2014/main" id="{68AEA9EC-722A-4AFA-ACE2-E3BAC28C66C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  <xdr:absoluteAnchor>
    <xdr:pos x="0" y="44280209"/>
    <xdr:ext cx="8157600" cy="5328000"/>
    <xdr:graphicFrame macro="">
      <xdr:nvGraphicFramePr>
        <xdr:cNvPr id="7" name="Діаграма 6">
          <a:extLst>
            <a:ext uri="{FF2B5EF4-FFF2-40B4-BE49-F238E27FC236}">
              <a16:creationId xmlns:a16="http://schemas.microsoft.com/office/drawing/2014/main" id="{EB038A8A-58BC-4D9E-A9A2-51BE2EAADB4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0" y="51019427"/>
    <xdr:ext cx="4078800" cy="2664000"/>
    <xdr:graphicFrame macro="">
      <xdr:nvGraphicFramePr>
        <xdr:cNvPr id="8" name="Діаграма 7">
          <a:extLst>
            <a:ext uri="{FF2B5EF4-FFF2-40B4-BE49-F238E27FC236}">
              <a16:creationId xmlns:a16="http://schemas.microsoft.com/office/drawing/2014/main" id="{0B0A3286-C470-4404-B4FA-A6D79B2F2B7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11072874" y="54759464"/>
    <xdr:ext cx="4078800" cy="2664000"/>
    <xdr:graphicFrame macro="">
      <xdr:nvGraphicFramePr>
        <xdr:cNvPr id="13" name="Диаграмма 2">
          <a:extLst>
            <a:ext uri="{FF2B5EF4-FFF2-40B4-BE49-F238E27FC236}">
              <a16:creationId xmlns:a16="http://schemas.microsoft.com/office/drawing/2014/main" id="{658F6827-59F1-4B76-9F7E-18126BC76CE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twoCellAnchor>
    <xdr:from>
      <xdr:col>0</xdr:col>
      <xdr:colOff>0</xdr:colOff>
      <xdr:row>34</xdr:row>
      <xdr:rowOff>52551</xdr:rowOff>
    </xdr:from>
    <xdr:to>
      <xdr:col>4</xdr:col>
      <xdr:colOff>691444</xdr:colOff>
      <xdr:row>39</xdr:row>
      <xdr:rowOff>36085</xdr:rowOff>
    </xdr:to>
    <xdr:graphicFrame macro="">
      <xdr:nvGraphicFramePr>
        <xdr:cNvPr id="17" name="Діаграма 16">
          <a:extLst>
            <a:ext uri="{FF2B5EF4-FFF2-40B4-BE49-F238E27FC236}">
              <a16:creationId xmlns:a16="http://schemas.microsoft.com/office/drawing/2014/main" id="{D8C612B1-A676-4B96-B79F-2777404E3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21432</xdr:colOff>
      <xdr:row>38</xdr:row>
      <xdr:rowOff>210401</xdr:rowOff>
    </xdr:from>
    <xdr:to>
      <xdr:col>4</xdr:col>
      <xdr:colOff>694541</xdr:colOff>
      <xdr:row>43</xdr:row>
      <xdr:rowOff>215198</xdr:rowOff>
    </xdr:to>
    <xdr:graphicFrame macro="">
      <xdr:nvGraphicFramePr>
        <xdr:cNvPr id="18" name="Діаграма 17">
          <a:extLst>
            <a:ext uri="{FF2B5EF4-FFF2-40B4-BE49-F238E27FC236}">
              <a16:creationId xmlns:a16="http://schemas.microsoft.com/office/drawing/2014/main" id="{4AA0A3F1-DDDA-4498-8D8A-9D9D158776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1191</xdr:colOff>
      <xdr:row>43</xdr:row>
      <xdr:rowOff>199054</xdr:rowOff>
    </xdr:from>
    <xdr:to>
      <xdr:col>4</xdr:col>
      <xdr:colOff>692635</xdr:colOff>
      <xdr:row>48</xdr:row>
      <xdr:rowOff>203852</xdr:rowOff>
    </xdr:to>
    <xdr:graphicFrame macro="">
      <xdr:nvGraphicFramePr>
        <xdr:cNvPr id="19" name="Діаграма 18">
          <a:extLst>
            <a:ext uri="{FF2B5EF4-FFF2-40B4-BE49-F238E27FC236}">
              <a16:creationId xmlns:a16="http://schemas.microsoft.com/office/drawing/2014/main" id="{58A5C5CA-21D8-4525-AB66-D4C429AA4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absoluteAnchor>
    <xdr:pos x="0" y="12313676"/>
    <xdr:ext cx="4078800" cy="2664000"/>
    <xdr:graphicFrame macro="">
      <xdr:nvGraphicFramePr>
        <xdr:cNvPr id="20" name="Диаграмма 1">
          <a:extLst>
            <a:ext uri="{FF2B5EF4-FFF2-40B4-BE49-F238E27FC236}">
              <a16:creationId xmlns:a16="http://schemas.microsoft.com/office/drawing/2014/main" id="{C1A0A225-FC78-4A87-AFCC-24AF6BA1262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absoluteAnchor>
  <xdr:twoCellAnchor>
    <xdr:from>
      <xdr:col>0</xdr:col>
      <xdr:colOff>10510</xdr:colOff>
      <xdr:row>69</xdr:row>
      <xdr:rowOff>96892</xdr:rowOff>
    </xdr:from>
    <xdr:to>
      <xdr:col>4</xdr:col>
      <xdr:colOff>716817</xdr:colOff>
      <xdr:row>80</xdr:row>
      <xdr:rowOff>150435</xdr:rowOff>
    </xdr:to>
    <xdr:graphicFrame macro="">
      <xdr:nvGraphicFramePr>
        <xdr:cNvPr id="21" name="Діаграма 20">
          <a:extLst>
            <a:ext uri="{FF2B5EF4-FFF2-40B4-BE49-F238E27FC236}">
              <a16:creationId xmlns:a16="http://schemas.microsoft.com/office/drawing/2014/main" id="{43FEBF0A-1BFD-4AB9-AD2D-2E775AEA86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absoluteAnchor>
    <xdr:pos x="44823" y="36997927"/>
    <xdr:ext cx="4078800" cy="2664000"/>
    <xdr:graphicFrame macro="">
      <xdr:nvGraphicFramePr>
        <xdr:cNvPr id="22" name="Диаграмма 1">
          <a:extLst>
            <a:ext uri="{FF2B5EF4-FFF2-40B4-BE49-F238E27FC236}">
              <a16:creationId xmlns:a16="http://schemas.microsoft.com/office/drawing/2014/main" id="{77762FAD-CF7B-49FD-ACB2-8021B9B6247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absoluteAnchor>
  <xdr:twoCellAnchor>
    <xdr:from>
      <xdr:col>0</xdr:col>
      <xdr:colOff>0</xdr:colOff>
      <xdr:row>179</xdr:row>
      <xdr:rowOff>123825</xdr:rowOff>
    </xdr:from>
    <xdr:to>
      <xdr:col>4</xdr:col>
      <xdr:colOff>710511</xdr:colOff>
      <xdr:row>190</xdr:row>
      <xdr:rowOff>220765</xdr:rowOff>
    </xdr:to>
    <xdr:graphicFrame macro="">
      <xdr:nvGraphicFramePr>
        <xdr:cNvPr id="23" name="Діаграма 22">
          <a:extLst>
            <a:ext uri="{FF2B5EF4-FFF2-40B4-BE49-F238E27FC236}">
              <a16:creationId xmlns:a16="http://schemas.microsoft.com/office/drawing/2014/main" id="{C48CFCC7-8E3D-4152-BB57-C3D36A6C3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absoluteAnchor>
    <xdr:pos x="8127287" y="12990102"/>
    <xdr:ext cx="4716000" cy="2664000"/>
    <xdr:graphicFrame macro="">
      <xdr:nvGraphicFramePr>
        <xdr:cNvPr id="24" name="Диаграмма 1">
          <a:extLst>
            <a:ext uri="{FF2B5EF4-FFF2-40B4-BE49-F238E27FC236}">
              <a16:creationId xmlns:a16="http://schemas.microsoft.com/office/drawing/2014/main" id="{503BA0FE-E8B2-4B47-9D0B-62567FB6D81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absoluteAnchor>
  <xdr:twoCellAnchor editAs="oneCell">
    <xdr:from>
      <xdr:col>14</xdr:col>
      <xdr:colOff>0</xdr:colOff>
      <xdr:row>55</xdr:row>
      <xdr:rowOff>0</xdr:rowOff>
    </xdr:from>
    <xdr:to>
      <xdr:col>19</xdr:col>
      <xdr:colOff>523875</xdr:colOff>
      <xdr:row>66</xdr:row>
      <xdr:rowOff>133350</xdr:rowOff>
    </xdr:to>
    <xdr:pic>
      <xdr:nvPicPr>
        <xdr:cNvPr id="2" name="Графіка 1">
          <a:extLst>
            <a:ext uri="{FF2B5EF4-FFF2-40B4-BE49-F238E27FC236}">
              <a16:creationId xmlns:a16="http://schemas.microsoft.com/office/drawing/2014/main" id="{E318B689-29C5-48EC-BCE3-9ED14F483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>
          <a:fillRect/>
        </a:stretch>
      </xdr:blipFill>
      <xdr:spPr>
        <a:xfrm>
          <a:off x="11734800" y="8963025"/>
          <a:ext cx="4714875" cy="2667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72</xdr:row>
      <xdr:rowOff>0</xdr:rowOff>
    </xdr:from>
    <xdr:to>
      <xdr:col>15</xdr:col>
      <xdr:colOff>704850</xdr:colOff>
      <xdr:row>83</xdr:row>
      <xdr:rowOff>85725</xdr:rowOff>
    </xdr:to>
    <xdr:pic>
      <xdr:nvPicPr>
        <xdr:cNvPr id="4" name="Графіка 3">
          <a:extLst>
            <a:ext uri="{FF2B5EF4-FFF2-40B4-BE49-F238E27FC236}">
              <a16:creationId xmlns:a16="http://schemas.microsoft.com/office/drawing/2014/main" id="{CB723D9C-C3F7-4FC6-9E75-429236590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96DAC541-7B7A-43D3-8B79-37D633B846F1}">
              <asvg:svgBlip xmlns:asvg="http://schemas.microsoft.com/office/drawing/2016/SVG/main" r:embed="rId19"/>
            </a:ext>
          </a:extLst>
        </a:blip>
        <a:stretch>
          <a:fillRect/>
        </a:stretch>
      </xdr:blipFill>
      <xdr:spPr>
        <a:xfrm>
          <a:off x="9220200" y="12896850"/>
          <a:ext cx="4057650" cy="2609850"/>
        </a:xfrm>
        <a:prstGeom prst="rect">
          <a:avLst/>
        </a:prstGeom>
      </xdr:spPr>
    </xdr:pic>
    <xdr:clientData/>
  </xdr:twoCellAnchor>
  <xdr:absoluteAnchor>
    <xdr:pos x="0" y="54822587"/>
    <xdr:ext cx="4078800" cy="2664000"/>
    <xdr:graphicFrame macro="">
      <xdr:nvGraphicFramePr>
        <xdr:cNvPr id="35" name="Диаграмма 2">
          <a:extLst>
            <a:ext uri="{FF2B5EF4-FFF2-40B4-BE49-F238E27FC236}">
              <a16:creationId xmlns:a16="http://schemas.microsoft.com/office/drawing/2014/main" id="{7597564B-BCEF-4E08-B94A-40C11CE5C70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absoluteAnchor>
  <xdr:absoluteAnchor>
    <xdr:pos x="0" y="29785236"/>
    <xdr:ext cx="4078800" cy="2664000"/>
    <xdr:graphicFrame macro="">
      <xdr:nvGraphicFramePr>
        <xdr:cNvPr id="36" name="Диаграмма 2">
          <a:extLst>
            <a:ext uri="{FF2B5EF4-FFF2-40B4-BE49-F238E27FC236}">
              <a16:creationId xmlns:a16="http://schemas.microsoft.com/office/drawing/2014/main" id="{A37FFA68-6625-436D-ACBE-82A3B4AE32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absoluteAnchor>
  <xdr:twoCellAnchor>
    <xdr:from>
      <xdr:col>0</xdr:col>
      <xdr:colOff>0</xdr:colOff>
      <xdr:row>18</xdr:row>
      <xdr:rowOff>61876</xdr:rowOff>
    </xdr:from>
    <xdr:to>
      <xdr:col>4</xdr:col>
      <xdr:colOff>732626</xdr:colOff>
      <xdr:row>29</xdr:row>
      <xdr:rowOff>133906</xdr:rowOff>
    </xdr:to>
    <xdr:graphicFrame macro="">
      <xdr:nvGraphicFramePr>
        <xdr:cNvPr id="37" name="Діаграма 36">
          <a:extLst>
            <a:ext uri="{FF2B5EF4-FFF2-40B4-BE49-F238E27FC236}">
              <a16:creationId xmlns:a16="http://schemas.microsoft.com/office/drawing/2014/main" id="{101B7F40-4FB0-47C7-856A-512B1BDE55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 editAs="oneCell">
    <xdr:from>
      <xdr:col>12</xdr:col>
      <xdr:colOff>0</xdr:colOff>
      <xdr:row>8</xdr:row>
      <xdr:rowOff>0</xdr:rowOff>
    </xdr:from>
    <xdr:to>
      <xdr:col>16</xdr:col>
      <xdr:colOff>714935</xdr:colOff>
      <xdr:row>19</xdr:row>
      <xdr:rowOff>190500</xdr:rowOff>
    </xdr:to>
    <xdr:pic>
      <xdr:nvPicPr>
        <xdr:cNvPr id="3" name="Графіка 2">
          <a:extLst>
            <a:ext uri="{FF2B5EF4-FFF2-40B4-BE49-F238E27FC236}">
              <a16:creationId xmlns:a16="http://schemas.microsoft.com/office/drawing/2014/main" id="{7035B7B0-1EC1-4A61-B681-36899E82E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10085294" y="1826559"/>
          <a:ext cx="4076700" cy="2667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15</xdr:col>
      <xdr:colOff>733985</xdr:colOff>
      <xdr:row>33</xdr:row>
      <xdr:rowOff>115980</xdr:rowOff>
    </xdr:to>
    <xdr:pic>
      <xdr:nvPicPr>
        <xdr:cNvPr id="5" name="Графіка 4">
          <a:extLst>
            <a:ext uri="{FF2B5EF4-FFF2-40B4-BE49-F238E27FC236}">
              <a16:creationId xmlns:a16="http://schemas.microsoft.com/office/drawing/2014/main" id="{B5316480-973D-4CE0-9696-761C6A627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9244853" y="5009029"/>
          <a:ext cx="4095750" cy="258127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69</xdr:row>
      <xdr:rowOff>0</xdr:rowOff>
    </xdr:from>
    <xdr:to>
      <xdr:col>22</xdr:col>
      <xdr:colOff>705410</xdr:colOff>
      <xdr:row>80</xdr:row>
      <xdr:rowOff>52107</xdr:rowOff>
    </xdr:to>
    <xdr:pic>
      <xdr:nvPicPr>
        <xdr:cNvPr id="14" name="Графіка 13">
          <a:extLst>
            <a:ext uri="{FF2B5EF4-FFF2-40B4-BE49-F238E27FC236}">
              <a16:creationId xmlns:a16="http://schemas.microsoft.com/office/drawing/2014/main" id="{B38E1253-7337-4B4A-A81B-ACB07BE60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96DAC541-7B7A-43D3-8B79-37D633B846F1}">
              <asvg:svgBlip xmlns:asvg="http://schemas.microsoft.com/office/drawing/2016/SVG/main" r:embed="rId28"/>
            </a:ext>
          </a:extLst>
        </a:blip>
        <a:stretch>
          <a:fillRect/>
        </a:stretch>
      </xdr:blipFill>
      <xdr:spPr>
        <a:xfrm>
          <a:off x="15127941" y="15587382"/>
          <a:ext cx="4067175" cy="256222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13</xdr:col>
      <xdr:colOff>714936</xdr:colOff>
      <xdr:row>130</xdr:row>
      <xdr:rowOff>201706</xdr:rowOff>
    </xdr:to>
    <xdr:pic>
      <xdr:nvPicPr>
        <xdr:cNvPr id="15" name="Графіка 14">
          <a:extLst>
            <a:ext uri="{FF2B5EF4-FFF2-40B4-BE49-F238E27FC236}">
              <a16:creationId xmlns:a16="http://schemas.microsoft.com/office/drawing/2014/main" id="{E81B393C-8A9E-4A91-B0D0-B994BA6A0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96DAC541-7B7A-43D3-8B79-37D633B846F1}">
              <asvg:svgBlip xmlns:asvg="http://schemas.microsoft.com/office/drawing/2016/SVG/main" r:embed="rId30"/>
            </a:ext>
          </a:extLst>
        </a:blip>
        <a:stretch>
          <a:fillRect/>
        </a:stretch>
      </xdr:blipFill>
      <xdr:spPr>
        <a:xfrm>
          <a:off x="7563971" y="26905324"/>
          <a:ext cx="4076700" cy="2667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135</xdr:row>
      <xdr:rowOff>0</xdr:rowOff>
    </xdr:from>
    <xdr:to>
      <xdr:col>16</xdr:col>
      <xdr:colOff>714935</xdr:colOff>
      <xdr:row>146</xdr:row>
      <xdr:rowOff>201706</xdr:rowOff>
    </xdr:to>
    <xdr:pic>
      <xdr:nvPicPr>
        <xdr:cNvPr id="16" name="Графіка 15">
          <a:extLst>
            <a:ext uri="{FF2B5EF4-FFF2-40B4-BE49-F238E27FC236}">
              <a16:creationId xmlns:a16="http://schemas.microsoft.com/office/drawing/2014/main" id="{0CF8789C-885E-48B7-AF5B-E2862DEFD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96DAC541-7B7A-43D3-8B79-37D633B846F1}">
              <asvg:svgBlip xmlns:asvg="http://schemas.microsoft.com/office/drawing/2016/SVG/main" r:embed="rId32"/>
            </a:ext>
          </a:extLst>
        </a:blip>
        <a:stretch>
          <a:fillRect/>
        </a:stretch>
      </xdr:blipFill>
      <xdr:spPr>
        <a:xfrm>
          <a:off x="10085294" y="30524824"/>
          <a:ext cx="4076700" cy="2667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149</xdr:row>
      <xdr:rowOff>0</xdr:rowOff>
    </xdr:from>
    <xdr:to>
      <xdr:col>17</xdr:col>
      <xdr:colOff>714935</xdr:colOff>
      <xdr:row>160</xdr:row>
      <xdr:rowOff>180975</xdr:rowOff>
    </xdr:to>
    <xdr:pic>
      <xdr:nvPicPr>
        <xdr:cNvPr id="25" name="Графіка 24">
          <a:extLst>
            <a:ext uri="{FF2B5EF4-FFF2-40B4-BE49-F238E27FC236}">
              <a16:creationId xmlns:a16="http://schemas.microsoft.com/office/drawing/2014/main" id="{961E40ED-0437-41D6-977E-72ABEE315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96DAC541-7B7A-43D3-8B79-37D633B846F1}">
              <asvg:svgBlip xmlns:asvg="http://schemas.microsoft.com/office/drawing/2016/SVG/main" r:embed="rId34"/>
            </a:ext>
          </a:extLst>
        </a:blip>
        <a:stretch>
          <a:fillRect/>
        </a:stretch>
      </xdr:blipFill>
      <xdr:spPr>
        <a:xfrm>
          <a:off x="10925735" y="33684882"/>
          <a:ext cx="4076700" cy="26574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167</xdr:row>
      <xdr:rowOff>0</xdr:rowOff>
    </xdr:from>
    <xdr:to>
      <xdr:col>16</xdr:col>
      <xdr:colOff>724460</xdr:colOff>
      <xdr:row>178</xdr:row>
      <xdr:rowOff>201705</xdr:rowOff>
    </xdr:to>
    <xdr:pic>
      <xdr:nvPicPr>
        <xdr:cNvPr id="26" name="Графіка 25">
          <a:extLst>
            <a:ext uri="{FF2B5EF4-FFF2-40B4-BE49-F238E27FC236}">
              <a16:creationId xmlns:a16="http://schemas.microsoft.com/office/drawing/2014/main" id="{DB236198-A4B4-4BDA-80CA-69473905D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96DAC541-7B7A-43D3-8B79-37D633B846F1}">
              <asvg:svgBlip xmlns:asvg="http://schemas.microsoft.com/office/drawing/2016/SVG/main" r:embed="rId36"/>
            </a:ext>
          </a:extLst>
        </a:blip>
        <a:stretch>
          <a:fillRect/>
        </a:stretch>
      </xdr:blipFill>
      <xdr:spPr>
        <a:xfrm>
          <a:off x="10085294" y="37775029"/>
          <a:ext cx="4086225" cy="2667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184</xdr:row>
      <xdr:rowOff>0</xdr:rowOff>
    </xdr:from>
    <xdr:to>
      <xdr:col>17</xdr:col>
      <xdr:colOff>714935</xdr:colOff>
      <xdr:row>195</xdr:row>
      <xdr:rowOff>144556</xdr:rowOff>
    </xdr:to>
    <xdr:pic>
      <xdr:nvPicPr>
        <xdr:cNvPr id="27" name="Графіка 26">
          <a:extLst>
            <a:ext uri="{FF2B5EF4-FFF2-40B4-BE49-F238E27FC236}">
              <a16:creationId xmlns:a16="http://schemas.microsoft.com/office/drawing/2014/main" id="{6824FA05-8A5D-4D22-BD90-A34619A5A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96DAC541-7B7A-43D3-8B79-37D633B846F1}">
              <asvg:svgBlip xmlns:asvg="http://schemas.microsoft.com/office/drawing/2016/SVG/main" r:embed="rId38"/>
            </a:ext>
          </a:extLst>
        </a:blip>
        <a:stretch>
          <a:fillRect/>
        </a:stretch>
      </xdr:blipFill>
      <xdr:spPr>
        <a:xfrm>
          <a:off x="10925735" y="41629853"/>
          <a:ext cx="4076700" cy="260985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228</xdr:row>
      <xdr:rowOff>0</xdr:rowOff>
    </xdr:from>
    <xdr:to>
      <xdr:col>14</xdr:col>
      <xdr:colOff>714936</xdr:colOff>
      <xdr:row>239</xdr:row>
      <xdr:rowOff>201706</xdr:rowOff>
    </xdr:to>
    <xdr:pic>
      <xdr:nvPicPr>
        <xdr:cNvPr id="28" name="Графіка 27">
          <a:extLst>
            <a:ext uri="{FF2B5EF4-FFF2-40B4-BE49-F238E27FC236}">
              <a16:creationId xmlns:a16="http://schemas.microsoft.com/office/drawing/2014/main" id="{C20A8E0E-46AA-4BA8-B0FA-0220205F5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96DAC541-7B7A-43D3-8B79-37D633B846F1}">
              <asvg:svgBlip xmlns:asvg="http://schemas.microsoft.com/office/drawing/2016/SVG/main" r:embed="rId40"/>
            </a:ext>
          </a:extLst>
        </a:blip>
        <a:stretch>
          <a:fillRect/>
        </a:stretch>
      </xdr:blipFill>
      <xdr:spPr>
        <a:xfrm>
          <a:off x="8404412" y="51558265"/>
          <a:ext cx="4076700" cy="2667000"/>
        </a:xfrm>
        <a:prstGeom prst="rect">
          <a:avLst/>
        </a:prstGeom>
      </xdr:spPr>
    </xdr:pic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0.07159</cdr:x>
      <cdr:y>0.15612</cdr:y>
    </cdr:from>
    <cdr:to>
      <cdr:x>0.64446</cdr:x>
      <cdr:y>0.23807</cdr:y>
    </cdr:to>
    <cdr:sp macro="" textlink="Чарти!$K$7">
      <cdr:nvSpPr>
        <cdr:cNvPr id="2" name="TextBox 1"/>
        <cdr:cNvSpPr txBox="1"/>
      </cdr:nvSpPr>
      <cdr:spPr>
        <a:xfrm xmlns:a="http://schemas.openxmlformats.org/drawingml/2006/main">
          <a:off x="291994" y="415891"/>
          <a:ext cx="2336622" cy="21831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accent4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F4F3A370-1A67-4E5D-9D34-77388B740E77}" type="TxLink">
            <a:rPr lang="uk-UA" sz="700" b="1" i="0" u="none" strike="noStrike">
              <a:solidFill>
                <a:schemeClr val="accent4"/>
              </a:solidFill>
              <a:latin typeface="Montserrat"/>
            </a:rPr>
            <a:pPr algn="ctr"/>
            <a:t>Сальдо торгового баланса в 2023: -$38 млрд</a:t>
          </a:fld>
          <a:endParaRPr lang="ru-RU" sz="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0.77661</cdr:x>
      <cdr:y>0.80162</cdr:y>
    </cdr:from>
    <cdr:to>
      <cdr:x>1</cdr:x>
      <cdr:y>0.87314</cdr:y>
    </cdr:to>
    <cdr:sp macro="" textlink="Чарти!$L$7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444F5C1D-11D3-47E5-A522-0913BB9972B2}"/>
            </a:ext>
          </a:extLst>
        </cdr:cNvPr>
        <cdr:cNvSpPr txBox="1"/>
      </cdr:nvSpPr>
      <cdr:spPr>
        <a:xfrm xmlns:a="http://schemas.openxmlformats.org/drawingml/2006/main">
          <a:off x="3167637" y="2135516"/>
          <a:ext cx="911163" cy="1905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25C43043-5415-4DB2-90B9-5FD3D952B7BD}" type="TxLink">
            <a:rPr lang="en-US" sz="1000" b="0" i="0" u="none" strike="noStrike" baseline="0">
              <a:solidFill>
                <a:schemeClr val="accent4"/>
              </a:solidFill>
              <a:latin typeface="Montserrat"/>
            </a:rPr>
            <a:pPr/>
            <a:t>-$38 млрд</a:t>
          </a:fld>
          <a:endParaRPr lang="ru-RU" sz="1000" b="0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0.79012</cdr:x>
      <cdr:y>0.6191</cdr:y>
    </cdr:from>
    <cdr:to>
      <cdr:x>1</cdr:x>
      <cdr:y>0.69062</cdr:y>
    </cdr:to>
    <cdr:sp macro="" textlink="Чарти!$L$6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C48A24E1-8780-4E6E-AAD7-3E65BB497368}"/>
            </a:ext>
          </a:extLst>
        </cdr:cNvPr>
        <cdr:cNvSpPr txBox="1"/>
      </cdr:nvSpPr>
      <cdr:spPr>
        <a:xfrm xmlns:a="http://schemas.openxmlformats.org/drawingml/2006/main">
          <a:off x="3222741" y="1649282"/>
          <a:ext cx="856059" cy="1905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69EEBB2D-FE11-47E6-BDC4-D5BECEF732A8}" type="TxLink">
            <a:rPr lang="en-US" sz="1000" b="0" i="0" u="none" strike="noStrike" baseline="0">
              <a:solidFill>
                <a:schemeClr val="accent5"/>
              </a:solidFill>
              <a:latin typeface="Montserrat"/>
            </a:rPr>
            <a:pPr/>
            <a:t>$25 млрд</a:t>
          </a:fld>
          <a:endParaRPr lang="ru-RU" sz="10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0.79012</cdr:x>
      <cdr:y>0.47</cdr:y>
    </cdr:from>
    <cdr:to>
      <cdr:x>1</cdr:x>
      <cdr:y>0.54152</cdr:y>
    </cdr:to>
    <cdr:sp macro="" textlink="Чарти!$L$5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C3A15D0-BB76-40CC-99AB-6CAF26827E20}"/>
            </a:ext>
          </a:extLst>
        </cdr:cNvPr>
        <cdr:cNvSpPr txBox="1"/>
      </cdr:nvSpPr>
      <cdr:spPr>
        <a:xfrm xmlns:a="http://schemas.openxmlformats.org/drawingml/2006/main">
          <a:off x="3222741" y="1252080"/>
          <a:ext cx="856059" cy="1905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1820C6E8-FBF3-436B-A18D-0D53BEB6DC68}" type="TxLink">
            <a:rPr lang="en-US" sz="1000" b="0" i="0" u="none" strike="noStrike" baseline="0">
              <a:solidFill>
                <a:schemeClr val="accent1"/>
              </a:solidFill>
              <a:latin typeface="Montserrat"/>
            </a:rPr>
            <a:pPr/>
            <a:t>$16 млрд</a:t>
          </a:fld>
          <a:endParaRPr lang="ru-RU" sz="1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0.79012</cdr:x>
      <cdr:y>0.32217</cdr:y>
    </cdr:from>
    <cdr:to>
      <cdr:x>1</cdr:x>
      <cdr:y>0.39369</cdr:y>
    </cdr:to>
    <cdr:sp macro="" textlink="Чарти!$L$4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BC3A15D0-BB76-40CC-99AB-6CAF26827E20}"/>
            </a:ext>
          </a:extLst>
        </cdr:cNvPr>
        <cdr:cNvSpPr txBox="1"/>
      </cdr:nvSpPr>
      <cdr:spPr>
        <a:xfrm xmlns:a="http://schemas.openxmlformats.org/drawingml/2006/main">
          <a:off x="3222741" y="858261"/>
          <a:ext cx="856059" cy="1905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1EAC5BBD-A05D-439E-9943-8895B4CF58F5}" type="TxLink">
            <a:rPr lang="en-US" sz="1000" b="0" i="0" u="none" strike="noStrike" baseline="0">
              <a:solidFill>
                <a:schemeClr val="accent5"/>
              </a:solidFill>
              <a:latin typeface="Montserrat"/>
            </a:rPr>
            <a:pPr/>
            <a:t>$63 млрд</a:t>
          </a:fld>
          <a:endParaRPr lang="ru-RU" sz="10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0.79012</cdr:x>
      <cdr:y>0.18584</cdr:y>
    </cdr:from>
    <cdr:to>
      <cdr:x>1</cdr:x>
      <cdr:y>0.25736</cdr:y>
    </cdr:to>
    <cdr:sp macro="" textlink="Чарти!$L$3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C3A15D0-BB76-40CC-99AB-6CAF26827E20}"/>
            </a:ext>
          </a:extLst>
        </cdr:cNvPr>
        <cdr:cNvSpPr txBox="1"/>
      </cdr:nvSpPr>
      <cdr:spPr>
        <a:xfrm xmlns:a="http://schemas.openxmlformats.org/drawingml/2006/main">
          <a:off x="3222741" y="495078"/>
          <a:ext cx="856059" cy="1905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0CBFC128-52ED-4A80-B613-C3F4D22A3F27}" type="TxLink">
            <a:rPr lang="en-US" sz="1000" b="0" i="0" u="none" strike="noStrike" baseline="0">
              <a:solidFill>
                <a:schemeClr val="accent6"/>
              </a:solidFill>
              <a:latin typeface="Montserrat"/>
            </a:rPr>
            <a:pPr algn="l"/>
            <a:t>$34 млрд</a:t>
          </a:fld>
          <a:endParaRPr lang="ru-RU" sz="1000" b="0">
            <a:solidFill>
              <a:schemeClr val="accent6"/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0.04884</cdr:x>
      <cdr:y>0.78979</cdr:y>
    </cdr:from>
    <cdr:to>
      <cdr:x>0.66382</cdr:x>
      <cdr:y>0.86987</cdr:y>
    </cdr:to>
    <cdr:sp macro="" textlink="Чарти!$L$89">
      <cdr:nvSpPr>
        <cdr:cNvPr id="5" name="TextBox 4"/>
        <cdr:cNvSpPr txBox="1"/>
      </cdr:nvSpPr>
      <cdr:spPr>
        <a:xfrm xmlns:a="http://schemas.openxmlformats.org/drawingml/2006/main">
          <a:off x="398412" y="4208011"/>
          <a:ext cx="5016758" cy="42666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ts val="1200"/>
            </a:lnSpc>
          </a:pPr>
          <a:fld id="{9CF7A339-D2DE-45E5-AAE1-DB67A98D1DB0}" type="TxLink">
            <a:rPr lang="uk-UA" sz="1200" b="1" i="0" u="none" strike="noStrike">
              <a:solidFill>
                <a:schemeClr val="accent6"/>
              </a:solidFill>
              <a:latin typeface="Montserrat"/>
              <a:ea typeface="Tahoma" panose="020B0604030504040204" pitchFamily="34" charset="0"/>
              <a:cs typeface="Tahoma" panose="020B0604030504040204" pitchFamily="34" charset="0"/>
            </a:rPr>
            <a:pPr algn="l">
              <a:lnSpc>
                <a:spcPts val="1200"/>
              </a:lnSpc>
            </a:pPr>
            <a:t>Итого: +$12,0 млрд, из них за счет государственных привлечений +$28,4 млрд (+$40,0 млрд с учетом грантов)</a:t>
          </a:fld>
          <a:endParaRPr lang="uk-UA" sz="1400" b="1">
            <a:solidFill>
              <a:schemeClr val="accent6"/>
            </a:solidFill>
            <a:latin typeface="+mn-lt"/>
            <a:ea typeface="Tahoma" panose="020B0604030504040204" pitchFamily="34" charset="0"/>
            <a:cs typeface="Tahoma" panose="020B0604030504040204" pitchFamily="34" charset="0"/>
          </a:endParaRP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0.06577</cdr:x>
      <cdr:y>0.18661</cdr:y>
    </cdr:from>
    <cdr:to>
      <cdr:x>0.63864</cdr:x>
      <cdr:y>0.26856</cdr:y>
    </cdr:to>
    <cdr:sp macro="" textlink="Чарти!$K$152">
      <cdr:nvSpPr>
        <cdr:cNvPr id="2" name="TextBox 1"/>
        <cdr:cNvSpPr txBox="1"/>
      </cdr:nvSpPr>
      <cdr:spPr>
        <a:xfrm xmlns:a="http://schemas.openxmlformats.org/drawingml/2006/main">
          <a:off x="268273" y="497136"/>
          <a:ext cx="2336622" cy="218315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accent4"/>
          </a:solidFill>
        </a:ln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fld id="{0E0964AB-6294-4E28-B746-6AA0E0B28AB4}" type="TxLink">
            <a:rPr lang="uk-UA" sz="700" b="1" i="0" u="none" strike="noStrike">
              <a:solidFill>
                <a:schemeClr val="accent4"/>
              </a:solidFill>
              <a:latin typeface="Montserrat"/>
            </a:rPr>
            <a:pPr algn="ctr"/>
            <a:t>Сальдо торгового баланса в 2024: -$35 млрд</a:t>
          </a:fld>
          <a:endParaRPr lang="ru-RU" sz="1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0.75916</cdr:x>
      <cdr:y>0.80162</cdr:y>
    </cdr:from>
    <cdr:to>
      <cdr:x>1</cdr:x>
      <cdr:y>0.87792</cdr:y>
    </cdr:to>
    <cdr:sp macro="" textlink="Чарти!$L$152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444F5C1D-11D3-47E5-A522-0913BB9972B2}"/>
            </a:ext>
          </a:extLst>
        </cdr:cNvPr>
        <cdr:cNvSpPr txBox="1"/>
      </cdr:nvSpPr>
      <cdr:spPr>
        <a:xfrm xmlns:a="http://schemas.openxmlformats.org/drawingml/2006/main">
          <a:off x="3096453" y="2135516"/>
          <a:ext cx="982347" cy="203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954B732D-8C5D-4743-A8AD-2E28FE397AAC}" type="TxLink">
            <a:rPr lang="en-US" sz="1100" b="0" i="0" u="none" strike="noStrike" baseline="0">
              <a:solidFill>
                <a:schemeClr val="accent4"/>
              </a:solidFill>
              <a:latin typeface="Montserrat"/>
            </a:rPr>
            <a:pPr/>
            <a:t>-$35 млрд</a:t>
          </a:fld>
          <a:endParaRPr lang="ru-RU" sz="1000" b="0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0.76416</cdr:x>
      <cdr:y>0.6191</cdr:y>
    </cdr:from>
    <cdr:to>
      <cdr:x>1</cdr:x>
      <cdr:y>0.69199</cdr:y>
    </cdr:to>
    <cdr:sp macro="" textlink="Чарти!$L$151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C48A24E1-8780-4E6E-AAD7-3E65BB497368}"/>
            </a:ext>
          </a:extLst>
        </cdr:cNvPr>
        <cdr:cNvSpPr txBox="1"/>
      </cdr:nvSpPr>
      <cdr:spPr>
        <a:xfrm xmlns:a="http://schemas.openxmlformats.org/drawingml/2006/main">
          <a:off x="3116869" y="1649282"/>
          <a:ext cx="961931" cy="194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5AE7DBC2-3E7B-4D8B-846A-78E90BDE5872}" type="TxLink">
            <a:rPr lang="en-US" sz="1100" b="0" i="0" u="none" strike="noStrike" baseline="0">
              <a:solidFill>
                <a:schemeClr val="accent3"/>
              </a:solidFill>
              <a:latin typeface="Montserrat"/>
            </a:rPr>
            <a:pPr/>
            <a:t>$23 млрд</a:t>
          </a:fld>
          <a:endParaRPr lang="ru-RU" sz="1000" b="0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0.76416</cdr:x>
      <cdr:y>0.47</cdr:y>
    </cdr:from>
    <cdr:to>
      <cdr:x>1</cdr:x>
      <cdr:y>0.54289</cdr:y>
    </cdr:to>
    <cdr:sp macro="" textlink="Чарти!$L$150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C3A15D0-BB76-40CC-99AB-6CAF26827E20}"/>
            </a:ext>
          </a:extLst>
        </cdr:cNvPr>
        <cdr:cNvSpPr txBox="1"/>
      </cdr:nvSpPr>
      <cdr:spPr>
        <a:xfrm xmlns:a="http://schemas.openxmlformats.org/drawingml/2006/main">
          <a:off x="3116869" y="1252080"/>
          <a:ext cx="961931" cy="194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AF61807E-A526-4D4A-98DF-16CD6F7E74E4}" type="TxLink">
            <a:rPr lang="en-US" sz="1100" b="0" i="0" u="none" strike="noStrike" baseline="0">
              <a:solidFill>
                <a:schemeClr val="accent1"/>
              </a:solidFill>
              <a:latin typeface="Montserrat"/>
            </a:rPr>
            <a:pPr/>
            <a:t>$16 млрд</a:t>
          </a:fld>
          <a:endParaRPr lang="ru-RU" sz="1000" b="0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0.76416</cdr:x>
      <cdr:y>0.32217</cdr:y>
    </cdr:from>
    <cdr:to>
      <cdr:x>1</cdr:x>
      <cdr:y>0.39506</cdr:y>
    </cdr:to>
    <cdr:sp macro="" textlink="Чарти!$L$149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BC3A15D0-BB76-40CC-99AB-6CAF26827E20}"/>
            </a:ext>
          </a:extLst>
        </cdr:cNvPr>
        <cdr:cNvSpPr txBox="1"/>
      </cdr:nvSpPr>
      <cdr:spPr>
        <a:xfrm xmlns:a="http://schemas.openxmlformats.org/drawingml/2006/main">
          <a:off x="3116869" y="858261"/>
          <a:ext cx="961931" cy="194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88F1EBF4-F967-469F-85CE-10C3E2E2DF19}" type="TxLink">
            <a:rPr lang="en-US" sz="1100" b="0" i="0" u="none" strike="noStrike" baseline="0">
              <a:solidFill>
                <a:schemeClr val="accent5"/>
              </a:solidFill>
              <a:latin typeface="Montserrat"/>
            </a:rPr>
            <a:pPr/>
            <a:t>$65 млрд</a:t>
          </a:fld>
          <a:endParaRPr lang="ru-RU" sz="1000" b="0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0.76416</cdr:x>
      <cdr:y>0.18584</cdr:y>
    </cdr:from>
    <cdr:to>
      <cdr:x>1</cdr:x>
      <cdr:y>0.25873</cdr:y>
    </cdr:to>
    <cdr:sp macro="" textlink="Чарти!$L$148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C3A15D0-BB76-40CC-99AB-6CAF26827E20}"/>
            </a:ext>
          </a:extLst>
        </cdr:cNvPr>
        <cdr:cNvSpPr txBox="1"/>
      </cdr:nvSpPr>
      <cdr:spPr>
        <a:xfrm xmlns:a="http://schemas.openxmlformats.org/drawingml/2006/main">
          <a:off x="3116869" y="495078"/>
          <a:ext cx="961931" cy="19417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BC23271-2BDF-4F74-B35F-CC8B37E55CDB}" type="TxLink">
            <a:rPr lang="en-US" sz="1100" b="0" i="0" u="none" strike="noStrike" baseline="0">
              <a:solidFill>
                <a:schemeClr val="accent6"/>
              </a:solidFill>
              <a:latin typeface="Montserrat"/>
            </a:rPr>
            <a:pPr algn="l"/>
            <a:t>$37 млрд</a:t>
          </a:fld>
          <a:endParaRPr lang="ru-RU" sz="1000" b="0">
            <a:solidFill>
              <a:schemeClr val="accent6"/>
            </a:solidFill>
          </a:endParaRP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0.05087</cdr:x>
      <cdr:y>0.81311</cdr:y>
    </cdr:from>
    <cdr:to>
      <cdr:x>0.67011</cdr:x>
      <cdr:y>0.89319</cdr:y>
    </cdr:to>
    <cdr:sp macro="" textlink="Чарти!$L$199">
      <cdr:nvSpPr>
        <cdr:cNvPr id="5" name="TextBox 4"/>
        <cdr:cNvSpPr txBox="1"/>
      </cdr:nvSpPr>
      <cdr:spPr>
        <a:xfrm xmlns:a="http://schemas.openxmlformats.org/drawingml/2006/main">
          <a:off x="414976" y="4332250"/>
          <a:ext cx="5051545" cy="42666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ts val="1200"/>
            </a:lnSpc>
          </a:pPr>
          <a:fld id="{FE144D73-C9AF-47D8-AAB7-EAEB8791D6A4}" type="TxLink">
            <a:rPr lang="uk-UA" sz="1200" b="1" i="0" u="none" strike="noStrike">
              <a:solidFill>
                <a:schemeClr val="accent6"/>
              </a:solidFill>
              <a:latin typeface="Montserrat"/>
              <a:ea typeface="Tahoma" panose="020B0604030504040204" pitchFamily="34" charset="0"/>
              <a:cs typeface="Tahoma" panose="020B0604030504040204" pitchFamily="34" charset="0"/>
            </a:rPr>
            <a:pPr algn="l">
              <a:lnSpc>
                <a:spcPts val="1200"/>
              </a:lnSpc>
            </a:pPr>
            <a:t>Итого: +$12,9 млрд, из них за счет государственных привлечений +$24,9 млрд (+$37,9 млрд с учетом грантов)</a:t>
          </a:fld>
          <a:endParaRPr lang="uk-UA" sz="1600" b="1">
            <a:solidFill>
              <a:schemeClr val="accent6"/>
            </a:solidFill>
            <a:latin typeface="+mn-lt"/>
            <a:ea typeface="Tahoma" panose="020B0604030504040204" pitchFamily="34" charset="0"/>
            <a:cs typeface="Tahoma" panose="020B0604030504040204" pitchFamily="34" charset="0"/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0.77305</cdr:x>
      <cdr:y>0.33826</cdr:y>
    </cdr:from>
    <cdr:to>
      <cdr:x>1</cdr:x>
      <cdr:y>0.41452</cdr:y>
    </cdr:to>
    <cdr:sp macro="" textlink="'Готівкова валюта поза банками'!$N$10">
      <cdr:nvSpPr>
        <cdr:cNvPr id="2" name="TextBox 1"/>
        <cdr:cNvSpPr txBox="1"/>
      </cdr:nvSpPr>
      <cdr:spPr>
        <a:xfrm xmlns:a="http://schemas.openxmlformats.org/drawingml/2006/main">
          <a:off x="3153103" y="901125"/>
          <a:ext cx="925697" cy="203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D720CB1D-787C-4827-8709-B4F47249B9D0}" type="TxLink">
            <a:rPr lang="en-US" sz="1000" b="1" i="0" u="none" strike="noStrike">
              <a:solidFill>
                <a:srgbClr val="000000"/>
              </a:solidFill>
              <a:latin typeface="Montserrat"/>
            </a:rPr>
            <a:pPr/>
            <a:t>$5,1 млрд </a:t>
          </a:fld>
          <a:endParaRPr lang="uk-UA" sz="10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0.77047</cdr:x>
      <cdr:y>0.51974</cdr:y>
    </cdr:from>
    <cdr:to>
      <cdr:x>1</cdr:x>
      <cdr:y>0.60758</cdr:y>
    </cdr:to>
    <cdr:sp macro="" textlink="'Готівкова валюта поза банками'!$N$11">
      <cdr:nvSpPr>
        <cdr:cNvPr id="3" name="TextBox 1"/>
        <cdr:cNvSpPr txBox="1"/>
      </cdr:nvSpPr>
      <cdr:spPr>
        <a:xfrm xmlns:a="http://schemas.openxmlformats.org/drawingml/2006/main">
          <a:off x="3142593" y="1384587"/>
          <a:ext cx="936207" cy="234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7DDFC9FC-F784-4EDA-9B60-4DADDA70A499}" type="TxLink">
            <a:rPr lang="en-US" sz="1000" b="1" i="0" u="none" strike="noStrike">
              <a:solidFill>
                <a:schemeClr val="accent1"/>
              </a:solidFill>
              <a:latin typeface="Montserrat"/>
            </a:rPr>
            <a:pPr/>
            <a:t>$10,3 млрд </a:t>
          </a:fld>
          <a:endParaRPr lang="uk-UA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0.76789</cdr:x>
      <cdr:y>0.70615</cdr:y>
    </cdr:from>
    <cdr:to>
      <cdr:x>0.99827</cdr:x>
      <cdr:y>0.78315</cdr:y>
    </cdr:to>
    <cdr:sp macro="" textlink="'Готівкова валюта поза банками'!$N$12">
      <cdr:nvSpPr>
        <cdr:cNvPr id="4" name="TextBox 1"/>
        <cdr:cNvSpPr txBox="1"/>
      </cdr:nvSpPr>
      <cdr:spPr>
        <a:xfrm xmlns:a="http://schemas.openxmlformats.org/drawingml/2006/main">
          <a:off x="3132083" y="1881184"/>
          <a:ext cx="939662" cy="205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E43580AB-E616-48A1-A3BE-A31EFA30FB1B}" type="TxLink">
            <a:rPr lang="en-US" sz="1000" b="1" i="0" u="none" strike="noStrike">
              <a:solidFill>
                <a:schemeClr val="accent6"/>
              </a:solidFill>
              <a:latin typeface="Montserrat"/>
            </a:rPr>
            <a:pPr/>
            <a:t>$11,5 млрд </a:t>
          </a:fld>
          <a:endParaRPr lang="uk-UA" sz="1000" b="1">
            <a:solidFill>
              <a:schemeClr val="accent6"/>
            </a:solidFill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0.18029</cdr:x>
      <cdr:y>0.43978</cdr:y>
    </cdr:from>
    <cdr:to>
      <cdr:x>0.48702</cdr:x>
      <cdr:y>0.55419</cdr:y>
    </cdr:to>
    <cdr:sp macro="" textlink="'залучення кругові'!$F$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E8D5B48-A423-4334-B557-E13CB7D60F09}"/>
            </a:ext>
          </a:extLst>
        </cdr:cNvPr>
        <cdr:cNvSpPr txBox="1"/>
      </cdr:nvSpPr>
      <cdr:spPr>
        <a:xfrm xmlns:a="http://schemas.openxmlformats.org/drawingml/2006/main">
          <a:off x="733425" y="1171575"/>
          <a:ext cx="1247775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fld id="{A5056590-1596-4084-8B67-DD9EF99DADE1}" type="TxLink">
            <a:rPr lang="en-US" sz="1400" b="1" i="0" u="none" strike="noStrike">
              <a:solidFill>
                <a:srgbClr val="000000"/>
              </a:solidFill>
              <a:latin typeface="Montserrat"/>
            </a:rPr>
            <a:pPr algn="ctr"/>
            <a:t>48 млрд</a:t>
          </a:fld>
          <a:endParaRPr lang="uk-UA" sz="1400" b="1"/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0.77241</cdr:x>
      <cdr:y>0.3083</cdr:y>
    </cdr:from>
    <cdr:to>
      <cdr:x>1</cdr:x>
      <cdr:y>0.38993</cdr:y>
    </cdr:to>
    <cdr:sp macro="" textlink="'Готівкова валюта поза банками'!$N$11">
      <cdr:nvSpPr>
        <cdr:cNvPr id="3" name="TextBox 1"/>
        <cdr:cNvSpPr txBox="1"/>
      </cdr:nvSpPr>
      <cdr:spPr>
        <a:xfrm xmlns:a="http://schemas.openxmlformats.org/drawingml/2006/main">
          <a:off x="3150495" y="821311"/>
          <a:ext cx="928305" cy="21745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7DDFC9FC-F784-4EDA-9B60-4DADDA70A499}" type="TxLink">
            <a:rPr lang="en-US" sz="1000" b="1" i="0" u="none" strike="noStrike">
              <a:solidFill>
                <a:schemeClr val="accent1"/>
              </a:solidFill>
              <a:latin typeface="Montserrat"/>
            </a:rPr>
            <a:pPr/>
            <a:t>$10,3 млрд </a:t>
          </a:fld>
          <a:endParaRPr lang="uk-UA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0.77305</cdr:x>
      <cdr:y>0.82713</cdr:y>
    </cdr:from>
    <cdr:to>
      <cdr:x>1</cdr:x>
      <cdr:y>0.90368</cdr:y>
    </cdr:to>
    <cdr:sp macro="" textlink="'Готівкова валюта поза банками'!$N$12">
      <cdr:nvSpPr>
        <cdr:cNvPr id="4" name="TextBox 1"/>
        <cdr:cNvSpPr txBox="1"/>
      </cdr:nvSpPr>
      <cdr:spPr>
        <a:xfrm xmlns:a="http://schemas.openxmlformats.org/drawingml/2006/main">
          <a:off x="3153103" y="2203474"/>
          <a:ext cx="925697" cy="203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4A70A86A-4EFA-483C-9AE3-F19998CD5804}" type="TxLink">
            <a:rPr lang="en-US" sz="1000" b="1" i="0" u="none" strike="noStrike">
              <a:solidFill>
                <a:schemeClr val="accent3"/>
              </a:solidFill>
              <a:latin typeface="Montserrat"/>
            </a:rPr>
            <a:pPr/>
            <a:t>$11,5 млрд </a:t>
          </a:fld>
          <a:endParaRPr lang="uk-UA" sz="10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0.77305</cdr:x>
      <cdr:y>0.56865</cdr:y>
    </cdr:from>
    <cdr:to>
      <cdr:x>1</cdr:x>
      <cdr:y>0.6452</cdr:y>
    </cdr:to>
    <cdr:sp macro="" textlink="'Готівкова валюта поза банками'!$N$12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63DB9E0D-DCFB-43D8-AF47-ECA1175C03B9}"/>
            </a:ext>
          </a:extLst>
        </cdr:cNvPr>
        <cdr:cNvSpPr txBox="1"/>
      </cdr:nvSpPr>
      <cdr:spPr>
        <a:xfrm xmlns:a="http://schemas.openxmlformats.org/drawingml/2006/main">
          <a:off x="3153103" y="1514884"/>
          <a:ext cx="925697" cy="2039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263EEC24-5060-4FCF-B0CA-8B65C276CD3C}" type="TxLink">
            <a:rPr lang="en-US" sz="1000" b="1" i="0" u="none" strike="noStrike">
              <a:solidFill>
                <a:schemeClr val="accent6"/>
              </a:solidFill>
              <a:latin typeface="Montserrat"/>
            </a:rPr>
            <a:pPr/>
            <a:t>$11,5 млрд </a:t>
          </a:fld>
          <a:endParaRPr lang="uk-UA" sz="1000" b="1">
            <a:solidFill>
              <a:schemeClr val="accent6"/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0.18029</cdr:x>
      <cdr:y>0.43978</cdr:y>
    </cdr:from>
    <cdr:to>
      <cdr:x>0.48702</cdr:x>
      <cdr:y>0.55419</cdr:y>
    </cdr:to>
    <cdr:sp macro="" textlink="'залучення кругові'!$G$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E8D5B48-A423-4334-B557-E13CB7D60F09}"/>
            </a:ext>
          </a:extLst>
        </cdr:cNvPr>
        <cdr:cNvSpPr txBox="1"/>
      </cdr:nvSpPr>
      <cdr:spPr>
        <a:xfrm xmlns:a="http://schemas.openxmlformats.org/drawingml/2006/main">
          <a:off x="733425" y="1171575"/>
          <a:ext cx="1247775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fld id="{2D666700-CEE3-448A-A8A4-346F40ECE57B}" type="TxLink">
            <a:rPr lang="en-US" sz="1200" b="1" i="0" u="none" strike="noStrike">
              <a:solidFill>
                <a:srgbClr val="000000"/>
              </a:solidFill>
              <a:latin typeface="Montserrat"/>
            </a:rPr>
            <a:pPr algn="ctr"/>
            <a:t>48 млрд</a:t>
          </a:fld>
          <a:endParaRPr lang="uk-UA" sz="1600" b="1"/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0.77305</cdr:x>
      <cdr:y>0.33826</cdr:y>
    </cdr:from>
    <cdr:to>
      <cdr:x>1</cdr:x>
      <cdr:y>0.41452</cdr:y>
    </cdr:to>
    <cdr:sp macro="" textlink="'Готівкова валюта поза банками'!$N$10">
      <cdr:nvSpPr>
        <cdr:cNvPr id="2" name="TextBox 1"/>
        <cdr:cNvSpPr txBox="1"/>
      </cdr:nvSpPr>
      <cdr:spPr>
        <a:xfrm xmlns:a="http://schemas.openxmlformats.org/drawingml/2006/main">
          <a:off x="3153103" y="901125"/>
          <a:ext cx="925697" cy="20315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D720CB1D-787C-4827-8709-B4F47249B9D0}" type="TxLink">
            <a:rPr lang="en-US" sz="1000" b="1" i="0" u="none" strike="noStrike">
              <a:solidFill>
                <a:srgbClr val="000000"/>
              </a:solidFill>
              <a:latin typeface="Montserrat"/>
            </a:rPr>
            <a:pPr/>
            <a:t>$5,1 млрд </a:t>
          </a:fld>
          <a:endParaRPr lang="uk-UA" sz="10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0.77047</cdr:x>
      <cdr:y>0.51974</cdr:y>
    </cdr:from>
    <cdr:to>
      <cdr:x>1</cdr:x>
      <cdr:y>0.60758</cdr:y>
    </cdr:to>
    <cdr:sp macro="" textlink="'Готівкова валюта поза банками'!$N$11">
      <cdr:nvSpPr>
        <cdr:cNvPr id="3" name="TextBox 1"/>
        <cdr:cNvSpPr txBox="1"/>
      </cdr:nvSpPr>
      <cdr:spPr>
        <a:xfrm xmlns:a="http://schemas.openxmlformats.org/drawingml/2006/main">
          <a:off x="3142593" y="1384587"/>
          <a:ext cx="936207" cy="234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7DDFC9FC-F784-4EDA-9B60-4DADDA70A499}" type="TxLink">
            <a:rPr lang="en-US" sz="1000" b="1" i="0" u="none" strike="noStrike">
              <a:solidFill>
                <a:schemeClr val="accent1"/>
              </a:solidFill>
              <a:latin typeface="Montserrat"/>
            </a:rPr>
            <a:pPr/>
            <a:t>$10,3 млрд </a:t>
          </a:fld>
          <a:endParaRPr lang="uk-UA" sz="1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0.76789</cdr:x>
      <cdr:y>0.70615</cdr:y>
    </cdr:from>
    <cdr:to>
      <cdr:x>0.99827</cdr:x>
      <cdr:y>0.78315</cdr:y>
    </cdr:to>
    <cdr:sp macro="" textlink="'Готівкова валюта поза банками'!$N$12">
      <cdr:nvSpPr>
        <cdr:cNvPr id="4" name="TextBox 1"/>
        <cdr:cNvSpPr txBox="1"/>
      </cdr:nvSpPr>
      <cdr:spPr>
        <a:xfrm xmlns:a="http://schemas.openxmlformats.org/drawingml/2006/main">
          <a:off x="3132083" y="1881184"/>
          <a:ext cx="939662" cy="2051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E43580AB-E616-48A1-A3BE-A31EFA30FB1B}" type="TxLink">
            <a:rPr lang="en-US" sz="1000" b="1" i="0" u="none" strike="noStrike">
              <a:solidFill>
                <a:schemeClr val="accent6"/>
              </a:solidFill>
              <a:latin typeface="Montserrat"/>
            </a:rPr>
            <a:pPr/>
            <a:t>$11,5 млрд </a:t>
          </a:fld>
          <a:endParaRPr lang="uk-UA" sz="1000" b="1">
            <a:solidFill>
              <a:schemeClr val="accent6"/>
            </a:solidFill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0.78119</cdr:x>
      <cdr:y>0.78182</cdr:y>
    </cdr:from>
    <cdr:to>
      <cdr:x>1</cdr:x>
      <cdr:y>0.85688</cdr:y>
    </cdr:to>
    <cdr:sp macro="" textlink="фінрах!$AD$3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3CB5FB-63BA-4AB8-A12A-CACD4DE15FEF}"/>
            </a:ext>
          </a:extLst>
        </cdr:cNvPr>
        <cdr:cNvSpPr txBox="1"/>
      </cdr:nvSpPr>
      <cdr:spPr>
        <a:xfrm xmlns:a="http://schemas.openxmlformats.org/drawingml/2006/main">
          <a:off x="3185682" y="2046122"/>
          <a:ext cx="892310" cy="1964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879FA5C9-E90A-4A9C-A60D-912188CDC999}" type="TxLink">
            <a:rPr lang="en-US" sz="1000" b="0" i="0" u="none" strike="noStrike">
              <a:solidFill>
                <a:schemeClr val="accent4"/>
              </a:solidFill>
              <a:latin typeface="Montserrat"/>
            </a:rPr>
            <a:pPr/>
            <a:t>-$6,6 млрд</a:t>
          </a:fld>
          <a:endParaRPr lang="uk-UA" sz="1000" b="0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0.78119</cdr:x>
      <cdr:y>0.40935</cdr:y>
    </cdr:from>
    <cdr:to>
      <cdr:x>1</cdr:x>
      <cdr:y>0.48441</cdr:y>
    </cdr:to>
    <cdr:sp macro="" textlink="фінрах!$AD$34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7119188-8B9D-4168-ABA7-C264B7A11D94}"/>
            </a:ext>
          </a:extLst>
        </cdr:cNvPr>
        <cdr:cNvSpPr txBox="1"/>
      </cdr:nvSpPr>
      <cdr:spPr>
        <a:xfrm xmlns:a="http://schemas.openxmlformats.org/drawingml/2006/main">
          <a:off x="3185682" y="1071317"/>
          <a:ext cx="892310" cy="1964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2BB991A0-418C-4CF0-8837-E8BE58336244}" type="TxLink">
            <a:rPr lang="en-US" sz="1000" b="0" i="0" u="none" strike="noStrike">
              <a:solidFill>
                <a:srgbClr val="000000"/>
              </a:solidFill>
              <a:latin typeface="Montserrat"/>
            </a:rPr>
            <a:pPr/>
            <a:t>$4,7 млрд</a:t>
          </a:fld>
          <a:endParaRPr lang="uk-UA" sz="1000" b="0"/>
        </a:p>
      </cdr:txBody>
    </cdr:sp>
  </cdr:relSizeAnchor>
  <cdr:relSizeAnchor xmlns:cdr="http://schemas.openxmlformats.org/drawingml/2006/chartDrawing">
    <cdr:from>
      <cdr:x>0.78119</cdr:x>
      <cdr:y>0.59264</cdr:y>
    </cdr:from>
    <cdr:to>
      <cdr:x>1</cdr:x>
      <cdr:y>0.66771</cdr:y>
    </cdr:to>
    <cdr:sp macro="" textlink="фінрах!$AD$35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2119035-EA99-42AD-88F9-7F899BA2167D}"/>
            </a:ext>
          </a:extLst>
        </cdr:cNvPr>
        <cdr:cNvSpPr txBox="1"/>
      </cdr:nvSpPr>
      <cdr:spPr>
        <a:xfrm xmlns:a="http://schemas.openxmlformats.org/drawingml/2006/main">
          <a:off x="3185682" y="1551029"/>
          <a:ext cx="892310" cy="1964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A92AF919-747B-4CAE-9A27-4F7C51608696}" type="TxLink">
            <a:rPr lang="en-US" sz="1000" b="0" i="0" u="none" strike="noStrike">
              <a:solidFill>
                <a:schemeClr val="accent6"/>
              </a:solidFill>
              <a:latin typeface="Montserrat"/>
            </a:rPr>
            <a:pPr/>
            <a:t>-$2,5 млрд</a:t>
          </a:fld>
          <a:endParaRPr lang="uk-UA" sz="1000" b="0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0.78119</cdr:x>
      <cdr:y>0.22493</cdr:y>
    </cdr:from>
    <cdr:to>
      <cdr:x>1</cdr:x>
      <cdr:y>0.29999</cdr:y>
    </cdr:to>
    <cdr:sp macro="" textlink="фінрах!$AD$36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8098D550-D44B-4482-814B-A2A7CA258FF7}"/>
            </a:ext>
          </a:extLst>
        </cdr:cNvPr>
        <cdr:cNvSpPr txBox="1"/>
      </cdr:nvSpPr>
      <cdr:spPr>
        <a:xfrm xmlns:a="http://schemas.openxmlformats.org/drawingml/2006/main">
          <a:off x="3185682" y="588671"/>
          <a:ext cx="892310" cy="19644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DC5159EB-F488-4BF6-89E0-E46592FFEDBA}" type="TxLink">
            <a:rPr lang="en-US" sz="1000" b="0" i="0" u="none" strike="noStrike">
              <a:solidFill>
                <a:schemeClr val="accent1"/>
              </a:solidFill>
              <a:latin typeface="Montserrat"/>
            </a:rPr>
            <a:pPr/>
            <a:t>-$10,6 млрд</a:t>
          </a:fld>
          <a:endParaRPr lang="uk-UA" sz="1000" b="0">
            <a:solidFill>
              <a:schemeClr val="accent1"/>
            </a:solidFill>
          </a:endParaRPr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563210</xdr:colOff>
      <xdr:row>14</xdr:row>
      <xdr:rowOff>119874</xdr:rowOff>
    </xdr:from>
    <xdr:to>
      <xdr:col>5</xdr:col>
      <xdr:colOff>687682</xdr:colOff>
      <xdr:row>30</xdr:row>
      <xdr:rowOff>190579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DAB8371-634A-4F2D-91CD-A6800783B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96562</xdr:colOff>
      <xdr:row>13</xdr:row>
      <xdr:rowOff>45053</xdr:rowOff>
    </xdr:from>
    <xdr:to>
      <xdr:col>23</xdr:col>
      <xdr:colOff>835941</xdr:colOff>
      <xdr:row>30</xdr:row>
      <xdr:rowOff>36281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98C34AE-2009-425B-87AA-6D930E766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705840</xdr:colOff>
      <xdr:row>45</xdr:row>
      <xdr:rowOff>151410</xdr:rowOff>
    </xdr:from>
    <xdr:to>
      <xdr:col>5</xdr:col>
      <xdr:colOff>828167</xdr:colOff>
      <xdr:row>61</xdr:row>
      <xdr:rowOff>223864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A30DCBCA-D885-42E7-99B0-123B0283D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812809</xdr:colOff>
      <xdr:row>52</xdr:row>
      <xdr:rowOff>82386</xdr:rowOff>
    </xdr:from>
    <xdr:to>
      <xdr:col>23</xdr:col>
      <xdr:colOff>654612</xdr:colOff>
      <xdr:row>69</xdr:row>
      <xdr:rowOff>61793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31B9A129-ADDF-4563-BF7C-9BE23D9A2A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734786</xdr:colOff>
      <xdr:row>40</xdr:row>
      <xdr:rowOff>0</xdr:rowOff>
    </xdr:from>
    <xdr:to>
      <xdr:col>25</xdr:col>
      <xdr:colOff>734649</xdr:colOff>
      <xdr:row>56</xdr:row>
      <xdr:rowOff>72454</xdr:rowOff>
    </xdr:to>
    <xdr:graphicFrame macro="">
      <xdr:nvGraphicFramePr>
        <xdr:cNvPr id="6" name="Диаграмма 3">
          <a:extLst>
            <a:ext uri="{FF2B5EF4-FFF2-40B4-BE49-F238E27FC236}">
              <a16:creationId xmlns:a16="http://schemas.microsoft.com/office/drawing/2014/main" id="{A5660E5F-A4B6-4BBD-A8A9-6F9BA7463A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19</xdr:col>
      <xdr:colOff>762000</xdr:colOff>
      <xdr:row>43</xdr:row>
      <xdr:rowOff>108858</xdr:rowOff>
    </xdr:from>
    <xdr:to>
      <xdr:col>28</xdr:col>
      <xdr:colOff>760640</xdr:colOff>
      <xdr:row>59</xdr:row>
      <xdr:rowOff>179615</xdr:rowOff>
    </xdr:to>
    <xdr:pic>
      <xdr:nvPicPr>
        <xdr:cNvPr id="7" name="Графіка 6">
          <a:extLst>
            <a:ext uri="{FF2B5EF4-FFF2-40B4-BE49-F238E27FC236}">
              <a16:creationId xmlns:a16="http://schemas.microsoft.com/office/drawing/2014/main" id="{01D860F7-9DCE-4E73-9B0C-55D4C4B5B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8145125" y="10091058"/>
          <a:ext cx="7542440" cy="3728357"/>
        </a:xfrm>
        <a:prstGeom prst="rect">
          <a:avLst/>
        </a:prstGeom>
      </xdr:spPr>
    </xdr:pic>
    <xdr:clientData/>
  </xdr:twoCellAnchor>
  <xdr:twoCellAnchor>
    <xdr:from>
      <xdr:col>5</xdr:col>
      <xdr:colOff>666749</xdr:colOff>
      <xdr:row>13</xdr:row>
      <xdr:rowOff>176894</xdr:rowOff>
    </xdr:from>
    <xdr:to>
      <xdr:col>12</xdr:col>
      <xdr:colOff>562485</xdr:colOff>
      <xdr:row>30</xdr:row>
      <xdr:rowOff>168122</xdr:rowOff>
    </xdr:to>
    <xdr:graphicFrame macro="">
      <xdr:nvGraphicFramePr>
        <xdr:cNvPr id="8" name="Диаграмма 2">
          <a:extLst>
            <a:ext uri="{FF2B5EF4-FFF2-40B4-BE49-F238E27FC236}">
              <a16:creationId xmlns:a16="http://schemas.microsoft.com/office/drawing/2014/main" id="{928327F0-9DE2-4AD3-835C-23945508E1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5</xdr:col>
      <xdr:colOff>830035</xdr:colOff>
      <xdr:row>45</xdr:row>
      <xdr:rowOff>27214</xdr:rowOff>
    </xdr:from>
    <xdr:to>
      <xdr:col>12</xdr:col>
      <xdr:colOff>671838</xdr:colOff>
      <xdr:row>62</xdr:row>
      <xdr:rowOff>6621</xdr:rowOff>
    </xdr:to>
    <xdr:graphicFrame macro="">
      <xdr:nvGraphicFramePr>
        <xdr:cNvPr id="9" name="Диаграмма 4">
          <a:extLst>
            <a:ext uri="{FF2B5EF4-FFF2-40B4-BE49-F238E27FC236}">
              <a16:creationId xmlns:a16="http://schemas.microsoft.com/office/drawing/2014/main" id="{0FACC8E9-261A-4FED-A430-635A1BA61C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511714" y="2584168"/>
    <xdr:ext cx="6054437" cy="3452553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ECDB8BD6-55F8-4E00-B9C7-A8E834BCA91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twoCellAnchor editAs="oneCell">
    <xdr:from>
      <xdr:col>18</xdr:col>
      <xdr:colOff>289892</xdr:colOff>
      <xdr:row>2</xdr:row>
      <xdr:rowOff>207066</xdr:rowOff>
    </xdr:from>
    <xdr:to>
      <xdr:col>25</xdr:col>
      <xdr:colOff>477493</xdr:colOff>
      <xdr:row>18</xdr:row>
      <xdr:rowOff>10768</xdr:rowOff>
    </xdr:to>
    <xdr:pic>
      <xdr:nvPicPr>
        <xdr:cNvPr id="3" name="Графіка 2">
          <a:extLst>
            <a:ext uri="{FF2B5EF4-FFF2-40B4-BE49-F238E27FC236}">
              <a16:creationId xmlns:a16="http://schemas.microsoft.com/office/drawing/2014/main" id="{08811821-6CF4-4DFC-81A2-317106E20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8492167" y="997641"/>
          <a:ext cx="6055001" cy="3461302"/>
        </a:xfrm>
        <a:prstGeom prst="rect">
          <a:avLst/>
        </a:prstGeom>
      </xdr:spPr>
    </xdr:pic>
    <xdr:clientData/>
  </xdr:twoCellAnchor>
  <xdr:absoluteAnchor>
    <xdr:pos x="7485406" y="3478698"/>
    <xdr:ext cx="6054437" cy="3452553"/>
    <xdr:graphicFrame macro="">
      <xdr:nvGraphicFramePr>
        <xdr:cNvPr id="4" name="Диаграмма 1">
          <a:extLst>
            <a:ext uri="{FF2B5EF4-FFF2-40B4-BE49-F238E27FC236}">
              <a16:creationId xmlns:a16="http://schemas.microsoft.com/office/drawing/2014/main" id="{EF32FA2C-1BCC-48B2-B336-BE5FBC3E2A8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  <xdr:twoCellAnchor editAs="oneCell">
    <xdr:from>
      <xdr:col>14</xdr:col>
      <xdr:colOff>0</xdr:colOff>
      <xdr:row>18</xdr:row>
      <xdr:rowOff>0</xdr:rowOff>
    </xdr:from>
    <xdr:to>
      <xdr:col>20</xdr:col>
      <xdr:colOff>126309</xdr:colOff>
      <xdr:row>33</xdr:row>
      <xdr:rowOff>31474</xdr:rowOff>
    </xdr:to>
    <xdr:pic>
      <xdr:nvPicPr>
        <xdr:cNvPr id="5" name="Графіка 4">
          <a:extLst>
            <a:ext uri="{FF2B5EF4-FFF2-40B4-BE49-F238E27FC236}">
              <a16:creationId xmlns:a16="http://schemas.microsoft.com/office/drawing/2014/main" id="{0E6D4584-7D03-4577-9F1F-6A8C8CCF4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3987255" y="4431196"/>
          <a:ext cx="6048375" cy="3448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10</xdr:col>
      <xdr:colOff>12424</xdr:colOff>
      <xdr:row>47</xdr:row>
      <xdr:rowOff>40999</xdr:rowOff>
    </xdr:to>
    <xdr:pic>
      <xdr:nvPicPr>
        <xdr:cNvPr id="7" name="Графіка 6">
          <a:extLst>
            <a:ext uri="{FF2B5EF4-FFF2-40B4-BE49-F238E27FC236}">
              <a16:creationId xmlns:a16="http://schemas.microsoft.com/office/drawing/2014/main" id="{FA2B9152-6800-4890-843B-A812E32A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089538" y="7620000"/>
          <a:ext cx="6048375" cy="3457575"/>
        </a:xfrm>
        <a:prstGeom prst="rect">
          <a:avLst/>
        </a:prstGeom>
      </xdr:spPr>
    </xdr:pic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0.79052</cdr:x>
      <cdr:y>0.33102</cdr:y>
    </cdr:from>
    <cdr:to>
      <cdr:x>0.98479</cdr:x>
      <cdr:y>0.40728</cdr:y>
    </cdr:to>
    <cdr:sp macro="" textlink="'Імпорт послуг'!$N$10">
      <cdr:nvSpPr>
        <cdr:cNvPr id="2" name="TextBox 1"/>
        <cdr:cNvSpPr txBox="1"/>
      </cdr:nvSpPr>
      <cdr:spPr>
        <a:xfrm xmlns:a="http://schemas.openxmlformats.org/drawingml/2006/main">
          <a:off x="7353057" y="2012795"/>
          <a:ext cx="1807028" cy="46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94C0C548-4448-47D0-AE25-9E19181C2E03}" type="TxLink">
            <a:rPr lang="en-US" sz="1400" b="1" i="0" u="none" strike="noStrike">
              <a:solidFill>
                <a:srgbClr val="000000"/>
              </a:solidFill>
              <a:latin typeface="Montserrat"/>
            </a:rPr>
            <a:pPr/>
            <a:t>19,8 млрд </a:t>
          </a:fld>
          <a:endParaRPr lang="uk-UA" sz="32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0.78993</cdr:x>
      <cdr:y>0.51974</cdr:y>
    </cdr:from>
    <cdr:to>
      <cdr:x>1</cdr:x>
      <cdr:y>0.58094</cdr:y>
    </cdr:to>
    <cdr:sp macro="" textlink="'Імпорт послуг'!$N$11">
      <cdr:nvSpPr>
        <cdr:cNvPr id="3" name="TextBox 1"/>
        <cdr:cNvSpPr txBox="1"/>
      </cdr:nvSpPr>
      <cdr:spPr>
        <a:xfrm xmlns:a="http://schemas.openxmlformats.org/drawingml/2006/main">
          <a:off x="7347613" y="3160323"/>
          <a:ext cx="1953986" cy="372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9E39AD70-F4A5-48B1-B06C-C582AA5E9094}" type="TxLink">
            <a:rPr lang="en-US" sz="1400" b="1" i="0" u="none" strike="noStrike">
              <a:solidFill>
                <a:schemeClr val="accent1"/>
              </a:solidFill>
              <a:latin typeface="Montserrat"/>
            </a:rPr>
            <a:pPr/>
            <a:t>17,9 млрд </a:t>
          </a:fld>
          <a:endParaRPr lang="uk-UA" sz="32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0.78879</cdr:x>
      <cdr:y>0.70615</cdr:y>
    </cdr:from>
    <cdr:to>
      <cdr:x>0.99827</cdr:x>
      <cdr:y>0.76354</cdr:y>
    </cdr:to>
    <cdr:sp macro="" textlink="'Імпорт послуг'!$N$12">
      <cdr:nvSpPr>
        <cdr:cNvPr id="4" name="TextBox 1"/>
        <cdr:cNvSpPr txBox="1"/>
      </cdr:nvSpPr>
      <cdr:spPr>
        <a:xfrm xmlns:a="http://schemas.openxmlformats.org/drawingml/2006/main">
          <a:off x="7336972" y="4293786"/>
          <a:ext cx="1948542" cy="3489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4E0BA4A9-AC81-4A05-BD01-04A126CFF30B}" type="TxLink">
            <a:rPr lang="en-US" sz="1400" b="1" i="0" u="none" strike="noStrike">
              <a:solidFill>
                <a:schemeClr val="accent6"/>
              </a:solidFill>
              <a:latin typeface="Montserrat"/>
            </a:rPr>
            <a:pPr/>
            <a:t>15,8 млрд </a:t>
          </a:fld>
          <a:endParaRPr lang="uk-UA" sz="3200" b="1">
            <a:solidFill>
              <a:schemeClr val="accent6"/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0.79052</cdr:x>
      <cdr:y>0.33102</cdr:y>
    </cdr:from>
    <cdr:to>
      <cdr:x>0.98479</cdr:x>
      <cdr:y>0.40728</cdr:y>
    </cdr:to>
    <cdr:sp macro="" textlink="'Імпорт послуг'!$N$9">
      <cdr:nvSpPr>
        <cdr:cNvPr id="2" name="TextBox 1"/>
        <cdr:cNvSpPr txBox="1"/>
      </cdr:nvSpPr>
      <cdr:spPr>
        <a:xfrm xmlns:a="http://schemas.openxmlformats.org/drawingml/2006/main">
          <a:off x="7353057" y="2012795"/>
          <a:ext cx="1807028" cy="46370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7634ED5D-D279-4446-98C1-B4AB5C8AE4F9}" type="TxLink">
            <a:rPr lang="en-US" sz="1400" b="1" i="0" u="none" strike="noStrike">
              <a:solidFill>
                <a:schemeClr val="accent5"/>
              </a:solidFill>
              <a:latin typeface="Montserrat"/>
            </a:rPr>
            <a:pPr/>
            <a:t>6,3 млрд </a:t>
          </a:fld>
          <a:endParaRPr lang="uk-UA" sz="4000" b="1">
            <a:solidFill>
              <a:schemeClr val="accent5"/>
            </a:solidFill>
          </a:endParaRPr>
        </a:p>
      </cdr:txBody>
    </cdr:sp>
  </cdr:relSizeAnchor>
  <cdr:relSizeAnchor xmlns:cdr="http://schemas.openxmlformats.org/drawingml/2006/chartDrawing">
    <cdr:from>
      <cdr:x>0.78993</cdr:x>
      <cdr:y>0.51974</cdr:y>
    </cdr:from>
    <cdr:to>
      <cdr:x>1</cdr:x>
      <cdr:y>0.58094</cdr:y>
    </cdr:to>
    <cdr:sp macro="" textlink="'Імпорт послуг'!$N$10">
      <cdr:nvSpPr>
        <cdr:cNvPr id="3" name="TextBox 1"/>
        <cdr:cNvSpPr txBox="1"/>
      </cdr:nvSpPr>
      <cdr:spPr>
        <a:xfrm xmlns:a="http://schemas.openxmlformats.org/drawingml/2006/main">
          <a:off x="7347613" y="3160323"/>
          <a:ext cx="1953986" cy="372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4C6A95CA-C7AA-4DEF-B8F2-E2383BC425FE}" type="TxLink">
            <a:rPr lang="en-US" sz="1400" b="1" i="0" u="none" strike="noStrike">
              <a:solidFill>
                <a:srgbClr val="000000"/>
              </a:solidFill>
              <a:latin typeface="Montserrat"/>
            </a:rPr>
            <a:pPr/>
            <a:t>19,8 млрд </a:t>
          </a:fld>
          <a:endParaRPr lang="uk-UA" sz="40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0.78879</cdr:x>
      <cdr:y>0.70615</cdr:y>
    </cdr:from>
    <cdr:to>
      <cdr:x>0.99827</cdr:x>
      <cdr:y>0.76354</cdr:y>
    </cdr:to>
    <cdr:sp macro="" textlink="'Імпорт послуг'!$N$11">
      <cdr:nvSpPr>
        <cdr:cNvPr id="4" name="TextBox 1"/>
        <cdr:cNvSpPr txBox="1"/>
      </cdr:nvSpPr>
      <cdr:spPr>
        <a:xfrm xmlns:a="http://schemas.openxmlformats.org/drawingml/2006/main">
          <a:off x="7336972" y="4293786"/>
          <a:ext cx="1948542" cy="3489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8C058FB3-5467-47FA-8CCB-851D652F3231}" type="TxLink">
            <a:rPr lang="en-US" sz="1400" b="1" i="0" u="none" strike="noStrike">
              <a:solidFill>
                <a:schemeClr val="accent1"/>
              </a:solidFill>
              <a:latin typeface="Montserrat"/>
            </a:rPr>
            <a:pPr/>
            <a:t>17,9 млрд </a:t>
          </a:fld>
          <a:endParaRPr lang="uk-UA" sz="4000" b="1">
            <a:solidFill>
              <a:schemeClr val="accent1"/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276225</xdr:colOff>
      <xdr:row>6</xdr:row>
      <xdr:rowOff>4762</xdr:rowOff>
    </xdr:from>
    <xdr:to>
      <xdr:col>13</xdr:col>
      <xdr:colOff>428625</xdr:colOff>
      <xdr:row>20</xdr:row>
      <xdr:rowOff>80962</xdr:rowOff>
    </xdr:to>
    <xdr:graphicFrame macro="">
      <xdr:nvGraphicFramePr>
        <xdr:cNvPr id="2" name="Діаграма 1">
          <a:extLst>
            <a:ext uri="{FF2B5EF4-FFF2-40B4-BE49-F238E27FC236}">
              <a16:creationId xmlns:a16="http://schemas.microsoft.com/office/drawing/2014/main" id="{EAE1BD77-E659-47AD-BE50-EC9E9FC895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219075</xdr:colOff>
      <xdr:row>20</xdr:row>
      <xdr:rowOff>133350</xdr:rowOff>
    </xdr:from>
    <xdr:to>
      <xdr:col>13</xdr:col>
      <xdr:colOff>371475</xdr:colOff>
      <xdr:row>34</xdr:row>
      <xdr:rowOff>209550</xdr:rowOff>
    </xdr:to>
    <xdr:graphicFrame macro="">
      <xdr:nvGraphicFramePr>
        <xdr:cNvPr id="3" name="Діаграма 2">
          <a:extLst>
            <a:ext uri="{FF2B5EF4-FFF2-40B4-BE49-F238E27FC236}">
              <a16:creationId xmlns:a16="http://schemas.microsoft.com/office/drawing/2014/main" id="{C11D4F73-BCA7-443A-8D83-AD32FDE31F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238125</xdr:colOff>
      <xdr:row>35</xdr:row>
      <xdr:rowOff>76200</xdr:rowOff>
    </xdr:from>
    <xdr:to>
      <xdr:col>13</xdr:col>
      <xdr:colOff>390525</xdr:colOff>
      <xdr:row>49</xdr:row>
      <xdr:rowOff>152400</xdr:rowOff>
    </xdr:to>
    <xdr:graphicFrame macro="">
      <xdr:nvGraphicFramePr>
        <xdr:cNvPr id="4" name="Діаграма 3">
          <a:extLst>
            <a:ext uri="{FF2B5EF4-FFF2-40B4-BE49-F238E27FC236}">
              <a16:creationId xmlns:a16="http://schemas.microsoft.com/office/drawing/2014/main" id="{11E4176C-FF7F-48C3-AD53-218F50576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209550</xdr:colOff>
      <xdr:row>8</xdr:row>
      <xdr:rowOff>152400</xdr:rowOff>
    </xdr:from>
    <xdr:to>
      <xdr:col>5</xdr:col>
      <xdr:colOff>57975</xdr:colOff>
      <xdr:row>13</xdr:row>
      <xdr:rowOff>129968</xdr:rowOff>
    </xdr:to>
    <xdr:graphicFrame macro="">
      <xdr:nvGraphicFramePr>
        <xdr:cNvPr id="5" name="Діаграма 4">
          <a:extLst>
            <a:ext uri="{FF2B5EF4-FFF2-40B4-BE49-F238E27FC236}">
              <a16:creationId xmlns:a16="http://schemas.microsoft.com/office/drawing/2014/main" id="{99AC2B00-08E5-4A32-8D8D-3A7AFF0859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230982</xdr:colOff>
      <xdr:row>13</xdr:row>
      <xdr:rowOff>88822</xdr:rowOff>
    </xdr:from>
    <xdr:to>
      <xdr:col>5</xdr:col>
      <xdr:colOff>61072</xdr:colOff>
      <xdr:row>18</xdr:row>
      <xdr:rowOff>102584</xdr:rowOff>
    </xdr:to>
    <xdr:graphicFrame macro="">
      <xdr:nvGraphicFramePr>
        <xdr:cNvPr id="6" name="Діаграма 5">
          <a:extLst>
            <a:ext uri="{FF2B5EF4-FFF2-40B4-BE49-F238E27FC236}">
              <a16:creationId xmlns:a16="http://schemas.microsoft.com/office/drawing/2014/main" id="{DB890722-A396-4F06-8086-7AB4950969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210741</xdr:colOff>
      <xdr:row>18</xdr:row>
      <xdr:rowOff>86440</xdr:rowOff>
    </xdr:from>
    <xdr:to>
      <xdr:col>5</xdr:col>
      <xdr:colOff>59166</xdr:colOff>
      <xdr:row>23</xdr:row>
      <xdr:rowOff>100202</xdr:rowOff>
    </xdr:to>
    <xdr:graphicFrame macro="">
      <xdr:nvGraphicFramePr>
        <xdr:cNvPr id="7" name="Діаграма 6">
          <a:extLst>
            <a:ext uri="{FF2B5EF4-FFF2-40B4-BE49-F238E27FC236}">
              <a16:creationId xmlns:a16="http://schemas.microsoft.com/office/drawing/2014/main" id="{FCB9D406-BB38-4F33-AEA1-6F4AD6105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95250</xdr:colOff>
      <xdr:row>6</xdr:row>
      <xdr:rowOff>0</xdr:rowOff>
    </xdr:from>
    <xdr:to>
      <xdr:col>19</xdr:col>
      <xdr:colOff>677101</xdr:colOff>
      <xdr:row>10</xdr:row>
      <xdr:rowOff>206168</xdr:rowOff>
    </xdr:to>
    <xdr:graphicFrame macro="">
      <xdr:nvGraphicFramePr>
        <xdr:cNvPr id="9" name="Діаграма 8">
          <a:extLst>
            <a:ext uri="{FF2B5EF4-FFF2-40B4-BE49-F238E27FC236}">
              <a16:creationId xmlns:a16="http://schemas.microsoft.com/office/drawing/2014/main" id="{92DDACF2-A7B8-4A81-A489-D6ED1A38E4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127663</xdr:colOff>
      <xdr:row>10</xdr:row>
      <xdr:rowOff>165022</xdr:rowOff>
    </xdr:from>
    <xdr:to>
      <xdr:col>19</xdr:col>
      <xdr:colOff>680198</xdr:colOff>
      <xdr:row>15</xdr:row>
      <xdr:rowOff>178784</xdr:rowOff>
    </xdr:to>
    <xdr:graphicFrame macro="">
      <xdr:nvGraphicFramePr>
        <xdr:cNvPr id="10" name="Діаграма 9">
          <a:extLst>
            <a:ext uri="{FF2B5EF4-FFF2-40B4-BE49-F238E27FC236}">
              <a16:creationId xmlns:a16="http://schemas.microsoft.com/office/drawing/2014/main" id="{4807C9E0-A12F-4899-89E6-9358E0E783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96441</xdr:colOff>
      <xdr:row>15</xdr:row>
      <xdr:rowOff>162640</xdr:rowOff>
    </xdr:from>
    <xdr:to>
      <xdr:col>19</xdr:col>
      <xdr:colOff>678292</xdr:colOff>
      <xdr:row>20</xdr:row>
      <xdr:rowOff>176402</xdr:rowOff>
    </xdr:to>
    <xdr:graphicFrame macro="">
      <xdr:nvGraphicFramePr>
        <xdr:cNvPr id="11" name="Діаграма 10">
          <a:extLst>
            <a:ext uri="{FF2B5EF4-FFF2-40B4-BE49-F238E27FC236}">
              <a16:creationId xmlns:a16="http://schemas.microsoft.com/office/drawing/2014/main" id="{7D3DEA20-E8A5-4441-9ABF-9C7AA9129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12</xdr:col>
      <xdr:colOff>276225</xdr:colOff>
      <xdr:row>4</xdr:row>
      <xdr:rowOff>180975</xdr:rowOff>
    </xdr:from>
    <xdr:to>
      <xdr:col>20</xdr:col>
      <xdr:colOff>28575</xdr:colOff>
      <xdr:row>19</xdr:row>
      <xdr:rowOff>133350</xdr:rowOff>
    </xdr:to>
    <xdr:pic>
      <xdr:nvPicPr>
        <xdr:cNvPr id="12" name="Графіка 11">
          <a:extLst>
            <a:ext uri="{FF2B5EF4-FFF2-40B4-BE49-F238E27FC236}">
              <a16:creationId xmlns:a16="http://schemas.microsoft.com/office/drawing/2014/main" id="{A9C968F1-5F15-4E4B-8EC7-7E2BEDFF7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0220325" y="1095375"/>
          <a:ext cx="6381750" cy="338137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753147</xdr:colOff>
      <xdr:row>38</xdr:row>
      <xdr:rowOff>118186</xdr:rowOff>
    </xdr:from>
    <xdr:to>
      <xdr:col>11</xdr:col>
      <xdr:colOff>557322</xdr:colOff>
      <xdr:row>61</xdr:row>
      <xdr:rowOff>188386</xdr:rowOff>
    </xdr:to>
    <xdr:graphicFrame macro="">
      <xdr:nvGraphicFramePr>
        <xdr:cNvPr id="2" name="Діаграма 1">
          <a:extLst>
            <a:ext uri="{FF2B5EF4-FFF2-40B4-BE49-F238E27FC236}">
              <a16:creationId xmlns:a16="http://schemas.microsoft.com/office/drawing/2014/main" id="{66D5F02A-7F0E-48F2-A0C0-F4515FEB31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0.79714</cdr:x>
      <cdr:y>0.76584</cdr:y>
    </cdr:from>
    <cdr:to>
      <cdr:x>1</cdr:x>
      <cdr:y>0.8409</cdr:y>
    </cdr:to>
    <cdr:sp macro="" textlink="фінрах!$AD$33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CA3CB5FB-63BA-4AB8-A12A-CACD4DE15FEF}"/>
            </a:ext>
          </a:extLst>
        </cdr:cNvPr>
        <cdr:cNvSpPr txBox="1"/>
      </cdr:nvSpPr>
      <cdr:spPr>
        <a:xfrm xmlns:a="http://schemas.openxmlformats.org/drawingml/2006/main">
          <a:off x="6512357" y="4138737"/>
          <a:ext cx="1657252" cy="4056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879FA5C9-E90A-4A9C-A60D-912188CDC999}" type="TxLink">
            <a:rPr lang="en-US" sz="2000" b="1" i="0" u="none" strike="noStrike">
              <a:solidFill>
                <a:schemeClr val="accent4"/>
              </a:solidFill>
              <a:latin typeface="Montserrat"/>
            </a:rPr>
            <a:pPr/>
            <a:t>-$6,6 млрд</a:t>
          </a:fld>
          <a:endParaRPr lang="uk-UA" sz="20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0.79714</cdr:x>
      <cdr:y>0.39692</cdr:y>
    </cdr:from>
    <cdr:to>
      <cdr:x>1</cdr:x>
      <cdr:y>0.47198</cdr:y>
    </cdr:to>
    <cdr:sp macro="" textlink="фінрах!$AD$34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27119188-8B9D-4168-ABA7-C264B7A11D94}"/>
            </a:ext>
          </a:extLst>
        </cdr:cNvPr>
        <cdr:cNvSpPr txBox="1"/>
      </cdr:nvSpPr>
      <cdr:spPr>
        <a:xfrm xmlns:a="http://schemas.openxmlformats.org/drawingml/2006/main">
          <a:off x="6512357" y="2145028"/>
          <a:ext cx="1657252" cy="4056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fld id="{2BB991A0-418C-4CF0-8837-E8BE58336244}" type="TxLink">
            <a:rPr lang="en-US" sz="2000" b="1" i="0" u="none" strike="noStrike">
              <a:solidFill>
                <a:srgbClr val="000000"/>
              </a:solidFill>
              <a:latin typeface="Montserrat"/>
            </a:rPr>
            <a:pPr/>
            <a:t>$4,7 млрд</a:t>
          </a:fld>
          <a:endParaRPr lang="uk-UA" sz="2000" b="1"/>
        </a:p>
      </cdr:txBody>
    </cdr:sp>
  </cdr:relSizeAnchor>
  <cdr:relSizeAnchor xmlns:cdr="http://schemas.openxmlformats.org/drawingml/2006/chartDrawing">
    <cdr:from>
      <cdr:x>0.79714</cdr:x>
      <cdr:y>0.57134</cdr:y>
    </cdr:from>
    <cdr:to>
      <cdr:x>1</cdr:x>
      <cdr:y>0.64641</cdr:y>
    </cdr:to>
    <cdr:sp macro="" textlink="фінрах!$AD$35">
      <cdr:nvSpPr>
        <cdr:cNvPr id="4" name="TextBox 1">
          <a:extLst xmlns:a="http://schemas.openxmlformats.org/drawingml/2006/main">
            <a:ext uri="{FF2B5EF4-FFF2-40B4-BE49-F238E27FC236}">
              <a16:creationId xmlns:a16="http://schemas.microsoft.com/office/drawing/2014/main" id="{52119035-EA99-42AD-88F9-7F899BA2167D}"/>
            </a:ext>
          </a:extLst>
        </cdr:cNvPr>
        <cdr:cNvSpPr txBox="1"/>
      </cdr:nvSpPr>
      <cdr:spPr>
        <a:xfrm xmlns:a="http://schemas.openxmlformats.org/drawingml/2006/main">
          <a:off x="6512357" y="3087644"/>
          <a:ext cx="1657252" cy="4056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A92AF919-747B-4CAE-9A27-4F7C51608696}" type="TxLink">
            <a:rPr lang="en-US" sz="2000" b="1" i="0" u="none" strike="noStrike">
              <a:solidFill>
                <a:schemeClr val="accent6"/>
              </a:solidFill>
              <a:latin typeface="Montserrat"/>
            </a:rPr>
            <a:pPr/>
            <a:t>-$2,5 млрд</a:t>
          </a:fld>
          <a:endParaRPr lang="uk-UA" sz="2000" b="1">
            <a:solidFill>
              <a:schemeClr val="accent6"/>
            </a:solidFill>
          </a:endParaRPr>
        </a:p>
      </cdr:txBody>
    </cdr:sp>
  </cdr:relSizeAnchor>
  <cdr:relSizeAnchor xmlns:cdr="http://schemas.openxmlformats.org/drawingml/2006/chartDrawing">
    <cdr:from>
      <cdr:x>0.79714</cdr:x>
      <cdr:y>0.22848</cdr:y>
    </cdr:from>
    <cdr:to>
      <cdr:x>1</cdr:x>
      <cdr:y>0.30354</cdr:y>
    </cdr:to>
    <cdr:sp macro="" textlink="фінрах!$AD$36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8098D550-D44B-4482-814B-A2A7CA258FF7}"/>
            </a:ext>
          </a:extLst>
        </cdr:cNvPr>
        <cdr:cNvSpPr txBox="1"/>
      </cdr:nvSpPr>
      <cdr:spPr>
        <a:xfrm xmlns:a="http://schemas.openxmlformats.org/drawingml/2006/main">
          <a:off x="6512357" y="1234739"/>
          <a:ext cx="1657252" cy="4056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DC5159EB-F488-4BF6-89E0-E46592FFEDBA}" type="TxLink">
            <a:rPr lang="en-US" sz="2000" b="1" i="0" u="none" strike="noStrike">
              <a:solidFill>
                <a:schemeClr val="accent1"/>
              </a:solidFill>
              <a:latin typeface="Montserrat"/>
            </a:rPr>
            <a:pPr/>
            <a:t>-$10,6 млрд</a:t>
          </a:fld>
          <a:endParaRPr lang="uk-UA" sz="2000" b="1">
            <a:solidFill>
              <a:schemeClr val="accent1"/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3021665" y="1230458"/>
    <xdr:ext cx="5929746" cy="3716482"/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C8C4469-5BCA-4957-A54A-0F88D30AE96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8236592" y="6261433"/>
    <xdr:ext cx="5929746" cy="3716482"/>
    <xdr:graphicFrame macro="">
      <xdr:nvGraphicFramePr>
        <xdr:cNvPr id="3" name="Диаграмма 1">
          <a:extLst>
            <a:ext uri="{FF2B5EF4-FFF2-40B4-BE49-F238E27FC236}">
              <a16:creationId xmlns:a16="http://schemas.microsoft.com/office/drawing/2014/main" id="{77261D9C-C2F8-4360-8EA7-01F4F101B08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0.79203</cdr:x>
      <cdr:y>0.33826</cdr:y>
    </cdr:from>
    <cdr:to>
      <cdr:x>0.9863</cdr:x>
      <cdr:y>0.41452</cdr:y>
    </cdr:to>
    <cdr:sp macro="" textlink="'Готівкова валюта поза банками'!$N$10">
      <cdr:nvSpPr>
        <cdr:cNvPr id="2" name="TextBox 1"/>
        <cdr:cNvSpPr txBox="1"/>
      </cdr:nvSpPr>
      <cdr:spPr>
        <a:xfrm xmlns:a="http://schemas.openxmlformats.org/drawingml/2006/main">
          <a:off x="4696548" y="1257124"/>
          <a:ext cx="1151972" cy="2834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fld id="{D720CB1D-787C-4827-8709-B4F47249B9D0}" type="TxLink">
            <a:rPr lang="en-US" sz="1400" b="1" i="0" u="none" strike="noStrike">
              <a:solidFill>
                <a:srgbClr val="000000"/>
              </a:solidFill>
              <a:latin typeface="Montserrat"/>
            </a:rPr>
            <a:pPr/>
            <a:t>$5,1 млрд </a:t>
          </a:fld>
          <a:endParaRPr lang="uk-UA" sz="16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0.78993</cdr:x>
      <cdr:y>0.51974</cdr:y>
    </cdr:from>
    <cdr:to>
      <cdr:x>1</cdr:x>
      <cdr:y>0.58094</cdr:y>
    </cdr:to>
    <cdr:sp macro="" textlink="'Готівкова валюта поза банками'!$N$11">
      <cdr:nvSpPr>
        <cdr:cNvPr id="3" name="TextBox 1"/>
        <cdr:cNvSpPr txBox="1"/>
      </cdr:nvSpPr>
      <cdr:spPr>
        <a:xfrm xmlns:a="http://schemas.openxmlformats.org/drawingml/2006/main">
          <a:off x="7347613" y="3160323"/>
          <a:ext cx="1953986" cy="37209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7DDFC9FC-F784-4EDA-9B60-4DADDA70A499}" type="TxLink">
            <a:rPr lang="en-US" sz="1400" b="1" i="0" u="none" strike="noStrike">
              <a:solidFill>
                <a:schemeClr val="accent1"/>
              </a:solidFill>
              <a:latin typeface="Montserrat"/>
            </a:rPr>
            <a:pPr/>
            <a:t>$10,3 млрд </a:t>
          </a:fld>
          <a:endParaRPr lang="uk-UA" sz="16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0.78879</cdr:x>
      <cdr:y>0.70615</cdr:y>
    </cdr:from>
    <cdr:to>
      <cdr:x>0.99827</cdr:x>
      <cdr:y>0.76354</cdr:y>
    </cdr:to>
    <cdr:sp macro="" textlink="'Готівкова валюта поза банками'!$N$12">
      <cdr:nvSpPr>
        <cdr:cNvPr id="4" name="TextBox 1"/>
        <cdr:cNvSpPr txBox="1"/>
      </cdr:nvSpPr>
      <cdr:spPr>
        <a:xfrm xmlns:a="http://schemas.openxmlformats.org/drawingml/2006/main">
          <a:off x="7336972" y="4293786"/>
          <a:ext cx="1948542" cy="34897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E43580AB-E616-48A1-A3BE-A31EFA30FB1B}" type="TxLink">
            <a:rPr lang="en-US" sz="1400" b="1" i="0" u="none" strike="noStrike">
              <a:solidFill>
                <a:schemeClr val="accent6"/>
              </a:solidFill>
              <a:latin typeface="Montserrat"/>
            </a:rPr>
            <a:pPr/>
            <a:t>$11,5 млрд </a:t>
          </a:fld>
          <a:endParaRPr lang="uk-UA" sz="1600" b="1">
            <a:solidFill>
              <a:schemeClr val="accent6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0.78993</cdr:x>
      <cdr:y>0.3083</cdr:y>
    </cdr:from>
    <cdr:to>
      <cdr:x>1</cdr:x>
      <cdr:y>0.3695</cdr:y>
    </cdr:to>
    <cdr:sp macro="" textlink="'Готівкова валюта поза банками'!$N$11">
      <cdr:nvSpPr>
        <cdr:cNvPr id="3" name="TextBox 1"/>
        <cdr:cNvSpPr txBox="1"/>
      </cdr:nvSpPr>
      <cdr:spPr>
        <a:xfrm xmlns:a="http://schemas.openxmlformats.org/drawingml/2006/main">
          <a:off x="4684084" y="1145790"/>
          <a:ext cx="1245662" cy="22744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7DDFC9FC-F784-4EDA-9B60-4DADDA70A499}" type="TxLink">
            <a:rPr lang="en-US" sz="1400" b="1" i="0" u="none" strike="noStrike">
              <a:solidFill>
                <a:schemeClr val="accent1"/>
              </a:solidFill>
              <a:latin typeface="Montserrat"/>
            </a:rPr>
            <a:pPr/>
            <a:t>$10,3 млрд </a:t>
          </a:fld>
          <a:endParaRPr lang="uk-UA" sz="16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0.79052</cdr:x>
      <cdr:y>0.82713</cdr:y>
    </cdr:from>
    <cdr:to>
      <cdr:x>1</cdr:x>
      <cdr:y>0.88452</cdr:y>
    </cdr:to>
    <cdr:sp macro="" textlink="'Готівкова валюта поза банками'!$N$12">
      <cdr:nvSpPr>
        <cdr:cNvPr id="4" name="TextBox 1"/>
        <cdr:cNvSpPr txBox="1"/>
      </cdr:nvSpPr>
      <cdr:spPr>
        <a:xfrm xmlns:a="http://schemas.openxmlformats.org/drawingml/2006/main">
          <a:off x="4687582" y="3074029"/>
          <a:ext cx="1242164" cy="213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4A70A86A-4EFA-483C-9AE3-F19998CD5804}" type="TxLink">
            <a:rPr lang="en-US" sz="1400" b="1" i="0" u="none" strike="noStrike">
              <a:solidFill>
                <a:schemeClr val="accent3"/>
              </a:solidFill>
              <a:latin typeface="Montserrat"/>
            </a:rPr>
            <a:pPr/>
            <a:t>$11,5 млрд </a:t>
          </a:fld>
          <a:endParaRPr lang="uk-UA" sz="14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0.79052</cdr:x>
      <cdr:y>0.56865</cdr:y>
    </cdr:from>
    <cdr:to>
      <cdr:x>1</cdr:x>
      <cdr:y>0.62604</cdr:y>
    </cdr:to>
    <cdr:sp macro="" textlink="'Готівкова валюта поза банками'!$N$12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63DB9E0D-DCFB-43D8-AF47-ECA1175C03B9}"/>
            </a:ext>
          </a:extLst>
        </cdr:cNvPr>
        <cdr:cNvSpPr txBox="1"/>
      </cdr:nvSpPr>
      <cdr:spPr>
        <a:xfrm xmlns:a="http://schemas.openxmlformats.org/drawingml/2006/main">
          <a:off x="4687582" y="2113382"/>
          <a:ext cx="1242164" cy="21328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fld id="{263EEC24-5060-4FCF-B0CA-8B65C276CD3C}" type="TxLink">
            <a:rPr lang="en-US" sz="1400" b="1" i="0" u="none" strike="noStrike">
              <a:solidFill>
                <a:schemeClr val="accent6"/>
              </a:solidFill>
              <a:latin typeface="Montserrat"/>
            </a:rPr>
            <a:pPr/>
            <a:t>$11,5 млрд </a:t>
          </a:fld>
          <a:endParaRPr lang="uk-UA" sz="2000" b="1">
            <a:solidFill>
              <a:schemeClr val="accent6"/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238125</xdr:colOff>
      <xdr:row>7</xdr:row>
      <xdr:rowOff>123825</xdr:rowOff>
    </xdr:from>
    <xdr:to>
      <xdr:col>17</xdr:col>
      <xdr:colOff>395287</xdr:colOff>
      <xdr:row>25</xdr:row>
      <xdr:rowOff>57150</xdr:rowOff>
    </xdr:to>
    <xdr:graphicFrame macro="">
      <xdr:nvGraphicFramePr>
        <xdr:cNvPr id="2" name="Діаграма 1">
          <a:extLst>
            <a:ext uri="{FF2B5EF4-FFF2-40B4-BE49-F238E27FC236}">
              <a16:creationId xmlns:a16="http://schemas.microsoft.com/office/drawing/2014/main" id="{E7294307-8339-4571-80F0-1A2341761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638175</xdr:colOff>
      <xdr:row>21</xdr:row>
      <xdr:rowOff>66675</xdr:rowOff>
    </xdr:from>
    <xdr:to>
      <xdr:col>17</xdr:col>
      <xdr:colOff>795337</xdr:colOff>
      <xdr:row>39</xdr:row>
      <xdr:rowOff>0</xdr:rowOff>
    </xdr:to>
    <xdr:graphicFrame macro="">
      <xdr:nvGraphicFramePr>
        <xdr:cNvPr id="3" name="Діаграма 2">
          <a:extLst>
            <a:ext uri="{FF2B5EF4-FFF2-40B4-BE49-F238E27FC236}">
              <a16:creationId xmlns:a16="http://schemas.microsoft.com/office/drawing/2014/main" id="{81FE930B-BA93-44FE-9FA3-CC252C0DBB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1371600</xdr:colOff>
      <xdr:row>8</xdr:row>
      <xdr:rowOff>7620</xdr:rowOff>
    </xdr:from>
    <xdr:to>
      <xdr:col>5</xdr:col>
      <xdr:colOff>260931</xdr:colOff>
      <xdr:row>19</xdr:row>
      <xdr:rowOff>147348</xdr:rowOff>
    </xdr:to>
    <xdr:graphicFrame macro="">
      <xdr:nvGraphicFramePr>
        <xdr:cNvPr id="4" name="Діаграма 3">
          <a:extLst>
            <a:ext uri="{FF2B5EF4-FFF2-40B4-BE49-F238E27FC236}">
              <a16:creationId xmlns:a16="http://schemas.microsoft.com/office/drawing/2014/main" id="{FC682CC4-A072-4364-BAB5-6F9BEC1399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17</xdr:row>
      <xdr:rowOff>0</xdr:rowOff>
    </xdr:from>
    <xdr:to>
      <xdr:col>9</xdr:col>
      <xdr:colOff>710511</xdr:colOff>
      <xdr:row>28</xdr:row>
      <xdr:rowOff>142660</xdr:rowOff>
    </xdr:to>
    <xdr:graphicFrame macro="">
      <xdr:nvGraphicFramePr>
        <xdr:cNvPr id="5" name="Діаграма 4">
          <a:extLst>
            <a:ext uri="{FF2B5EF4-FFF2-40B4-BE49-F238E27FC236}">
              <a16:creationId xmlns:a16="http://schemas.microsoft.com/office/drawing/2014/main" id="{ABBFADBE-D9EB-4522-8E2E-97DF551939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0.18029</cdr:x>
      <cdr:y>0.43978</cdr:y>
    </cdr:from>
    <cdr:to>
      <cdr:x>0.48702</cdr:x>
      <cdr:y>0.55419</cdr:y>
    </cdr:to>
    <cdr:sp macro="" textlink="'залучення кругові'!$F$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E8D5B48-A423-4334-B557-E13CB7D60F09}"/>
            </a:ext>
          </a:extLst>
        </cdr:cNvPr>
        <cdr:cNvSpPr txBox="1"/>
      </cdr:nvSpPr>
      <cdr:spPr>
        <a:xfrm xmlns:a="http://schemas.openxmlformats.org/drawingml/2006/main">
          <a:off x="733425" y="1171575"/>
          <a:ext cx="1247775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fld id="{A5056590-1596-4084-8B67-DD9EF99DADE1}" type="TxLink">
            <a:rPr lang="en-US" sz="1400" b="1" i="0" u="none" strike="noStrike">
              <a:solidFill>
                <a:srgbClr val="000000"/>
              </a:solidFill>
              <a:latin typeface="Montserrat"/>
            </a:rPr>
            <a:pPr algn="ctr"/>
            <a:t>48 млрд</a:t>
          </a:fld>
          <a:endParaRPr lang="uk-UA" sz="1400" b="1"/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0.18029</cdr:x>
      <cdr:y>0.43978</cdr:y>
    </cdr:from>
    <cdr:to>
      <cdr:x>0.48702</cdr:x>
      <cdr:y>0.55419</cdr:y>
    </cdr:to>
    <cdr:sp macro="" textlink="'залучення кругові'!$G$6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1E8D5B48-A423-4334-B557-E13CB7D60F09}"/>
            </a:ext>
          </a:extLst>
        </cdr:cNvPr>
        <cdr:cNvSpPr txBox="1"/>
      </cdr:nvSpPr>
      <cdr:spPr>
        <a:xfrm xmlns:a="http://schemas.openxmlformats.org/drawingml/2006/main">
          <a:off x="733425" y="1171575"/>
          <a:ext cx="1247775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ctr"/>
          <a:fld id="{2D666700-CEE3-448A-A8A4-346F40ECE57B}" type="TxLink">
            <a:rPr lang="en-US" sz="1200" b="1" i="0" u="none" strike="noStrike">
              <a:solidFill>
                <a:srgbClr val="000000"/>
              </a:solidFill>
              <a:latin typeface="Montserrat"/>
            </a:rPr>
            <a:pPr algn="ctr"/>
            <a:t>48 млрд</a:t>
          </a:fld>
          <a:endParaRPr lang="uk-UA" sz="1600" b="1"/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314325</xdr:colOff>
      <xdr:row>0</xdr:row>
      <xdr:rowOff>133350</xdr:rowOff>
    </xdr:from>
    <xdr:to>
      <xdr:col>30</xdr:col>
      <xdr:colOff>190500</xdr:colOff>
      <xdr:row>30</xdr:row>
      <xdr:rowOff>161925</xdr:rowOff>
    </xdr:to>
    <xdr:graphicFrame macro="">
      <xdr:nvGraphicFramePr>
        <xdr:cNvPr id="31880030" name="Диаграмма 1">
          <a:extLst>
            <a:ext uri="{FF2B5EF4-FFF2-40B4-BE49-F238E27FC236}">
              <a16:creationId xmlns:a16="http://schemas.microsoft.com/office/drawing/2014/main" id="{3022EFAF-05B2-4F11-A5F3-876C4DB76F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371475</xdr:colOff>
      <xdr:row>32</xdr:row>
      <xdr:rowOff>200025</xdr:rowOff>
    </xdr:from>
    <xdr:to>
      <xdr:col>30</xdr:col>
      <xdr:colOff>257175</xdr:colOff>
      <xdr:row>62</xdr:row>
      <xdr:rowOff>219075</xdr:rowOff>
    </xdr:to>
    <xdr:graphicFrame macro="">
      <xdr:nvGraphicFramePr>
        <xdr:cNvPr id="31880031" name="Диаграмма 1">
          <a:extLst>
            <a:ext uri="{FF2B5EF4-FFF2-40B4-BE49-F238E27FC236}">
              <a16:creationId xmlns:a16="http://schemas.microsoft.com/office/drawing/2014/main" id="{2F8F03A2-73C8-454F-9EF8-7A65E71E36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2876550</xdr:colOff>
      <xdr:row>15</xdr:row>
      <xdr:rowOff>180975</xdr:rowOff>
    </xdr:from>
    <xdr:to>
      <xdr:col>19</xdr:col>
      <xdr:colOff>504825</xdr:colOff>
      <xdr:row>47</xdr:row>
      <xdr:rowOff>790575</xdr:rowOff>
    </xdr:to>
    <xdr:graphicFrame macro="">
      <xdr:nvGraphicFramePr>
        <xdr:cNvPr id="31882671" name="Chart 4">
          <a:extLst>
            <a:ext uri="{FF2B5EF4-FFF2-40B4-BE49-F238E27FC236}">
              <a16:creationId xmlns:a16="http://schemas.microsoft.com/office/drawing/2014/main" id="{34AE41A5-5588-42A1-9A17-5D96E2E14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absoluteAnchor>
    <xdr:pos x="0" y="0"/>
    <xdr:ext cx="9305925" cy="6076950"/>
    <xdr:graphicFrame macro="">
      <xdr:nvGraphicFramePr>
        <xdr:cNvPr id="2" name="Діаграма 1">
          <a:extLst>
            <a:ext uri="{FF2B5EF4-FFF2-40B4-BE49-F238E27FC236}">
              <a16:creationId xmlns:a16="http://schemas.microsoft.com/office/drawing/2014/main" id="{9D19331B-4843-4459-BB38-97F4BE5E5F8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0.07374</cdr:x>
      <cdr:y>0.77494</cdr:y>
    </cdr:from>
    <cdr:to>
      <cdr:x>0.46338</cdr:x>
      <cdr:y>0.85527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532228" y="4699804"/>
          <a:ext cx="3764613" cy="514638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ts val="1200"/>
            </a:lnSpc>
          </a:pPr>
          <a:r>
            <a:rPr lang="uk-UA" sz="1200" b="1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Итого</a:t>
          </a:r>
          <a:r>
            <a:rPr lang="en-US" sz="1200" b="1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:</a:t>
          </a:r>
          <a:r>
            <a:rPr lang="en-US" sz="1200" b="1" baseline="0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ru-RU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+</a:t>
          </a:r>
          <a:r>
            <a:rPr lang="en-US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$</a:t>
          </a:r>
          <a:r>
            <a:rPr lang="ru-RU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4</a:t>
          </a:r>
          <a:r>
            <a:rPr lang="uk-UA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,0</a:t>
          </a:r>
          <a:r>
            <a:rPr lang="en-US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ru-RU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млрд</a:t>
          </a:r>
          <a:r>
            <a:rPr lang="en-US" sz="1200" b="1" baseline="0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, </a:t>
          </a:r>
          <a:r>
            <a:rPr lang="ru-RU" sz="1200" b="1" baseline="0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из них за счет государственных привлечений </a:t>
          </a:r>
          <a:r>
            <a:rPr lang="ru-RU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+</a:t>
          </a:r>
          <a:r>
            <a:rPr lang="en-US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$</a:t>
          </a:r>
          <a:r>
            <a:rPr lang="ru-RU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2</a:t>
          </a:r>
          <a:r>
            <a:rPr lang="en-US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,</a:t>
          </a:r>
          <a:r>
            <a:rPr lang="ru-RU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9 млрд</a:t>
          </a:r>
          <a:endParaRPr lang="uk-UA" sz="1200" b="1">
            <a:solidFill>
              <a:srgbClr val="00B050"/>
            </a:solidFill>
            <a:latin typeface="+mn-lt"/>
            <a:ea typeface="Tahoma" panose="020B0604030504040204" pitchFamily="34" charset="0"/>
            <a:cs typeface="Tahoma" panose="020B0604030504040204" pitchFamily="34" charset="0"/>
          </a:endParaRPr>
        </a:p>
      </cdr:txBody>
    </cdr:sp>
  </cdr:relSizeAnchor>
</c:userShapes>
</file>

<file path=xl/drawings/drawing29.xml><?xml version="1.0" encoding="utf-8"?>
<xdr:wsDr xmlns:xdr="http://schemas.openxmlformats.org/drawingml/2006/spreadsheetDrawing" xmlns:a="http://schemas.openxmlformats.org/drawingml/2006/main">
  <xdr:absoluteAnchor>
    <xdr:pos x="0" y="0"/>
    <xdr:ext cx="9308094" cy="6073366"/>
    <xdr:graphicFrame macro="">
      <xdr:nvGraphicFramePr>
        <xdr:cNvPr id="2" name="Діаграма 1">
          <a:extLst>
            <a:ext uri="{FF2B5EF4-FFF2-40B4-BE49-F238E27FC236}">
              <a16:creationId xmlns:a16="http://schemas.microsoft.com/office/drawing/2014/main" id="{E030F4DF-415D-424E-806D-3EF009CE98A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0.03653</cdr:x>
      <cdr:y>0.70406</cdr:y>
    </cdr:from>
    <cdr:to>
      <cdr:x>0.5309</cdr:x>
      <cdr:y>0.78414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40016" y="4276039"/>
          <a:ext cx="4601642" cy="48635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ts val="1200"/>
            </a:lnSpc>
          </a:pPr>
          <a:r>
            <a:rPr lang="uk-UA" sz="1200" b="1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Итого</a:t>
          </a:r>
          <a:r>
            <a:rPr lang="en-US" sz="1200" b="1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:</a:t>
          </a:r>
          <a:r>
            <a:rPr lang="en-US" sz="1200" b="1" baseline="0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ru-RU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-</a:t>
          </a:r>
          <a:r>
            <a:rPr lang="en-US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$3 </a:t>
          </a:r>
          <a:r>
            <a:rPr lang="ru-RU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млрд</a:t>
          </a:r>
          <a:r>
            <a:rPr lang="en-US" sz="1200" b="1" baseline="0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, </a:t>
          </a:r>
          <a:r>
            <a:rPr lang="ru-RU" sz="1200" b="1" baseline="0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из них за счет государственных привлечений </a:t>
          </a:r>
          <a:r>
            <a:rPr lang="ru-RU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+</a:t>
          </a:r>
          <a:r>
            <a:rPr lang="en-US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$10 </a:t>
          </a:r>
          <a:r>
            <a:rPr lang="ru-RU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млрд</a:t>
          </a:r>
          <a:endParaRPr lang="uk-UA" sz="1200" b="1">
            <a:solidFill>
              <a:srgbClr val="00B050"/>
            </a:solidFill>
            <a:latin typeface="+mn-lt"/>
            <a:ea typeface="Tahoma" panose="020B0604030504040204" pitchFamily="34" charset="0"/>
            <a:cs typeface="Tahoma" panose="020B0604030504040204" pitchFamily="34" charset="0"/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85417"/>
    <xdr:graphicFrame macro="">
      <xdr:nvGraphicFramePr>
        <xdr:cNvPr id="2" name="Діаграма 1">
          <a:extLst>
            <a:ext uri="{FF2B5EF4-FFF2-40B4-BE49-F238E27FC236}">
              <a16:creationId xmlns:a16="http://schemas.microsoft.com/office/drawing/2014/main" id="{857E093D-667E-4A88-B56F-88F777C4052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0.0011</cdr:x>
      <cdr:y>0.31317</cdr:y>
    </cdr:from>
    <cdr:to>
      <cdr:x>0.4818</cdr:x>
      <cdr:y>0.39325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10228" y="1905776"/>
          <a:ext cx="4476919" cy="48732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ts val="1200"/>
            </a:lnSpc>
          </a:pPr>
          <a:r>
            <a:rPr lang="uk-UA" sz="1200" b="1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Итого</a:t>
          </a:r>
          <a:r>
            <a:rPr lang="en-US" sz="1200" b="1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:</a:t>
          </a:r>
          <a:r>
            <a:rPr lang="en-US" sz="1200" b="1" baseline="0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 +</a:t>
          </a:r>
          <a:r>
            <a:rPr lang="en-US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$8,3 </a:t>
          </a:r>
          <a:r>
            <a:rPr lang="ru-RU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млрд</a:t>
          </a:r>
          <a:r>
            <a:rPr lang="en-US" sz="1200" b="1" baseline="0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, </a:t>
          </a:r>
          <a:r>
            <a:rPr lang="ru-RU" sz="1200" b="1" baseline="0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из них за счет государственных привлечений </a:t>
          </a:r>
          <a:r>
            <a:rPr lang="ru-RU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+</a:t>
          </a:r>
          <a:r>
            <a:rPr lang="en-US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$9,2</a:t>
          </a:r>
          <a:r>
            <a:rPr lang="ru-RU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 млрд</a:t>
          </a:r>
          <a:endParaRPr lang="uk-UA" sz="1200" b="1">
            <a:solidFill>
              <a:srgbClr val="00B050"/>
            </a:solidFill>
            <a:latin typeface="+mn-lt"/>
            <a:ea typeface="Tahoma" panose="020B0604030504040204" pitchFamily="34" charset="0"/>
            <a:cs typeface="Tahoma" panose="020B0604030504040204" pitchFamily="34" charset="0"/>
          </a:endParaRPr>
        </a:p>
      </cdr:txBody>
    </cdr:sp>
  </cdr:relSizeAnchor>
</c:userShapes>
</file>

<file path=xl/drawings/drawing33.xml><?xml version="1.0" encoding="utf-8"?>
<xdr:wsDr xmlns:xdr="http://schemas.openxmlformats.org/drawingml/2006/spreadsheetDrawing" xmlns:a="http://schemas.openxmlformats.org/drawingml/2006/main">
  <xdr:absoluteAnchor>
    <xdr:pos x="0" y="0"/>
    <xdr:ext cx="9313333" cy="6085417"/>
    <xdr:graphicFrame macro="">
      <xdr:nvGraphicFramePr>
        <xdr:cNvPr id="2" name="Діаграма 1">
          <a:extLst>
            <a:ext uri="{FF2B5EF4-FFF2-40B4-BE49-F238E27FC236}">
              <a16:creationId xmlns:a16="http://schemas.microsoft.com/office/drawing/2014/main" id="{B6F6FE13-24B8-4B38-BE04-A89FDC67481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0.04</cdr:x>
      <cdr:y>0.80737</cdr:y>
    </cdr:from>
    <cdr:to>
      <cdr:x>0.5207</cdr:x>
      <cdr:y>0.88745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372358" y="4903454"/>
          <a:ext cx="4474401" cy="48635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solidFill>
            <a:schemeClr val="lt1">
              <a:shade val="50000"/>
            </a:schemeClr>
          </a:solidFill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>
            <a:lnSpc>
              <a:spcPts val="1200"/>
            </a:lnSpc>
          </a:pPr>
          <a:r>
            <a:rPr lang="uk-UA" sz="1200" b="1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Итого</a:t>
          </a:r>
          <a:r>
            <a:rPr lang="en-US" sz="1200" b="1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:</a:t>
          </a:r>
          <a:r>
            <a:rPr lang="en-US" sz="1200" b="1" baseline="0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en-US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$</a:t>
          </a:r>
          <a:r>
            <a:rPr lang="uk-UA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10,6</a:t>
          </a:r>
          <a:r>
            <a:rPr lang="en-US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 </a:t>
          </a:r>
          <a:r>
            <a:rPr lang="ru-RU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млрд</a:t>
          </a:r>
          <a:r>
            <a:rPr lang="en-US" sz="1200" b="1" baseline="0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, </a:t>
          </a:r>
          <a:r>
            <a:rPr lang="ru-RU" sz="1200" b="1" baseline="0">
              <a:solidFill>
                <a:schemeClr val="tx1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из них за счет государственных привлечений </a:t>
          </a:r>
          <a:r>
            <a:rPr lang="ru-RU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+</a:t>
          </a:r>
          <a:r>
            <a:rPr lang="en-US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$</a:t>
          </a:r>
          <a:r>
            <a:rPr lang="ru-RU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30</a:t>
          </a:r>
          <a:r>
            <a:rPr lang="en-US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,</a:t>
          </a:r>
          <a:r>
            <a:rPr lang="uk-UA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2</a:t>
          </a:r>
          <a:r>
            <a:rPr lang="ru-RU" sz="1200" b="1" baseline="0">
              <a:solidFill>
                <a:srgbClr val="00B050"/>
              </a:solidFill>
              <a:latin typeface="+mn-lt"/>
              <a:ea typeface="Tahoma" panose="020B0604030504040204" pitchFamily="34" charset="0"/>
              <a:cs typeface="Tahoma" panose="020B0604030504040204" pitchFamily="34" charset="0"/>
            </a:rPr>
            <a:t> млрд</a:t>
          </a:r>
          <a:endParaRPr lang="uk-UA" sz="1200" b="1">
            <a:solidFill>
              <a:srgbClr val="00B050"/>
            </a:solidFill>
            <a:latin typeface="+mn-lt"/>
            <a:ea typeface="Tahoma" panose="020B0604030504040204" pitchFamily="34" charset="0"/>
            <a:cs typeface="Tahoma" panose="020B0604030504040204" pitchFamily="34" charset="0"/>
          </a:endParaRPr>
        </a:p>
      </cdr:txBody>
    </cdr:sp>
  </cdr:relSizeAnchor>
</c:userShapes>
</file>

<file path=xl/drawings/drawing35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2219325</xdr:colOff>
      <xdr:row>222</xdr:row>
      <xdr:rowOff>180975</xdr:rowOff>
    </xdr:from>
    <xdr:to>
      <xdr:col>14</xdr:col>
      <xdr:colOff>714375</xdr:colOff>
      <xdr:row>252</xdr:row>
      <xdr:rowOff>180975</xdr:rowOff>
    </xdr:to>
    <xdr:graphicFrame macro="">
      <xdr:nvGraphicFramePr>
        <xdr:cNvPr id="31886767" name="Диаграмма 3">
          <a:extLst>
            <a:ext uri="{FF2B5EF4-FFF2-40B4-BE49-F238E27FC236}">
              <a16:creationId xmlns:a16="http://schemas.microsoft.com/office/drawing/2014/main" id="{3535A217-0982-416E-B70B-62C54AE415A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0.45392</cdr:x>
      <cdr:y>0.1273</cdr:y>
    </cdr:from>
    <cdr:to>
      <cdr:x>0.45391</cdr:x>
      <cdr:y>0.89902</cdr:y>
    </cdr:to>
    <cdr:cxnSp macro="">
      <cdr:nvCxnSpPr>
        <cdr:cNvPr id="18" name="Прямая соединительная линия 17">
          <a:extLst xmlns:a="http://schemas.openxmlformats.org/drawingml/2006/main">
            <a:ext uri="{FF2B5EF4-FFF2-40B4-BE49-F238E27FC236}">
              <a16:creationId xmlns:a16="http://schemas.microsoft.com/office/drawing/2014/main" id="{F304185B-58FB-4FBB-AF82-1A0C3CDEE8A1}"/>
            </a:ext>
          </a:extLst>
        </cdr:cNvPr>
        <cdr:cNvCxnSpPr/>
      </cdr:nvCxnSpPr>
      <cdr:spPr>
        <a:xfrm xmlns:a="http://schemas.openxmlformats.org/drawingml/2006/main" flipV="1">
          <a:off x="6466255" y="2396094"/>
          <a:ext cx="11982" cy="3791902"/>
        </a:xfrm>
        <a:prstGeom xmlns:a="http://schemas.openxmlformats.org/drawingml/2006/main" prst="line">
          <a:avLst/>
        </a:prstGeom>
      </cdr:spPr>
      <cdr:style>
        <a:lnRef xmlns:a="http://schemas.openxmlformats.org/drawingml/2006/main" idx="1">
          <a:schemeClr val="dk1"/>
        </a:lnRef>
        <a:fillRef xmlns:a="http://schemas.openxmlformats.org/drawingml/2006/main" idx="0">
          <a:schemeClr val="dk1"/>
        </a:fillRef>
        <a:effectRef xmlns:a="http://schemas.openxmlformats.org/drawingml/2006/main" idx="0">
          <a:schemeClr val="dk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absoluteAnchor>
    <xdr:pos x="1597466" y="7701730"/>
    <xdr:ext cx="7706802" cy="4803913"/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4175D10D-9E76-4185-9D51-544B07B54B6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2464901" y="2512117"/>
    <xdr:ext cx="7706802" cy="4803913"/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AADBEDEF-3FBC-42FE-9AF2-59B999CDE2D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0.06344</cdr:x>
      <cdr:y>0.14028</cdr:y>
    </cdr:from>
    <cdr:to>
      <cdr:x>0.62304</cdr:x>
      <cdr:y>0.2118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8901" y="673878"/>
          <a:ext cx="4312775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ru-RU" sz="1200" b="1"/>
            <a:t>Сальдо торгового</a:t>
          </a:r>
          <a:r>
            <a:rPr lang="ru-RU" sz="1200" b="1" baseline="0"/>
            <a:t> баланса в 202</a:t>
          </a:r>
          <a:r>
            <a:rPr lang="en-US" sz="1200" b="1" baseline="0"/>
            <a:t>2: </a:t>
          </a:r>
          <a:r>
            <a:rPr lang="en-US" sz="1200" b="1" baseline="0">
              <a:solidFill>
                <a:schemeClr val="accent3"/>
              </a:solidFill>
            </a:rPr>
            <a:t>-$11,8 </a:t>
          </a:r>
          <a:r>
            <a:rPr lang="ru-RU" sz="1200" b="1" baseline="0">
              <a:solidFill>
                <a:schemeClr val="accent3"/>
              </a:solidFill>
            </a:rPr>
            <a:t>млрд</a:t>
          </a:r>
          <a:endParaRPr lang="ru-RU" sz="1200" b="1">
            <a:solidFill>
              <a:schemeClr val="accent3"/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0.05699</cdr:x>
      <cdr:y>0.11787</cdr:y>
    </cdr:from>
    <cdr:to>
      <cdr:x>0.61659</cdr:x>
      <cdr:y>0.18939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39225" y="566219"/>
          <a:ext cx="4312726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ru-RU" sz="1200" b="1"/>
            <a:t>Сальдо торгового</a:t>
          </a:r>
          <a:r>
            <a:rPr lang="ru-RU" sz="1200" b="1" baseline="0"/>
            <a:t> баланса в 202</a:t>
          </a:r>
          <a:r>
            <a:rPr lang="en-US" sz="1200" b="1" baseline="0"/>
            <a:t>2: </a:t>
          </a:r>
          <a:r>
            <a:rPr lang="en-US" sz="1200" b="1" baseline="0">
              <a:solidFill>
                <a:schemeClr val="accent4"/>
              </a:solidFill>
            </a:rPr>
            <a:t>-$20</a:t>
          </a:r>
          <a:r>
            <a:rPr lang="uk-UA" sz="1200" b="1" baseline="0">
              <a:solidFill>
                <a:schemeClr val="accent4"/>
              </a:solidFill>
            </a:rPr>
            <a:t>,</a:t>
          </a:r>
          <a:r>
            <a:rPr lang="en-US" sz="1200" b="1" baseline="0">
              <a:solidFill>
                <a:schemeClr val="accent4"/>
              </a:solidFill>
            </a:rPr>
            <a:t>1 </a:t>
          </a:r>
          <a:r>
            <a:rPr lang="ru-RU" sz="1200" b="1" baseline="0">
              <a:solidFill>
                <a:schemeClr val="accent4"/>
              </a:solidFill>
            </a:rPr>
            <a:t>млрд</a:t>
          </a:r>
          <a:endParaRPr lang="ru-RU" sz="1200" b="1">
            <a:solidFill>
              <a:schemeClr val="accent4"/>
            </a:solidFill>
          </a:endParaRPr>
        </a:p>
      </cdr:txBody>
    </cdr:sp>
  </cdr:relSizeAnchor>
  <cdr:relSizeAnchor xmlns:cdr="http://schemas.openxmlformats.org/drawingml/2006/chartDrawing">
    <cdr:from>
      <cdr:x>0.7753</cdr:x>
      <cdr:y>0.76402</cdr:y>
    </cdr:from>
    <cdr:to>
      <cdr:x>1</cdr:x>
      <cdr:y>0.83554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444F5C1D-11D3-47E5-A522-0913BB9972B2}"/>
            </a:ext>
          </a:extLst>
        </cdr:cNvPr>
        <cdr:cNvSpPr txBox="1"/>
      </cdr:nvSpPr>
      <cdr:spPr>
        <a:xfrm xmlns:a="http://schemas.openxmlformats.org/drawingml/2006/main">
          <a:off x="5975076" y="3670286"/>
          <a:ext cx="1731726" cy="343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chemeClr val="accent4"/>
              </a:solidFill>
            </a:rPr>
            <a:t>-$20,1 </a:t>
          </a:r>
          <a:r>
            <a:rPr lang="ru-RU" sz="1200" b="1" baseline="0">
              <a:solidFill>
                <a:schemeClr val="accent4"/>
              </a:solidFill>
            </a:rPr>
            <a:t>млрд</a:t>
          </a:r>
          <a:r>
            <a:rPr lang="en-US" sz="1200" b="1" baseline="0">
              <a:solidFill>
                <a:schemeClr val="accent4"/>
              </a:solidFill>
            </a:rPr>
            <a:t> </a:t>
          </a:r>
          <a:r>
            <a:rPr lang="uk-UA" sz="1200" b="1" baseline="0">
              <a:solidFill>
                <a:schemeClr val="tx1"/>
              </a:solidFill>
            </a:rPr>
            <a:t>в 2022</a:t>
          </a:r>
          <a:endParaRPr lang="ru-RU" sz="12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0.78146</cdr:x>
      <cdr:y>0.61575</cdr:y>
    </cdr:from>
    <cdr:to>
      <cdr:x>0.99971</cdr:x>
      <cdr:y>0.68727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C48A24E1-8780-4E6E-AAD7-3E65BB497368}"/>
            </a:ext>
          </a:extLst>
        </cdr:cNvPr>
        <cdr:cNvSpPr txBox="1"/>
      </cdr:nvSpPr>
      <cdr:spPr>
        <a:xfrm xmlns:a="http://schemas.openxmlformats.org/drawingml/2006/main">
          <a:off x="6022561" y="2957996"/>
          <a:ext cx="1682032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chemeClr val="accent3"/>
              </a:solidFill>
            </a:rPr>
            <a:t>24</a:t>
          </a:r>
          <a:r>
            <a:rPr lang="uk-UA" sz="1200" b="1" baseline="0">
              <a:solidFill>
                <a:schemeClr val="accent3"/>
              </a:solidFill>
            </a:rPr>
            <a:t>,</a:t>
          </a:r>
          <a:r>
            <a:rPr lang="en-US" sz="1200" b="1" baseline="0">
              <a:solidFill>
                <a:schemeClr val="accent3"/>
              </a:solidFill>
            </a:rPr>
            <a:t>6</a:t>
          </a:r>
          <a:r>
            <a:rPr lang="uk-UA" sz="1200" b="1" baseline="0">
              <a:solidFill>
                <a:schemeClr val="accent3"/>
              </a:solidFill>
            </a:rPr>
            <a:t> </a:t>
          </a:r>
          <a:r>
            <a:rPr lang="ru-RU" sz="1200" b="1" baseline="0">
              <a:solidFill>
                <a:schemeClr val="accent3"/>
              </a:solidFill>
            </a:rPr>
            <a:t>млрд</a:t>
          </a:r>
          <a:r>
            <a:rPr lang="en-US" sz="1200" b="1" baseline="0">
              <a:solidFill>
                <a:schemeClr val="accent3"/>
              </a:solidFill>
            </a:rPr>
            <a:t> </a:t>
          </a:r>
          <a:r>
            <a:rPr lang="uk-UA" sz="1200" b="1" baseline="0">
              <a:solidFill>
                <a:schemeClr val="tx1"/>
              </a:solidFill>
            </a:rPr>
            <a:t>в 2022</a:t>
          </a:r>
          <a:endParaRPr lang="ru-RU" sz="12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0.78175</cdr:x>
      <cdr:y>0.50368</cdr:y>
    </cdr:from>
    <cdr:to>
      <cdr:x>1</cdr:x>
      <cdr:y>0.5752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C3A15D0-BB76-40CC-99AB-6CAF26827E20}"/>
            </a:ext>
          </a:extLst>
        </cdr:cNvPr>
        <cdr:cNvSpPr txBox="1"/>
      </cdr:nvSpPr>
      <cdr:spPr>
        <a:xfrm xmlns:a="http://schemas.openxmlformats.org/drawingml/2006/main">
          <a:off x="6024770" y="2419626"/>
          <a:ext cx="1682032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chemeClr val="accent1"/>
              </a:solidFill>
            </a:rPr>
            <a:t>16</a:t>
          </a:r>
          <a:r>
            <a:rPr lang="uk-UA" sz="1200" b="1" baseline="0">
              <a:solidFill>
                <a:schemeClr val="accent1"/>
              </a:solidFill>
            </a:rPr>
            <a:t>,</a:t>
          </a:r>
          <a:r>
            <a:rPr lang="en-US" sz="1200" b="1" baseline="0">
              <a:solidFill>
                <a:schemeClr val="accent1"/>
              </a:solidFill>
            </a:rPr>
            <a:t>4</a:t>
          </a:r>
          <a:r>
            <a:rPr lang="uk-UA" sz="1200" b="1" baseline="0">
              <a:solidFill>
                <a:schemeClr val="accent1"/>
              </a:solidFill>
            </a:rPr>
            <a:t> </a:t>
          </a:r>
          <a:r>
            <a:rPr lang="ru-RU" sz="1200" b="1" baseline="0">
              <a:solidFill>
                <a:schemeClr val="accent1"/>
              </a:solidFill>
            </a:rPr>
            <a:t>млрд</a:t>
          </a:r>
          <a:r>
            <a:rPr lang="en-US" sz="1200" b="1" baseline="0">
              <a:solidFill>
                <a:schemeClr val="accent1"/>
              </a:solidFill>
            </a:rPr>
            <a:t> </a:t>
          </a:r>
          <a:r>
            <a:rPr lang="uk-UA" sz="1200" b="1" baseline="0">
              <a:solidFill>
                <a:schemeClr val="tx1"/>
              </a:solidFill>
            </a:rPr>
            <a:t>в 2022</a:t>
          </a:r>
          <a:endParaRPr lang="ru-RU" sz="12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0.78175</cdr:x>
      <cdr:y>0.39161</cdr:y>
    </cdr:from>
    <cdr:to>
      <cdr:x>1</cdr:x>
      <cdr:y>0.46313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BC3A15D0-BB76-40CC-99AB-6CAF26827E20}"/>
            </a:ext>
          </a:extLst>
        </cdr:cNvPr>
        <cdr:cNvSpPr txBox="1"/>
      </cdr:nvSpPr>
      <cdr:spPr>
        <a:xfrm xmlns:a="http://schemas.openxmlformats.org/drawingml/2006/main">
          <a:off x="6024770" y="1881257"/>
          <a:ext cx="1682032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chemeClr val="accent5"/>
              </a:solidFill>
            </a:rPr>
            <a:t>60</a:t>
          </a:r>
          <a:r>
            <a:rPr lang="uk-UA" sz="1200" b="1" baseline="0">
              <a:solidFill>
                <a:schemeClr val="accent5"/>
              </a:solidFill>
            </a:rPr>
            <a:t>,</a:t>
          </a:r>
          <a:r>
            <a:rPr lang="en-US" sz="1200" b="1" baseline="0">
              <a:solidFill>
                <a:schemeClr val="accent5"/>
              </a:solidFill>
            </a:rPr>
            <a:t>6</a:t>
          </a:r>
          <a:r>
            <a:rPr lang="uk-UA" sz="1200" b="1" baseline="0">
              <a:solidFill>
                <a:schemeClr val="accent5"/>
              </a:solidFill>
            </a:rPr>
            <a:t> </a:t>
          </a:r>
          <a:r>
            <a:rPr lang="ru-RU" sz="1200" b="1" baseline="0">
              <a:solidFill>
                <a:schemeClr val="accent5"/>
              </a:solidFill>
            </a:rPr>
            <a:t>млрд</a:t>
          </a:r>
          <a:r>
            <a:rPr lang="en-US" sz="1200" b="1" baseline="0">
              <a:solidFill>
                <a:schemeClr val="accent5"/>
              </a:solidFill>
            </a:rPr>
            <a:t> </a:t>
          </a:r>
          <a:r>
            <a:rPr lang="uk-UA" sz="1200" b="1" baseline="0">
              <a:solidFill>
                <a:schemeClr val="tx1"/>
              </a:solidFill>
            </a:rPr>
            <a:t>в 2022</a:t>
          </a:r>
          <a:endParaRPr lang="ru-RU" sz="12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0.78175</cdr:x>
      <cdr:y>0.27954</cdr:y>
    </cdr:from>
    <cdr:to>
      <cdr:x>1</cdr:x>
      <cdr:y>0.35106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C3A15D0-BB76-40CC-99AB-6CAF26827E20}"/>
            </a:ext>
          </a:extLst>
        </cdr:cNvPr>
        <cdr:cNvSpPr txBox="1"/>
      </cdr:nvSpPr>
      <cdr:spPr>
        <a:xfrm xmlns:a="http://schemas.openxmlformats.org/drawingml/2006/main">
          <a:off x="6024770" y="1342886"/>
          <a:ext cx="1682032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uk-UA" sz="1200" b="1" baseline="0">
              <a:solidFill>
                <a:schemeClr val="accent6"/>
              </a:solidFill>
            </a:rPr>
            <a:t>4</a:t>
          </a:r>
          <a:r>
            <a:rPr lang="en-US" sz="1200" b="1" baseline="0">
              <a:solidFill>
                <a:schemeClr val="accent6"/>
              </a:solidFill>
            </a:rPr>
            <a:t>3</a:t>
          </a:r>
          <a:r>
            <a:rPr lang="uk-UA" sz="1200" b="1" baseline="0">
              <a:solidFill>
                <a:schemeClr val="accent6"/>
              </a:solidFill>
            </a:rPr>
            <a:t>,</a:t>
          </a:r>
          <a:r>
            <a:rPr lang="en-US" sz="1200" b="1" baseline="0">
              <a:solidFill>
                <a:schemeClr val="accent6"/>
              </a:solidFill>
            </a:rPr>
            <a:t>6</a:t>
          </a:r>
          <a:r>
            <a:rPr lang="uk-UA" sz="1200" b="1" baseline="0">
              <a:solidFill>
                <a:schemeClr val="accent6"/>
              </a:solidFill>
            </a:rPr>
            <a:t> </a:t>
          </a:r>
          <a:r>
            <a:rPr lang="ru-RU" sz="1200" b="1" baseline="0">
              <a:solidFill>
                <a:schemeClr val="accent6"/>
              </a:solidFill>
            </a:rPr>
            <a:t>млрд</a:t>
          </a:r>
          <a:r>
            <a:rPr lang="en-US" sz="1200" b="1" baseline="0">
              <a:solidFill>
                <a:schemeClr val="accent6"/>
              </a:solidFill>
            </a:rPr>
            <a:t> </a:t>
          </a:r>
          <a:r>
            <a:rPr lang="uk-UA" sz="1200" b="1" baseline="0">
              <a:solidFill>
                <a:schemeClr val="tx1"/>
              </a:solidFill>
            </a:rPr>
            <a:t>в 2022</a:t>
          </a:r>
          <a:endParaRPr lang="ru-RU" sz="1200" b="1">
            <a:solidFill>
              <a:schemeClr val="tx1"/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absoluteAnchor>
    <xdr:pos x="6856923" y="6235709"/>
    <xdr:ext cx="7706802" cy="4803913"/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53A412B5-0BB1-4D45-9908-6DEA07B06E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3467097" y="3373506"/>
    <xdr:ext cx="7706802" cy="4803913"/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9DC455B-C592-4290-90FB-44490879B26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0.06344</cdr:x>
      <cdr:y>0.14028</cdr:y>
    </cdr:from>
    <cdr:to>
      <cdr:x>0.62304</cdr:x>
      <cdr:y>0.2118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8901" y="673878"/>
          <a:ext cx="4312775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ru-RU" sz="1200" b="1"/>
            <a:t>Сальдо торгового</a:t>
          </a:r>
          <a:r>
            <a:rPr lang="ru-RU" sz="1200" b="1" baseline="0"/>
            <a:t> баланса в 202</a:t>
          </a:r>
          <a:r>
            <a:rPr lang="en-US" sz="1200" b="1" baseline="0"/>
            <a:t>2: </a:t>
          </a:r>
          <a:r>
            <a:rPr lang="en-US" sz="1200" b="1" baseline="0">
              <a:solidFill>
                <a:schemeClr val="accent3"/>
              </a:solidFill>
            </a:rPr>
            <a:t>-$11,8 </a:t>
          </a:r>
          <a:r>
            <a:rPr lang="ru-RU" sz="1200" b="1" baseline="0">
              <a:solidFill>
                <a:schemeClr val="accent3"/>
              </a:solidFill>
            </a:rPr>
            <a:t>млрд</a:t>
          </a:r>
          <a:endParaRPr lang="ru-RU" sz="1200" b="1">
            <a:solidFill>
              <a:schemeClr val="accent3"/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0.05699</cdr:x>
      <cdr:y>0.11787</cdr:y>
    </cdr:from>
    <cdr:to>
      <cdr:x>0.61659</cdr:x>
      <cdr:y>0.18939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39225" y="566219"/>
          <a:ext cx="4312726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ru-RU" sz="1200" b="1"/>
            <a:t>Сальдо торгового</a:t>
          </a:r>
          <a:r>
            <a:rPr lang="ru-RU" sz="1200" b="1" baseline="0"/>
            <a:t> баланса в 202</a:t>
          </a:r>
          <a:r>
            <a:rPr lang="en-US" sz="1200" b="1" baseline="0"/>
            <a:t>3: </a:t>
          </a:r>
          <a:r>
            <a:rPr lang="en-US" sz="1200" b="1" baseline="0">
              <a:solidFill>
                <a:schemeClr val="accent3"/>
              </a:solidFill>
            </a:rPr>
            <a:t>-$</a:t>
          </a:r>
          <a:r>
            <a:rPr lang="uk-UA" sz="1200" b="1" baseline="0">
              <a:solidFill>
                <a:schemeClr val="accent3"/>
              </a:solidFill>
            </a:rPr>
            <a:t>1</a:t>
          </a:r>
          <a:r>
            <a:rPr lang="en-US" sz="1200" b="1" baseline="0">
              <a:solidFill>
                <a:schemeClr val="accent3"/>
              </a:solidFill>
            </a:rPr>
            <a:t>6</a:t>
          </a:r>
          <a:r>
            <a:rPr lang="uk-UA" sz="1200" b="1" baseline="0">
              <a:solidFill>
                <a:schemeClr val="accent3"/>
              </a:solidFill>
            </a:rPr>
            <a:t>,</a:t>
          </a:r>
          <a:r>
            <a:rPr lang="en-US" sz="1200" b="1" baseline="0">
              <a:solidFill>
                <a:schemeClr val="accent3"/>
              </a:solidFill>
            </a:rPr>
            <a:t>3 </a:t>
          </a:r>
          <a:r>
            <a:rPr lang="ru-RU" sz="1200" b="1" baseline="0">
              <a:solidFill>
                <a:schemeClr val="accent3"/>
              </a:solidFill>
            </a:rPr>
            <a:t>млрд</a:t>
          </a:r>
          <a:endParaRPr lang="ru-RU" sz="12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0.78175</cdr:x>
      <cdr:y>0.76402</cdr:y>
    </cdr:from>
    <cdr:to>
      <cdr:x>1</cdr:x>
      <cdr:y>0.83554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444F5C1D-11D3-47E5-A522-0913BB9972B2}"/>
            </a:ext>
          </a:extLst>
        </cdr:cNvPr>
        <cdr:cNvSpPr txBox="1"/>
      </cdr:nvSpPr>
      <cdr:spPr>
        <a:xfrm xmlns:a="http://schemas.openxmlformats.org/drawingml/2006/main">
          <a:off x="6024770" y="3670301"/>
          <a:ext cx="1682032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chemeClr val="accent3"/>
              </a:solidFill>
            </a:rPr>
            <a:t>-$16,3 </a:t>
          </a:r>
          <a:r>
            <a:rPr lang="ru-RU" sz="1200" b="1" baseline="0">
              <a:solidFill>
                <a:schemeClr val="accent3"/>
              </a:solidFill>
            </a:rPr>
            <a:t>млрд</a:t>
          </a:r>
          <a:r>
            <a:rPr lang="en-US" sz="1200" b="1" baseline="0">
              <a:solidFill>
                <a:schemeClr val="accent3"/>
              </a:solidFill>
            </a:rPr>
            <a:t> </a:t>
          </a:r>
          <a:r>
            <a:rPr lang="uk-UA" sz="1200" b="1" baseline="0">
              <a:solidFill>
                <a:schemeClr val="tx1"/>
              </a:solidFill>
            </a:rPr>
            <a:t>в 202</a:t>
          </a:r>
          <a:r>
            <a:rPr lang="en-US" sz="1200" b="1" baseline="0">
              <a:solidFill>
                <a:schemeClr val="tx1"/>
              </a:solidFill>
            </a:rPr>
            <a:t>3</a:t>
          </a:r>
          <a:endParaRPr lang="ru-RU" sz="12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0.78146</cdr:x>
      <cdr:y>0.61575</cdr:y>
    </cdr:from>
    <cdr:to>
      <cdr:x>0.99971</cdr:x>
      <cdr:y>0.68727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C48A24E1-8780-4E6E-AAD7-3E65BB497368}"/>
            </a:ext>
          </a:extLst>
        </cdr:cNvPr>
        <cdr:cNvSpPr txBox="1"/>
      </cdr:nvSpPr>
      <cdr:spPr>
        <a:xfrm xmlns:a="http://schemas.openxmlformats.org/drawingml/2006/main">
          <a:off x="6022561" y="2957996"/>
          <a:ext cx="1682032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chemeClr val="accent4"/>
              </a:solidFill>
            </a:rPr>
            <a:t>21</a:t>
          </a:r>
          <a:r>
            <a:rPr lang="uk-UA" sz="1200" b="1" baseline="0">
              <a:solidFill>
                <a:schemeClr val="accent4"/>
              </a:solidFill>
            </a:rPr>
            <a:t>,</a:t>
          </a:r>
          <a:r>
            <a:rPr lang="en-US" sz="1200" b="1" baseline="0">
              <a:solidFill>
                <a:schemeClr val="accent4"/>
              </a:solidFill>
            </a:rPr>
            <a:t>9</a:t>
          </a:r>
          <a:r>
            <a:rPr lang="uk-UA" sz="1200" b="1" baseline="0">
              <a:solidFill>
                <a:schemeClr val="accent4"/>
              </a:solidFill>
            </a:rPr>
            <a:t> </a:t>
          </a:r>
          <a:r>
            <a:rPr lang="ru-RU" sz="1200" b="1" baseline="0">
              <a:solidFill>
                <a:schemeClr val="accent4"/>
              </a:solidFill>
            </a:rPr>
            <a:t>млрд</a:t>
          </a:r>
          <a:r>
            <a:rPr lang="en-US" sz="1200" b="1" baseline="0">
              <a:solidFill>
                <a:schemeClr val="accent4"/>
              </a:solidFill>
            </a:rPr>
            <a:t> </a:t>
          </a:r>
          <a:r>
            <a:rPr lang="uk-UA" sz="1200" b="1" baseline="0">
              <a:solidFill>
                <a:schemeClr val="tx1"/>
              </a:solidFill>
            </a:rPr>
            <a:t>в 202</a:t>
          </a:r>
          <a:r>
            <a:rPr lang="en-US" sz="1200" b="1" baseline="0">
              <a:solidFill>
                <a:schemeClr val="tx1"/>
              </a:solidFill>
            </a:rPr>
            <a:t>3</a:t>
          </a:r>
          <a:endParaRPr lang="ru-RU" sz="12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0.78175</cdr:x>
      <cdr:y>0.50368</cdr:y>
    </cdr:from>
    <cdr:to>
      <cdr:x>1</cdr:x>
      <cdr:y>0.5752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C3A15D0-BB76-40CC-99AB-6CAF26827E20}"/>
            </a:ext>
          </a:extLst>
        </cdr:cNvPr>
        <cdr:cNvSpPr txBox="1"/>
      </cdr:nvSpPr>
      <cdr:spPr>
        <a:xfrm xmlns:a="http://schemas.openxmlformats.org/drawingml/2006/main">
          <a:off x="6024770" y="2419626"/>
          <a:ext cx="1682032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chemeClr val="accent1"/>
              </a:solidFill>
            </a:rPr>
            <a:t>18</a:t>
          </a:r>
          <a:r>
            <a:rPr lang="uk-UA" sz="1200" b="1" baseline="0">
              <a:solidFill>
                <a:schemeClr val="accent1"/>
              </a:solidFill>
            </a:rPr>
            <a:t>,</a:t>
          </a:r>
          <a:r>
            <a:rPr lang="en-US" sz="1200" b="1" baseline="0">
              <a:solidFill>
                <a:schemeClr val="accent1"/>
              </a:solidFill>
            </a:rPr>
            <a:t>4</a:t>
          </a:r>
          <a:r>
            <a:rPr lang="uk-UA" sz="1200" b="1" baseline="0">
              <a:solidFill>
                <a:schemeClr val="accent1"/>
              </a:solidFill>
            </a:rPr>
            <a:t> </a:t>
          </a:r>
          <a:r>
            <a:rPr lang="ru-RU" sz="1200" b="1" baseline="0">
              <a:solidFill>
                <a:schemeClr val="accent1"/>
              </a:solidFill>
            </a:rPr>
            <a:t>млрд</a:t>
          </a:r>
          <a:r>
            <a:rPr lang="en-US" sz="1200" b="1" baseline="0">
              <a:solidFill>
                <a:schemeClr val="accent1"/>
              </a:solidFill>
            </a:rPr>
            <a:t> </a:t>
          </a:r>
          <a:r>
            <a:rPr lang="uk-UA" sz="1200" b="1" baseline="0">
              <a:solidFill>
                <a:schemeClr val="tx1"/>
              </a:solidFill>
            </a:rPr>
            <a:t>в 202</a:t>
          </a:r>
          <a:r>
            <a:rPr lang="en-US" sz="1200" b="1" baseline="0">
              <a:solidFill>
                <a:schemeClr val="tx1"/>
              </a:solidFill>
            </a:rPr>
            <a:t>3</a:t>
          </a:r>
          <a:endParaRPr lang="ru-RU" sz="12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0.78175</cdr:x>
      <cdr:y>0.39161</cdr:y>
    </cdr:from>
    <cdr:to>
      <cdr:x>1</cdr:x>
      <cdr:y>0.46313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BC3A15D0-BB76-40CC-99AB-6CAF26827E20}"/>
            </a:ext>
          </a:extLst>
        </cdr:cNvPr>
        <cdr:cNvSpPr txBox="1"/>
      </cdr:nvSpPr>
      <cdr:spPr>
        <a:xfrm xmlns:a="http://schemas.openxmlformats.org/drawingml/2006/main">
          <a:off x="6024770" y="1881257"/>
          <a:ext cx="1682032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chemeClr val="accent5"/>
              </a:solidFill>
            </a:rPr>
            <a:t>65</a:t>
          </a:r>
          <a:r>
            <a:rPr lang="uk-UA" sz="1200" b="1" baseline="0">
              <a:solidFill>
                <a:schemeClr val="accent5"/>
              </a:solidFill>
            </a:rPr>
            <a:t>,</a:t>
          </a:r>
          <a:r>
            <a:rPr lang="en-US" sz="1200" b="1" baseline="0">
              <a:solidFill>
                <a:schemeClr val="accent5"/>
              </a:solidFill>
            </a:rPr>
            <a:t>0</a:t>
          </a:r>
          <a:r>
            <a:rPr lang="uk-UA" sz="1200" b="1" baseline="0">
              <a:solidFill>
                <a:schemeClr val="accent5"/>
              </a:solidFill>
            </a:rPr>
            <a:t> </a:t>
          </a:r>
          <a:r>
            <a:rPr lang="ru-RU" sz="1200" b="1" baseline="0">
              <a:solidFill>
                <a:schemeClr val="accent5"/>
              </a:solidFill>
            </a:rPr>
            <a:t>млрд</a:t>
          </a:r>
          <a:r>
            <a:rPr lang="en-US" sz="1200" b="1" baseline="0">
              <a:solidFill>
                <a:schemeClr val="accent5"/>
              </a:solidFill>
            </a:rPr>
            <a:t> </a:t>
          </a:r>
          <a:r>
            <a:rPr lang="uk-UA" sz="1200" b="1" baseline="0">
              <a:solidFill>
                <a:schemeClr val="tx1"/>
              </a:solidFill>
            </a:rPr>
            <a:t>в 202</a:t>
          </a:r>
          <a:r>
            <a:rPr lang="en-US" sz="1200" b="1" baseline="0">
              <a:solidFill>
                <a:schemeClr val="tx1"/>
              </a:solidFill>
            </a:rPr>
            <a:t>3</a:t>
          </a:r>
          <a:endParaRPr lang="ru-RU" sz="12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0.78175</cdr:x>
      <cdr:y>0.27954</cdr:y>
    </cdr:from>
    <cdr:to>
      <cdr:x>1</cdr:x>
      <cdr:y>0.35106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C3A15D0-BB76-40CC-99AB-6CAF26827E20}"/>
            </a:ext>
          </a:extLst>
        </cdr:cNvPr>
        <cdr:cNvSpPr txBox="1"/>
      </cdr:nvSpPr>
      <cdr:spPr>
        <a:xfrm xmlns:a="http://schemas.openxmlformats.org/drawingml/2006/main">
          <a:off x="6024770" y="1342886"/>
          <a:ext cx="1682032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52</a:t>
          </a:r>
          <a:r>
            <a:rPr lang="uk-UA" sz="1200" b="1" baseline="0">
              <a:solidFill>
                <a:schemeClr val="accent6"/>
              </a:solidFill>
            </a:rPr>
            <a:t>,</a:t>
          </a:r>
          <a:r>
            <a:rPr lang="en-US" sz="1200" b="1" baseline="0">
              <a:solidFill>
                <a:schemeClr val="accent6"/>
              </a:solidFill>
            </a:rPr>
            <a:t>2</a:t>
          </a:r>
          <a:r>
            <a:rPr lang="uk-UA" sz="1200" b="1" baseline="0">
              <a:solidFill>
                <a:schemeClr val="accent6"/>
              </a:solidFill>
            </a:rPr>
            <a:t> </a:t>
          </a:r>
          <a:r>
            <a:rPr lang="ru-RU" sz="1200" b="1" baseline="0">
              <a:solidFill>
                <a:schemeClr val="accent6"/>
              </a:solidFill>
            </a:rPr>
            <a:t>млрд</a:t>
          </a:r>
          <a:r>
            <a:rPr lang="en-US" sz="1200" b="1" baseline="0">
              <a:solidFill>
                <a:schemeClr val="accent6"/>
              </a:solidFill>
            </a:rPr>
            <a:t> </a:t>
          </a:r>
          <a:r>
            <a:rPr lang="uk-UA" sz="1200" b="1" baseline="0">
              <a:solidFill>
                <a:schemeClr val="tx1"/>
              </a:solidFill>
            </a:rPr>
            <a:t>в 202</a:t>
          </a:r>
          <a:r>
            <a:rPr lang="en-US" sz="1200" b="1" baseline="0">
              <a:solidFill>
                <a:schemeClr val="tx1"/>
              </a:solidFill>
            </a:rPr>
            <a:t>3</a:t>
          </a:r>
          <a:endParaRPr lang="ru-RU" sz="1200" b="1">
            <a:solidFill>
              <a:schemeClr val="tx1"/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absoluteAnchor>
    <xdr:pos x="6856923" y="6235709"/>
    <xdr:ext cx="7706802" cy="4803913"/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9F001722-BA48-401E-97FB-08A95CCB434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3864663" y="2429289"/>
    <xdr:ext cx="7706802" cy="4803913"/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B4A1C5D1-ADF4-4FCC-81E8-4A50DD1E95A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0.06344</cdr:x>
      <cdr:y>0.14028</cdr:y>
    </cdr:from>
    <cdr:to>
      <cdr:x>0.62304</cdr:x>
      <cdr:y>0.2118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88901" y="673878"/>
          <a:ext cx="4312775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ru-RU" sz="1200" b="1"/>
            <a:t>Сальдо торгового</a:t>
          </a:r>
          <a:r>
            <a:rPr lang="ru-RU" sz="1200" b="1" baseline="0"/>
            <a:t> баланса в 202</a:t>
          </a:r>
          <a:r>
            <a:rPr lang="en-US" sz="1200" b="1" baseline="0"/>
            <a:t>2: </a:t>
          </a:r>
          <a:r>
            <a:rPr lang="en-US" sz="1200" b="1" baseline="0">
              <a:solidFill>
                <a:schemeClr val="accent3"/>
              </a:solidFill>
            </a:rPr>
            <a:t>-$11,8 </a:t>
          </a:r>
          <a:r>
            <a:rPr lang="ru-RU" sz="1200" b="1" baseline="0">
              <a:solidFill>
                <a:schemeClr val="accent3"/>
              </a:solidFill>
            </a:rPr>
            <a:t>млрд</a:t>
          </a:r>
          <a:endParaRPr lang="ru-RU" sz="1200" b="1">
            <a:solidFill>
              <a:schemeClr val="accent3"/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0.05699</cdr:x>
      <cdr:y>0.11787</cdr:y>
    </cdr:from>
    <cdr:to>
      <cdr:x>0.61659</cdr:x>
      <cdr:y>0.18939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439225" y="566219"/>
          <a:ext cx="4312726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ru-RU" sz="1200" b="1"/>
            <a:t>Сальдо торгового</a:t>
          </a:r>
          <a:r>
            <a:rPr lang="ru-RU" sz="1200" b="1" baseline="0"/>
            <a:t> баланса в 202</a:t>
          </a:r>
          <a:r>
            <a:rPr lang="en-US" sz="1200" b="1" baseline="0"/>
            <a:t>3: </a:t>
          </a:r>
          <a:r>
            <a:rPr lang="en-US" sz="1200" b="1" baseline="0">
              <a:solidFill>
                <a:schemeClr val="accent3"/>
              </a:solidFill>
            </a:rPr>
            <a:t>-$24</a:t>
          </a:r>
          <a:r>
            <a:rPr lang="uk-UA" sz="1200" b="1" baseline="0">
              <a:solidFill>
                <a:schemeClr val="accent3"/>
              </a:solidFill>
            </a:rPr>
            <a:t>,</a:t>
          </a:r>
          <a:r>
            <a:rPr lang="en-US" sz="1200" b="1" baseline="0">
              <a:solidFill>
                <a:schemeClr val="accent3"/>
              </a:solidFill>
            </a:rPr>
            <a:t>0 </a:t>
          </a:r>
          <a:r>
            <a:rPr lang="ru-RU" sz="1200" b="1" baseline="0">
              <a:solidFill>
                <a:schemeClr val="accent3"/>
              </a:solidFill>
            </a:rPr>
            <a:t>млрд</a:t>
          </a:r>
          <a:endParaRPr lang="ru-RU" sz="1200" b="1">
            <a:solidFill>
              <a:schemeClr val="accent3"/>
            </a:solidFill>
          </a:endParaRPr>
        </a:p>
      </cdr:txBody>
    </cdr:sp>
  </cdr:relSizeAnchor>
  <cdr:relSizeAnchor xmlns:cdr="http://schemas.openxmlformats.org/drawingml/2006/chartDrawing">
    <cdr:from>
      <cdr:x>0.77745</cdr:x>
      <cdr:y>0.76402</cdr:y>
    </cdr:from>
    <cdr:to>
      <cdr:x>1</cdr:x>
      <cdr:y>0.83554</cdr:y>
    </cdr:to>
    <cdr:sp macro="" textlink="">
      <cdr:nvSpPr>
        <cdr:cNvPr id="3" name="TextBox 1">
          <a:extLst xmlns:a="http://schemas.openxmlformats.org/drawingml/2006/main">
            <a:ext uri="{FF2B5EF4-FFF2-40B4-BE49-F238E27FC236}">
              <a16:creationId xmlns:a16="http://schemas.microsoft.com/office/drawing/2014/main" id="{444F5C1D-11D3-47E5-A522-0913BB9972B2}"/>
            </a:ext>
          </a:extLst>
        </cdr:cNvPr>
        <cdr:cNvSpPr txBox="1"/>
      </cdr:nvSpPr>
      <cdr:spPr>
        <a:xfrm xmlns:a="http://schemas.openxmlformats.org/drawingml/2006/main">
          <a:off x="5991641" y="3670286"/>
          <a:ext cx="1715161" cy="3435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200" b="1" baseline="0">
              <a:solidFill>
                <a:schemeClr val="accent3"/>
              </a:solidFill>
            </a:rPr>
            <a:t>-$24,0 </a:t>
          </a:r>
          <a:r>
            <a:rPr lang="ru-RU" sz="1200" b="1" baseline="0">
              <a:solidFill>
                <a:schemeClr val="accent3"/>
              </a:solidFill>
            </a:rPr>
            <a:t>млрд</a:t>
          </a:r>
          <a:r>
            <a:rPr lang="en-US" sz="1200" b="1" baseline="0">
              <a:solidFill>
                <a:schemeClr val="accent3"/>
              </a:solidFill>
            </a:rPr>
            <a:t> </a:t>
          </a:r>
          <a:r>
            <a:rPr lang="uk-UA" sz="1200" b="1" baseline="0">
              <a:solidFill>
                <a:schemeClr val="tx1"/>
              </a:solidFill>
            </a:rPr>
            <a:t>в 202</a:t>
          </a:r>
          <a:r>
            <a:rPr lang="en-US" sz="1200" b="1" baseline="0">
              <a:solidFill>
                <a:schemeClr val="tx1"/>
              </a:solidFill>
            </a:rPr>
            <a:t>3</a:t>
          </a:r>
          <a:endParaRPr lang="ru-RU" sz="12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0.78146</cdr:x>
      <cdr:y>0.61575</cdr:y>
    </cdr:from>
    <cdr:to>
      <cdr:x>0.99971</cdr:x>
      <cdr:y>0.68727</cdr:y>
    </cdr:to>
    <cdr:sp macro="" textlink="">
      <cdr:nvSpPr>
        <cdr:cNvPr id="5" name="TextBox 1">
          <a:extLst xmlns:a="http://schemas.openxmlformats.org/drawingml/2006/main">
            <a:ext uri="{FF2B5EF4-FFF2-40B4-BE49-F238E27FC236}">
              <a16:creationId xmlns:a16="http://schemas.microsoft.com/office/drawing/2014/main" id="{C48A24E1-8780-4E6E-AAD7-3E65BB497368}"/>
            </a:ext>
          </a:extLst>
        </cdr:cNvPr>
        <cdr:cNvSpPr txBox="1"/>
      </cdr:nvSpPr>
      <cdr:spPr>
        <a:xfrm xmlns:a="http://schemas.openxmlformats.org/drawingml/2006/main">
          <a:off x="6022561" y="2957996"/>
          <a:ext cx="1682032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chemeClr val="accent4"/>
              </a:solidFill>
            </a:rPr>
            <a:t>21</a:t>
          </a:r>
          <a:r>
            <a:rPr lang="uk-UA" sz="1200" b="1" baseline="0">
              <a:solidFill>
                <a:schemeClr val="accent4"/>
              </a:solidFill>
            </a:rPr>
            <a:t>,</a:t>
          </a:r>
          <a:r>
            <a:rPr lang="en-US" sz="1200" b="1" baseline="0">
              <a:solidFill>
                <a:schemeClr val="accent4"/>
              </a:solidFill>
            </a:rPr>
            <a:t>9</a:t>
          </a:r>
          <a:r>
            <a:rPr lang="uk-UA" sz="1200" b="1" baseline="0">
              <a:solidFill>
                <a:schemeClr val="accent4"/>
              </a:solidFill>
            </a:rPr>
            <a:t> </a:t>
          </a:r>
          <a:r>
            <a:rPr lang="ru-RU" sz="1200" b="1" baseline="0">
              <a:solidFill>
                <a:schemeClr val="accent4"/>
              </a:solidFill>
            </a:rPr>
            <a:t>млрд</a:t>
          </a:r>
          <a:r>
            <a:rPr lang="en-US" sz="1200" b="1" baseline="0">
              <a:solidFill>
                <a:schemeClr val="accent4"/>
              </a:solidFill>
            </a:rPr>
            <a:t> </a:t>
          </a:r>
          <a:r>
            <a:rPr lang="uk-UA" sz="1200" b="1" baseline="0">
              <a:solidFill>
                <a:schemeClr val="tx1"/>
              </a:solidFill>
            </a:rPr>
            <a:t>в 202</a:t>
          </a:r>
          <a:r>
            <a:rPr lang="en-US" sz="1200" b="1" baseline="0">
              <a:solidFill>
                <a:schemeClr val="tx1"/>
              </a:solidFill>
            </a:rPr>
            <a:t>3</a:t>
          </a:r>
          <a:endParaRPr lang="ru-RU" sz="12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0.78175</cdr:x>
      <cdr:y>0.50368</cdr:y>
    </cdr:from>
    <cdr:to>
      <cdr:x>1</cdr:x>
      <cdr:y>0.5752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BC3A15D0-BB76-40CC-99AB-6CAF26827E20}"/>
            </a:ext>
          </a:extLst>
        </cdr:cNvPr>
        <cdr:cNvSpPr txBox="1"/>
      </cdr:nvSpPr>
      <cdr:spPr>
        <a:xfrm xmlns:a="http://schemas.openxmlformats.org/drawingml/2006/main">
          <a:off x="6024770" y="2419626"/>
          <a:ext cx="1682032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chemeClr val="accent1"/>
              </a:solidFill>
            </a:rPr>
            <a:t>18</a:t>
          </a:r>
          <a:r>
            <a:rPr lang="uk-UA" sz="1200" b="1" baseline="0">
              <a:solidFill>
                <a:schemeClr val="accent1"/>
              </a:solidFill>
            </a:rPr>
            <a:t>,</a:t>
          </a:r>
          <a:r>
            <a:rPr lang="en-US" sz="1200" b="1" baseline="0">
              <a:solidFill>
                <a:schemeClr val="accent1"/>
              </a:solidFill>
            </a:rPr>
            <a:t>4</a:t>
          </a:r>
          <a:r>
            <a:rPr lang="uk-UA" sz="1200" b="1" baseline="0">
              <a:solidFill>
                <a:schemeClr val="accent1"/>
              </a:solidFill>
            </a:rPr>
            <a:t> </a:t>
          </a:r>
          <a:r>
            <a:rPr lang="ru-RU" sz="1200" b="1" baseline="0">
              <a:solidFill>
                <a:schemeClr val="accent1"/>
              </a:solidFill>
            </a:rPr>
            <a:t>млрд</a:t>
          </a:r>
          <a:r>
            <a:rPr lang="en-US" sz="1200" b="1" baseline="0">
              <a:solidFill>
                <a:schemeClr val="accent1"/>
              </a:solidFill>
            </a:rPr>
            <a:t> </a:t>
          </a:r>
          <a:r>
            <a:rPr lang="uk-UA" sz="1200" b="1" baseline="0">
              <a:solidFill>
                <a:schemeClr val="tx1"/>
              </a:solidFill>
            </a:rPr>
            <a:t>в 202</a:t>
          </a:r>
          <a:r>
            <a:rPr lang="en-US" sz="1200" b="1" baseline="0">
              <a:solidFill>
                <a:schemeClr val="tx1"/>
              </a:solidFill>
            </a:rPr>
            <a:t>3</a:t>
          </a:r>
          <a:endParaRPr lang="ru-RU" sz="12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0.78175</cdr:x>
      <cdr:y>0.39161</cdr:y>
    </cdr:from>
    <cdr:to>
      <cdr:x>1</cdr:x>
      <cdr:y>0.46313</cdr:y>
    </cdr:to>
    <cdr:sp macro="" textlink="">
      <cdr:nvSpPr>
        <cdr:cNvPr id="13" name="TextBox 1">
          <a:extLst xmlns:a="http://schemas.openxmlformats.org/drawingml/2006/main">
            <a:ext uri="{FF2B5EF4-FFF2-40B4-BE49-F238E27FC236}">
              <a16:creationId xmlns:a16="http://schemas.microsoft.com/office/drawing/2014/main" id="{BC3A15D0-BB76-40CC-99AB-6CAF26827E20}"/>
            </a:ext>
          </a:extLst>
        </cdr:cNvPr>
        <cdr:cNvSpPr txBox="1"/>
      </cdr:nvSpPr>
      <cdr:spPr>
        <a:xfrm xmlns:a="http://schemas.openxmlformats.org/drawingml/2006/main">
          <a:off x="6024770" y="1881257"/>
          <a:ext cx="1682032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200" b="1" baseline="0">
              <a:solidFill>
                <a:schemeClr val="accent5"/>
              </a:solidFill>
            </a:rPr>
            <a:t>72</a:t>
          </a:r>
          <a:r>
            <a:rPr lang="uk-UA" sz="1200" b="1" baseline="0">
              <a:solidFill>
                <a:schemeClr val="accent5"/>
              </a:solidFill>
            </a:rPr>
            <a:t>,</a:t>
          </a:r>
          <a:r>
            <a:rPr lang="en-US" sz="1200" b="1" baseline="0">
              <a:solidFill>
                <a:schemeClr val="accent5"/>
              </a:solidFill>
            </a:rPr>
            <a:t>7</a:t>
          </a:r>
          <a:r>
            <a:rPr lang="uk-UA" sz="1200" b="1" baseline="0">
              <a:solidFill>
                <a:schemeClr val="accent5"/>
              </a:solidFill>
            </a:rPr>
            <a:t> </a:t>
          </a:r>
          <a:r>
            <a:rPr lang="ru-RU" sz="1200" b="1" baseline="0">
              <a:solidFill>
                <a:schemeClr val="accent5"/>
              </a:solidFill>
            </a:rPr>
            <a:t>млрд</a:t>
          </a:r>
          <a:r>
            <a:rPr lang="en-US" sz="1200" b="1" baseline="0">
              <a:solidFill>
                <a:schemeClr val="accent5"/>
              </a:solidFill>
            </a:rPr>
            <a:t> </a:t>
          </a:r>
          <a:r>
            <a:rPr lang="uk-UA" sz="1200" b="1" baseline="0">
              <a:solidFill>
                <a:schemeClr val="tx1"/>
              </a:solidFill>
            </a:rPr>
            <a:t>в 202</a:t>
          </a:r>
          <a:r>
            <a:rPr lang="en-US" sz="1200" b="1" baseline="0">
              <a:solidFill>
                <a:schemeClr val="tx1"/>
              </a:solidFill>
            </a:rPr>
            <a:t>3</a:t>
          </a:r>
          <a:endParaRPr lang="ru-RU" sz="1200" b="1">
            <a:solidFill>
              <a:schemeClr val="tx1"/>
            </a:solidFill>
          </a:endParaRPr>
        </a:p>
      </cdr:txBody>
    </cdr:sp>
  </cdr:relSizeAnchor>
  <cdr:relSizeAnchor xmlns:cdr="http://schemas.openxmlformats.org/drawingml/2006/chartDrawing">
    <cdr:from>
      <cdr:x>0.78175</cdr:x>
      <cdr:y>0.27954</cdr:y>
    </cdr:from>
    <cdr:to>
      <cdr:x>1</cdr:x>
      <cdr:y>0.35106</cdr:y>
    </cdr:to>
    <cdr:sp macro="" textlink="">
      <cdr:nvSpPr>
        <cdr:cNvPr id="14" name="TextBox 1">
          <a:extLst xmlns:a="http://schemas.openxmlformats.org/drawingml/2006/main">
            <a:ext uri="{FF2B5EF4-FFF2-40B4-BE49-F238E27FC236}">
              <a16:creationId xmlns:a16="http://schemas.microsoft.com/office/drawing/2014/main" id="{BC3A15D0-BB76-40CC-99AB-6CAF26827E20}"/>
            </a:ext>
          </a:extLst>
        </cdr:cNvPr>
        <cdr:cNvSpPr txBox="1"/>
      </cdr:nvSpPr>
      <cdr:spPr>
        <a:xfrm xmlns:a="http://schemas.openxmlformats.org/drawingml/2006/main">
          <a:off x="6024770" y="1342886"/>
          <a:ext cx="1682032" cy="3435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 baseline="0">
              <a:solidFill>
                <a:schemeClr val="accent6"/>
              </a:solidFill>
            </a:rPr>
            <a:t>52</a:t>
          </a:r>
          <a:r>
            <a:rPr lang="uk-UA" sz="1200" b="1" baseline="0">
              <a:solidFill>
                <a:schemeClr val="accent6"/>
              </a:solidFill>
            </a:rPr>
            <a:t>,</a:t>
          </a:r>
          <a:r>
            <a:rPr lang="en-US" sz="1200" b="1" baseline="0">
              <a:solidFill>
                <a:schemeClr val="accent6"/>
              </a:solidFill>
            </a:rPr>
            <a:t>2</a:t>
          </a:r>
          <a:r>
            <a:rPr lang="uk-UA" sz="1200" b="1" baseline="0">
              <a:solidFill>
                <a:schemeClr val="accent6"/>
              </a:solidFill>
            </a:rPr>
            <a:t> </a:t>
          </a:r>
          <a:r>
            <a:rPr lang="ru-RU" sz="1200" b="1" baseline="0">
              <a:solidFill>
                <a:schemeClr val="accent6"/>
              </a:solidFill>
            </a:rPr>
            <a:t>млрд</a:t>
          </a:r>
          <a:r>
            <a:rPr lang="en-US" sz="1200" b="1" baseline="0">
              <a:solidFill>
                <a:schemeClr val="accent6"/>
              </a:solidFill>
            </a:rPr>
            <a:t> </a:t>
          </a:r>
          <a:r>
            <a:rPr lang="uk-UA" sz="1200" b="1" baseline="0">
              <a:solidFill>
                <a:schemeClr val="tx1"/>
              </a:solidFill>
            </a:rPr>
            <a:t>в 202</a:t>
          </a:r>
          <a:r>
            <a:rPr lang="en-US" sz="1200" b="1" baseline="0">
              <a:solidFill>
                <a:schemeClr val="tx1"/>
              </a:solidFill>
            </a:rPr>
            <a:t>3</a:t>
          </a:r>
          <a:endParaRPr lang="ru-RU" sz="1200" b="1">
            <a:solidFill>
              <a:schemeClr val="tx1"/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absoluteAnchor>
    <xdr:pos x="0" y="6400800"/>
    <xdr:ext cx="9305925" cy="6076950"/>
    <xdr:graphicFrame macro="">
      <xdr:nvGraphicFramePr>
        <xdr:cNvPr id="2" name="Діаграма 1">
          <a:extLst>
            <a:ext uri="{FF2B5EF4-FFF2-40B4-BE49-F238E27FC236}">
              <a16:creationId xmlns:a16="http://schemas.microsoft.com/office/drawing/2014/main" id="{82C0CE50-38B7-4803-9ADF-EFE414490FC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47625" y="12753975"/>
    <xdr:ext cx="9301370" cy="6071152"/>
    <xdr:graphicFrame macro="">
      <xdr:nvGraphicFramePr>
        <xdr:cNvPr id="3" name="Діаграма 2">
          <a:extLst>
            <a:ext uri="{FF2B5EF4-FFF2-40B4-BE49-F238E27FC236}">
              <a16:creationId xmlns:a16="http://schemas.microsoft.com/office/drawing/2014/main" id="{72102EFD-F1F9-40BF-A498-568D6D90624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161925" y="19050000"/>
    <xdr:ext cx="9301370" cy="6071152"/>
    <xdr:graphicFrame macro="">
      <xdr:nvGraphicFramePr>
        <xdr:cNvPr id="4" name="Діаграма 3">
          <a:extLst>
            <a:ext uri="{FF2B5EF4-FFF2-40B4-BE49-F238E27FC236}">
              <a16:creationId xmlns:a16="http://schemas.microsoft.com/office/drawing/2014/main" id="{978229AB-5937-41AE-B411-FEB64A902C1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  <xdr:absoluteAnchor>
    <xdr:pos x="5734050" y="5880735"/>
    <xdr:ext cx="9305925" cy="6076950"/>
    <xdr:graphicFrame macro="">
      <xdr:nvGraphicFramePr>
        <xdr:cNvPr id="5" name="Діаграма 4">
          <a:extLst>
            <a:ext uri="{FF2B5EF4-FFF2-40B4-BE49-F238E27FC236}">
              <a16:creationId xmlns:a16="http://schemas.microsoft.com/office/drawing/2014/main" id="{174E3DA1-2129-48FE-BE43-CC566499B64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absoluteAnchor>
  <xdr:absoluteAnchor>
    <xdr:pos x="6524625" y="11553825"/>
    <xdr:ext cx="9301370" cy="6071152"/>
    <xdr:graphicFrame macro="">
      <xdr:nvGraphicFramePr>
        <xdr:cNvPr id="6" name="Діаграма 5">
          <a:extLst>
            <a:ext uri="{FF2B5EF4-FFF2-40B4-BE49-F238E27FC236}">
              <a16:creationId xmlns:a16="http://schemas.microsoft.com/office/drawing/2014/main" id="{AD37C6DB-8D61-4810-A51E-748FB0830FF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</xdr:wsDr>
</file>

<file path=xl/drawings/drawing47.xml><?xml version="1.0" encoding="utf-8"?>
<xdr:wsDr xmlns:xdr="http://schemas.openxmlformats.org/drawingml/2006/spreadsheetDrawing" xmlns:a="http://schemas.openxmlformats.org/drawingml/2006/main">
  <xdr:absoluteAnchor>
    <xdr:pos x="9769607" y="6380739"/>
    <xdr:ext cx="9305925" cy="6076950"/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0CECF5DB-D14E-4956-A844-C72E5106659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416255" y="6534939"/>
    <xdr:ext cx="9305925" cy="6076950"/>
    <xdr:graphicFrame macro="">
      <xdr:nvGraphicFramePr>
        <xdr:cNvPr id="3" name="Диаграмма 3">
          <a:extLst>
            <a:ext uri="{FF2B5EF4-FFF2-40B4-BE49-F238E27FC236}">
              <a16:creationId xmlns:a16="http://schemas.microsoft.com/office/drawing/2014/main" id="{7D4CF2B8-B781-4EA0-9D03-C42EC4B4FBC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  <xdr:absoluteAnchor>
    <xdr:pos x="10191749" y="12981214"/>
    <xdr:ext cx="9305925" cy="6076950"/>
    <xdr:graphicFrame macro="">
      <xdr:nvGraphicFramePr>
        <xdr:cNvPr id="4" name="Диаграмма 2">
          <a:extLst>
            <a:ext uri="{FF2B5EF4-FFF2-40B4-BE49-F238E27FC236}">
              <a16:creationId xmlns:a16="http://schemas.microsoft.com/office/drawing/2014/main" id="{48C5BDF6-F2B4-4033-BAD3-E912881C35F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absoluteAnchor>
</xdr:wsDr>
</file>

<file path=xl/drawings/drawing48.xml><?xml version="1.0" encoding="utf-8"?>
<xdr:wsDr xmlns:xdr="http://schemas.openxmlformats.org/drawingml/2006/spreadsheetDrawing" xmlns:a="http://schemas.openxmlformats.org/drawingml/2006/main">
  <xdr:absoluteAnchor>
    <xdr:pos x="10531607" y="6829775"/>
    <xdr:ext cx="9305925" cy="6076950"/>
    <xdr:graphicFrame macro="">
      <xdr:nvGraphicFramePr>
        <xdr:cNvPr id="2" name="Диаграмма 2">
          <a:extLst>
            <a:ext uri="{FF2B5EF4-FFF2-40B4-BE49-F238E27FC236}">
              <a16:creationId xmlns:a16="http://schemas.microsoft.com/office/drawing/2014/main" id="{5AE66370-FF2B-44EB-A189-4CDEE017631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absoluteAnchor>
    <xdr:pos x="620362" y="7242510"/>
    <xdr:ext cx="9305925" cy="6076950"/>
    <xdr:graphicFrame macro="">
      <xdr:nvGraphicFramePr>
        <xdr:cNvPr id="3" name="Диаграмма 3">
          <a:extLst>
            <a:ext uri="{FF2B5EF4-FFF2-40B4-BE49-F238E27FC236}">
              <a16:creationId xmlns:a16="http://schemas.microsoft.com/office/drawing/2014/main" id="{9915C44F-157E-4457-B951-1867E24D166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ebswn01s\ICS$\576\576FSI_2008Q4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-intranet.imf.org/departments/STA/collaboration/STASIDP/Documents/CDIS%20Report%20Form%20ITT%20(Pilot)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-intranet.imf.org/Documents%20and%20Settings/tgaleza/Local%20Settings/Temporary%20Internet%20Files/OLK10B/Copy%20of%201931PI_2008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EX_SEC_STATISTICS\K327\YAKIMENKO\&#1044;&#1048;&#1057;&#1058;&#1040;&#1053;&#1057;\&#1052;&#1042;&#1060;\2021\III_2021\&#1054;&#1090;&#1087;&#1088;&#1072;&#1074;&#1082;&#1072;\926BOPBPM6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u-250\vol5\Old\Inna\&#1055;&#1054;&#1055;&#1045;&#1056;_&#1044;&#1040;&#1053;\2010\03\&#1041;&#1077;&#1088;&#1077;&#1079;&#1077;&#1085;&#1100;\Old\&#1052;&#1086;&#1080;%20&#1076;&#1086;&#1082;&#1091;&#1084;&#1077;&#1085;&#1090;&#1099;\My%20eBooks\03_Robochi%20faily\2008\Cur%20Acc\09\Documents%20and%20Settings\CSONG\Local%20Settings\Temporary%20Internet%20Files\OLK3\BOPukr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-intranet.imf.org/departments/STA/collaboration/STASIDP/Documents/ITT%20for%20CDI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.Nikolaienko\Downloads\&#1050;&#1091;&#1088;&#1080;&#1083;&#1082;&#1072;\&#1042;&#1080;&#1088;&#1086;&#1073;&#1085;&#1080;&#1094;&#1090;&#1074;&#1086;%20(&#1061;&#1110;&#1084;&#1110;&#1111;)%20&#1087;&#1088;&#1086;&#1084;&#1080;&#1089;&#1083;&#1086;&#1074;&#1086;&#1111;%20&#1087;&#1088;&#1086;&#1076;&#1091;&#1082;&#1094;&#1110;&#1111;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u.bank.gov.ua\docs\Old\Inna\&#1055;&#1054;&#1055;&#1045;&#1056;_&#1044;&#1040;&#1053;\2010\03\&#1041;&#1077;&#1088;&#1077;&#1079;&#1077;&#1085;&#1100;\Old\&#1052;&#1086;&#1080;%20&#1076;&#1086;&#1082;&#1091;&#1084;&#1077;&#1085;&#1090;&#1099;\My%20eBooks\03_Robochi%20faily\2008\Cur%20Acc\09\WINDOWS\TEMP\ukr2001%20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u.bank.gov.ua\docs\Old\Inna\&#1055;&#1054;&#1055;&#1045;&#1056;_&#1044;&#1040;&#1053;\2010\03\&#1041;&#1077;&#1088;&#1077;&#1079;&#1077;&#1085;&#1100;\Old\&#1052;&#1086;&#1080;%20&#1076;&#1086;&#1082;&#1091;&#1084;&#1077;&#1085;&#1090;&#1099;\My%20eBooks\03_Robochi%20faily\2008\Cur%20Acc\09\WINDOWS.98\TEMP\&#1043;&#1072;&#1083;&#1100;%20-%20&#1090;&#1072;&#1073;&#1083;.%20(17%20&#1096;&#1090;.)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-intranet.imf.org/departments/STA/about_sta/divisions/stasi/STASIIMS/STASIDP/Documents/FA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ina\share\My%20Documents\Ukraine\Reporting\ukrbopcmdec3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ybch\Downloads\Telegram%20Desktop\16_&#1095;&#1072;&#1088;&#1090;_&#1086;&#1082;&#1088;&#1077;&#1084;&#1110;_&#1089;&#1090;&#1072;&#1090;&#1090;&#111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CoverPage"/>
      <sheetName val="CoverPage_TS"/>
      <sheetName val="PeriodicityInfo"/>
      <sheetName val="Table A"/>
      <sheetName val="Table A_TS"/>
      <sheetName val="Annex Tables A.1-A.3"/>
      <sheetName val="Annex Tables A.1-A.3_TS"/>
      <sheetName val="Annex Tables A.4-A.5"/>
      <sheetName val="Annex Tables A.4-A.5_TS"/>
      <sheetName val="Table B"/>
      <sheetName val="Table B(Suppl.)"/>
      <sheetName val="Guide References"/>
      <sheetName val="Master"/>
      <sheetName val="Deviations"/>
      <sheetName val="DevRanges"/>
      <sheetName val="InterAdjustments"/>
      <sheetName val="InterAdjustRanges"/>
      <sheetName val="SI1–Reg. Cap."/>
      <sheetName val="SI2–RWA"/>
      <sheetName val="SI3–NPL"/>
      <sheetName val="SI4–Res. Real Estate P"/>
      <sheetName val="SI5–Comm. Real Estate P"/>
      <sheetName val="Fin. Structure"/>
      <sheetName val="Table F1"/>
      <sheetName val="Table F2"/>
      <sheetName val="Table F3"/>
      <sheetName val="Table F4"/>
      <sheetName val="Table F5"/>
      <sheetName val="Table F6"/>
      <sheetName val="Table F7"/>
      <sheetName val="AdditionalInfo"/>
      <sheetName val="Validation Summary"/>
      <sheetName val="Report Form"/>
      <sheetName val="Contro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1">
          <cell r="C1" t="str">
            <v>Singapore</v>
          </cell>
        </row>
        <row r="5">
          <cell r="C5">
            <v>127</v>
          </cell>
        </row>
        <row r="8">
          <cell r="C8" t="str">
            <v>Q:4:2008</v>
          </cell>
        </row>
        <row r="17">
          <cell r="H17" t="str">
            <v>Lead Agency</v>
          </cell>
        </row>
        <row r="18">
          <cell r="H18" t="str">
            <v>Co-Lead Agency</v>
          </cell>
        </row>
        <row r="19">
          <cell r="H19" t="str">
            <v>Other Responsible Agency</v>
          </cell>
        </row>
        <row r="20">
          <cell r="J20" t="str">
            <v>Coordinator Name</v>
          </cell>
        </row>
        <row r="21">
          <cell r="J21" t="str">
            <v>Contact Person Name</v>
          </cell>
        </row>
        <row r="42">
          <cell r="V42" t="str">
            <v>Thousands</v>
          </cell>
        </row>
        <row r="43">
          <cell r="V43" t="str">
            <v>Millions</v>
          </cell>
        </row>
        <row r="44">
          <cell r="V44" t="str">
            <v>Billions</v>
          </cell>
        </row>
        <row r="45">
          <cell r="V45" t="str">
            <v>Trillions</v>
          </cell>
        </row>
        <row r="330">
          <cell r="BA330" t="str">
            <v xml:space="preserve"> </v>
          </cell>
        </row>
        <row r="331">
          <cell r="BA331" t="str">
            <v>AFGHANIS</v>
          </cell>
        </row>
        <row r="332">
          <cell r="BA332" t="str">
            <v>ALGERIAN DINARS</v>
          </cell>
        </row>
        <row r="333">
          <cell r="BA333" t="str">
            <v>ARGENTINE PESOS</v>
          </cell>
        </row>
        <row r="334">
          <cell r="BA334" t="str">
            <v>ARUBAN FLORINS</v>
          </cell>
        </row>
        <row r="335">
          <cell r="BA335" t="str">
            <v>AUSTRALIAN DOLLARS</v>
          </cell>
        </row>
        <row r="336">
          <cell r="BA336" t="str">
            <v>BAHAMIAN DOLLARS</v>
          </cell>
        </row>
        <row r="337">
          <cell r="BA337" t="str">
            <v>BAHRAIN DINARS</v>
          </cell>
        </row>
        <row r="338">
          <cell r="BA338" t="str">
            <v>BAHT</v>
          </cell>
        </row>
        <row r="339">
          <cell r="BA339" t="str">
            <v>BALBOAS</v>
          </cell>
        </row>
        <row r="340">
          <cell r="BA340" t="str">
            <v>BARBADOS DOLLARS</v>
          </cell>
        </row>
        <row r="341">
          <cell r="BA341" t="str">
            <v>BELARUSIAN RUBELS</v>
          </cell>
        </row>
        <row r="342">
          <cell r="BA342" t="str">
            <v>BELIZE DOLLARS</v>
          </cell>
        </row>
        <row r="343">
          <cell r="BA343" t="str">
            <v>BERMUDA DOLLARS</v>
          </cell>
        </row>
        <row r="344">
          <cell r="BA344" t="str">
            <v>BIRR</v>
          </cell>
        </row>
        <row r="345">
          <cell r="BA345" t="str">
            <v>BOLIVARES</v>
          </cell>
        </row>
        <row r="346">
          <cell r="BA346" t="str">
            <v>BOLIVIANOS</v>
          </cell>
        </row>
        <row r="347">
          <cell r="BA347" t="str">
            <v>BRUNEI DOLLARS</v>
          </cell>
        </row>
        <row r="348">
          <cell r="BA348" t="str">
            <v>BURUNDI FRANCS</v>
          </cell>
        </row>
        <row r="349">
          <cell r="BA349" t="str">
            <v>CANADIAN DOLLARS</v>
          </cell>
        </row>
        <row r="350">
          <cell r="BA350" t="str">
            <v>CAYMAN IS. DOLLARS</v>
          </cell>
        </row>
        <row r="351">
          <cell r="BA351" t="str">
            <v>CEDIS</v>
          </cell>
        </row>
        <row r="352">
          <cell r="BA352" t="str">
            <v>CFA FRANCS</v>
          </cell>
        </row>
        <row r="353">
          <cell r="BA353" t="str">
            <v>CFP FRANCS</v>
          </cell>
        </row>
        <row r="354">
          <cell r="BA354" t="str">
            <v>CHILEAN PESOS</v>
          </cell>
        </row>
        <row r="355">
          <cell r="BA355" t="str">
            <v>COLOMBIAN PESOS</v>
          </cell>
        </row>
        <row r="356">
          <cell r="BA356" t="str">
            <v>COLONES</v>
          </cell>
        </row>
        <row r="357">
          <cell r="BA357" t="str">
            <v>COMORIAN FRANCS</v>
          </cell>
        </row>
        <row r="358">
          <cell r="BA358" t="str">
            <v>CONGO FRANCS</v>
          </cell>
        </row>
        <row r="359">
          <cell r="BA359" t="str">
            <v>CONVERTIBLE MARKA</v>
          </cell>
        </row>
        <row r="360">
          <cell r="BA360" t="str">
            <v>CORDOBAS</v>
          </cell>
        </row>
        <row r="361">
          <cell r="BA361" t="str">
            <v>CUBAN PESOS</v>
          </cell>
        </row>
        <row r="362">
          <cell r="BA362" t="str">
            <v>CYPRUS POUNDS</v>
          </cell>
        </row>
        <row r="363">
          <cell r="BA363" t="str">
            <v>DALASIS</v>
          </cell>
        </row>
        <row r="364">
          <cell r="BA364" t="str">
            <v>DANISH KRONER</v>
          </cell>
        </row>
        <row r="365">
          <cell r="BA365" t="str">
            <v>DENARS</v>
          </cell>
        </row>
        <row r="366">
          <cell r="BA366" t="str">
            <v>DINARS</v>
          </cell>
        </row>
        <row r="367">
          <cell r="BA367" t="str">
            <v>DIRHAMS</v>
          </cell>
        </row>
        <row r="368">
          <cell r="BA368" t="str">
            <v>DJIBOUTI FRANCS</v>
          </cell>
        </row>
        <row r="369">
          <cell r="BA369" t="str">
            <v>DOBRAS</v>
          </cell>
        </row>
        <row r="370">
          <cell r="BA370" t="str">
            <v>DOMINICAN PESOS</v>
          </cell>
        </row>
        <row r="371">
          <cell r="BA371" t="str">
            <v>DONG</v>
          </cell>
        </row>
        <row r="372">
          <cell r="BA372" t="str">
            <v>DRAMS</v>
          </cell>
        </row>
        <row r="373">
          <cell r="BA373" t="str">
            <v>E.CARIBBEAN DOLLARS</v>
          </cell>
        </row>
        <row r="374">
          <cell r="BA374" t="str">
            <v>EGYPTIAN POUNDS</v>
          </cell>
        </row>
        <row r="375">
          <cell r="BA375" t="str">
            <v>EMALANGENI</v>
          </cell>
        </row>
        <row r="376">
          <cell r="BA376" t="str">
            <v>ESCUDOS</v>
          </cell>
        </row>
        <row r="377">
          <cell r="BA377" t="str">
            <v>EUROS</v>
          </cell>
        </row>
        <row r="378">
          <cell r="BA378" t="str">
            <v>FALKLAND IS. POUNDS</v>
          </cell>
        </row>
        <row r="379">
          <cell r="BA379" t="str">
            <v>FIJI DOLLARS</v>
          </cell>
        </row>
        <row r="380">
          <cell r="BA380" t="str">
            <v>FORINT</v>
          </cell>
        </row>
        <row r="381">
          <cell r="BA381" t="str">
            <v>FR. FRANCS/SP. PESETAS</v>
          </cell>
        </row>
        <row r="382">
          <cell r="BA382" t="str">
            <v>FRENCH FRANCS</v>
          </cell>
        </row>
        <row r="383">
          <cell r="BA383" t="str">
            <v>GIBRALTAR POUNDS</v>
          </cell>
        </row>
        <row r="384">
          <cell r="BA384" t="str">
            <v>GOURDES</v>
          </cell>
        </row>
        <row r="385">
          <cell r="BA385" t="str">
            <v>GUARANIES</v>
          </cell>
        </row>
        <row r="386">
          <cell r="BA386" t="str">
            <v>GUILDERS</v>
          </cell>
        </row>
        <row r="387">
          <cell r="BA387" t="str">
            <v>GUINEAN FRANCS</v>
          </cell>
        </row>
        <row r="388">
          <cell r="BA388" t="str">
            <v>GUYANA DOLLARS</v>
          </cell>
        </row>
        <row r="389">
          <cell r="BA389" t="str">
            <v>HONG KONG DOLLARS</v>
          </cell>
        </row>
        <row r="390">
          <cell r="BA390" t="str">
            <v>HRYVNIAS</v>
          </cell>
        </row>
        <row r="391">
          <cell r="BA391" t="str">
            <v>INDIAN RUPEES</v>
          </cell>
        </row>
        <row r="392">
          <cell r="BA392" t="str">
            <v>JAMAICA DOLLARS</v>
          </cell>
        </row>
        <row r="393">
          <cell r="BA393" t="str">
            <v>JORDANIAN DINARS</v>
          </cell>
        </row>
        <row r="394">
          <cell r="BA394" t="str">
            <v>KENYA SHILLINGS</v>
          </cell>
        </row>
        <row r="395">
          <cell r="BA395" t="str">
            <v>KINA</v>
          </cell>
        </row>
        <row r="396">
          <cell r="BA396" t="str">
            <v>KIP</v>
          </cell>
        </row>
        <row r="397">
          <cell r="BA397" t="str">
            <v>KORUNY</v>
          </cell>
        </row>
        <row r="398">
          <cell r="BA398" t="str">
            <v>KRONER</v>
          </cell>
        </row>
        <row r="399">
          <cell r="BA399" t="str">
            <v>KRONUR</v>
          </cell>
        </row>
        <row r="400">
          <cell r="BA400" t="str">
            <v>KROONI</v>
          </cell>
        </row>
        <row r="401">
          <cell r="BA401" t="str">
            <v>KUNAS</v>
          </cell>
        </row>
        <row r="402">
          <cell r="BA402" t="str">
            <v>KUWAITI DINARS</v>
          </cell>
        </row>
        <row r="403">
          <cell r="BA403" t="str">
            <v>KWACHA</v>
          </cell>
        </row>
        <row r="404">
          <cell r="BA404" t="str">
            <v>KWANZAS</v>
          </cell>
        </row>
        <row r="405">
          <cell r="BA405" t="str">
            <v>KYATS</v>
          </cell>
        </row>
        <row r="406">
          <cell r="BA406" t="str">
            <v>LARI</v>
          </cell>
        </row>
        <row r="407">
          <cell r="BA407" t="str">
            <v>LATS</v>
          </cell>
        </row>
        <row r="408">
          <cell r="BA408" t="str">
            <v>LEBANESE POUNDS</v>
          </cell>
        </row>
        <row r="409">
          <cell r="BA409" t="str">
            <v>LEI</v>
          </cell>
        </row>
        <row r="410">
          <cell r="BA410" t="str">
            <v>LEKS</v>
          </cell>
        </row>
        <row r="411">
          <cell r="BA411" t="str">
            <v>LEMPIRAS</v>
          </cell>
        </row>
        <row r="412">
          <cell r="BA412" t="str">
            <v>LEONES</v>
          </cell>
        </row>
        <row r="413">
          <cell r="BA413" t="str">
            <v>LEVA</v>
          </cell>
        </row>
        <row r="414">
          <cell r="BA414" t="str">
            <v>LIBERIAN DOLLARS</v>
          </cell>
        </row>
        <row r="415">
          <cell r="BA415" t="str">
            <v>LIBYAN DINARS</v>
          </cell>
        </row>
        <row r="416">
          <cell r="BA416" t="str">
            <v>LITAI</v>
          </cell>
        </row>
        <row r="417">
          <cell r="BA417" t="str">
            <v>MALAGASY ARIARY</v>
          </cell>
        </row>
        <row r="418">
          <cell r="BA418" t="str">
            <v>MALOTI</v>
          </cell>
        </row>
        <row r="419">
          <cell r="BA419" t="str">
            <v>MALTESE LIRI</v>
          </cell>
        </row>
        <row r="420">
          <cell r="BA420" t="str">
            <v>MANAT</v>
          </cell>
        </row>
        <row r="421">
          <cell r="BA421" t="str">
            <v>MAURITIAN RUPEES</v>
          </cell>
        </row>
        <row r="422">
          <cell r="BA422" t="str">
            <v>METICAIS</v>
          </cell>
        </row>
        <row r="423">
          <cell r="BA423" t="str">
            <v>MEXICAN PESOS</v>
          </cell>
        </row>
        <row r="424">
          <cell r="BA424" t="str">
            <v>NAIRA</v>
          </cell>
        </row>
        <row r="425">
          <cell r="BA425" t="str">
            <v>NAKFA</v>
          </cell>
        </row>
        <row r="426">
          <cell r="BA426" t="str">
            <v>NAMIBIA DOLLARS</v>
          </cell>
        </row>
        <row r="427">
          <cell r="BA427" t="str">
            <v>NEPALESE RUPEES</v>
          </cell>
        </row>
        <row r="428">
          <cell r="BA428" t="str">
            <v>NEW LIRAS</v>
          </cell>
        </row>
        <row r="429">
          <cell r="BA429" t="str">
            <v>NEW SHEQALIM</v>
          </cell>
        </row>
        <row r="430">
          <cell r="BA430" t="str">
            <v>NEW TAIWAN DOLLARS</v>
          </cell>
        </row>
        <row r="431">
          <cell r="BA431" t="str">
            <v>NEW ZEALAND DOLLARS</v>
          </cell>
        </row>
        <row r="432">
          <cell r="BA432" t="str">
            <v>NGULTRUM</v>
          </cell>
        </row>
        <row r="433">
          <cell r="BA433" t="str">
            <v>NORWEGIAN KRONER</v>
          </cell>
        </row>
        <row r="434">
          <cell r="BA434" t="str">
            <v>NUEVOS SOLES</v>
          </cell>
        </row>
        <row r="435">
          <cell r="BA435" t="str">
            <v>OUGUIYAS</v>
          </cell>
        </row>
        <row r="436">
          <cell r="BA436" t="str">
            <v>PA'ANGA</v>
          </cell>
        </row>
        <row r="437">
          <cell r="BA437" t="str">
            <v>PAKISTAN RUPEES</v>
          </cell>
        </row>
        <row r="438">
          <cell r="BA438" t="str">
            <v>PATACAS</v>
          </cell>
        </row>
        <row r="439">
          <cell r="BA439" t="str">
            <v>PHILIPPINE PESOS</v>
          </cell>
        </row>
        <row r="440">
          <cell r="BA440" t="str">
            <v>POUNDS STERLING</v>
          </cell>
        </row>
        <row r="441">
          <cell r="BA441" t="str">
            <v>PULA</v>
          </cell>
        </row>
        <row r="442">
          <cell r="BA442" t="str">
            <v>QATAR RIYALS</v>
          </cell>
        </row>
        <row r="443">
          <cell r="BA443" t="str">
            <v>QUETZALES</v>
          </cell>
        </row>
        <row r="444">
          <cell r="BA444" t="str">
            <v>RAND</v>
          </cell>
        </row>
        <row r="445">
          <cell r="BA445" t="str">
            <v>REAIS</v>
          </cell>
        </row>
        <row r="446">
          <cell r="BA446" t="str">
            <v>RIALS</v>
          </cell>
        </row>
        <row r="447">
          <cell r="BA447" t="str">
            <v>RIALS OMANI</v>
          </cell>
        </row>
        <row r="448">
          <cell r="BA448" t="str">
            <v>RIEL</v>
          </cell>
        </row>
        <row r="449">
          <cell r="BA449" t="str">
            <v>RINGGIT</v>
          </cell>
        </row>
        <row r="450">
          <cell r="BA450" t="str">
            <v>RUFIYAA</v>
          </cell>
        </row>
        <row r="451">
          <cell r="BA451" t="str">
            <v>RUPIAH</v>
          </cell>
        </row>
        <row r="452">
          <cell r="BA452" t="str">
            <v>RUSSIAN RUBLES</v>
          </cell>
        </row>
        <row r="453">
          <cell r="BA453" t="str">
            <v>RWANDA FRANCS</v>
          </cell>
        </row>
        <row r="454">
          <cell r="BA454" t="str">
            <v>SAUDI ARABIAN RIYALS</v>
          </cell>
        </row>
        <row r="455">
          <cell r="BA455" t="str">
            <v>SERBIAN DINARS</v>
          </cell>
        </row>
        <row r="456">
          <cell r="BA456" t="str">
            <v>SEYCHELLES RUPEES</v>
          </cell>
        </row>
        <row r="457">
          <cell r="BA457" t="str">
            <v>SINGAPORE DOLLARS</v>
          </cell>
        </row>
        <row r="458">
          <cell r="BA458" t="str">
            <v>SOLOMON ISL DOLLARS</v>
          </cell>
        </row>
        <row r="459">
          <cell r="BA459" t="str">
            <v>SOMALI SHILLINGS</v>
          </cell>
        </row>
        <row r="460">
          <cell r="BA460" t="str">
            <v>SOMS</v>
          </cell>
        </row>
        <row r="461">
          <cell r="BA461" t="str">
            <v>SRI LANKA RUPEES</v>
          </cell>
        </row>
        <row r="462">
          <cell r="BA462" t="str">
            <v>SUDANESE DINARS</v>
          </cell>
        </row>
        <row r="463">
          <cell r="BA463" t="str">
            <v>SUM</v>
          </cell>
        </row>
        <row r="464">
          <cell r="BA464" t="str">
            <v>SURINAME DOLLAR</v>
          </cell>
        </row>
        <row r="465">
          <cell r="BA465" t="str">
            <v>SWEDISH KRONOR</v>
          </cell>
        </row>
        <row r="466">
          <cell r="BA466" t="str">
            <v>SWISS FRANCS</v>
          </cell>
        </row>
        <row r="467">
          <cell r="BA467" t="str">
            <v>SYRIAN POUNDS</v>
          </cell>
        </row>
        <row r="468">
          <cell r="BA468" t="str">
            <v>TAJIK SOMONI</v>
          </cell>
        </row>
        <row r="469">
          <cell r="BA469" t="str">
            <v>TAKA</v>
          </cell>
        </row>
        <row r="470">
          <cell r="BA470" t="str">
            <v>TALA</v>
          </cell>
        </row>
        <row r="471">
          <cell r="BA471" t="str">
            <v>TANZANIA SHILLINGS</v>
          </cell>
        </row>
        <row r="472">
          <cell r="BA472" t="str">
            <v>TENGE</v>
          </cell>
        </row>
        <row r="473">
          <cell r="BA473" t="str">
            <v>TOGROGS</v>
          </cell>
        </row>
        <row r="474">
          <cell r="BA474" t="str">
            <v>TOLARS</v>
          </cell>
        </row>
        <row r="475">
          <cell r="BA475" t="str">
            <v>TT DOLLARS</v>
          </cell>
        </row>
        <row r="476">
          <cell r="BA476" t="str">
            <v>TUNISIAN DINARS</v>
          </cell>
        </row>
        <row r="477">
          <cell r="BA477" t="str">
            <v>U.S. DOLLARS</v>
          </cell>
        </row>
        <row r="478">
          <cell r="BA478" t="str">
            <v>UGANDA SHILLINGS</v>
          </cell>
        </row>
        <row r="479">
          <cell r="BA479" t="str">
            <v>URUGUAYAN PESOS</v>
          </cell>
        </row>
        <row r="480">
          <cell r="BA480" t="str">
            <v>VATU</v>
          </cell>
        </row>
        <row r="481">
          <cell r="BA481" t="str">
            <v>WON</v>
          </cell>
        </row>
        <row r="482">
          <cell r="BA482" t="str">
            <v>YEMENI RIAL</v>
          </cell>
        </row>
        <row r="483">
          <cell r="BA483" t="str">
            <v>YEN</v>
          </cell>
        </row>
        <row r="484">
          <cell r="BA484" t="str">
            <v>YUAN</v>
          </cell>
        </row>
        <row r="485">
          <cell r="BA485" t="str">
            <v>ZAMBIAN KWACHA</v>
          </cell>
        </row>
        <row r="486">
          <cell r="BA486" t="str">
            <v>ZIMBABWE DOLLARS</v>
          </cell>
        </row>
        <row r="487">
          <cell r="BA487" t="str">
            <v>ZLOTYS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UControlSheet"/>
      <sheetName val="Control"/>
      <sheetName val="Coverpage"/>
      <sheetName val="Inward-DL"/>
      <sheetName val="Inward"/>
      <sheetName val="Inward_TS"/>
      <sheetName val="Outward-DL"/>
      <sheetName val="Outward"/>
      <sheetName val="Outward_TS"/>
      <sheetName val="ValidationSheet"/>
      <sheetName val="Links"/>
    </sheetNames>
    <sheetDataSet>
      <sheetData sheetId="0"/>
      <sheetData sheetId="1"/>
      <sheetData sheetId="2">
        <row r="16">
          <cell r="A16" t="str">
            <v>Yes</v>
          </cell>
        </row>
        <row r="17">
          <cell r="A17" t="str">
            <v>No</v>
          </cell>
        </row>
        <row r="19">
          <cell r="A19" t="str">
            <v>Yes</v>
          </cell>
        </row>
        <row r="20">
          <cell r="A20" t="str">
            <v>No</v>
          </cell>
        </row>
        <row r="21">
          <cell r="A21" t="str">
            <v>Yes</v>
          </cell>
        </row>
        <row r="22">
          <cell r="A22" t="str">
            <v>No</v>
          </cell>
        </row>
        <row r="35">
          <cell r="J35" t="str">
            <v>Yes</v>
          </cell>
        </row>
        <row r="36">
          <cell r="J36" t="str">
            <v>No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structions"/>
      <sheetName val="Index Page"/>
      <sheetName val="IndexSS"/>
      <sheetName val="Assets Mandated"/>
      <sheetName val="Assets MandatedSS"/>
      <sheetName val="Breakdown by Currency (Assets)"/>
      <sheetName val="CurrencySS"/>
      <sheetName val="Breakdown by Sector (Assets)"/>
      <sheetName val="AssetsSS"/>
      <sheetName val="Breakdown by Sector (Equity)"/>
      <sheetName val="EquitySS"/>
      <sheetName val="Breakdown by Sector (Debt Sec.)"/>
      <sheetName val="Debt SecSS"/>
      <sheetName val="Breakdown by Sector (L-T Debt)"/>
      <sheetName val="L-T DebtSS"/>
      <sheetName val="Breakdown by Sector (S-T Debt)"/>
      <sheetName val="S-T DebtSS"/>
      <sheetName val="Liabilities Breakdown"/>
      <sheetName val="Liabilities BreakdownSS"/>
      <sheetName val="Report Form"/>
      <sheetName val="Control"/>
      <sheetName val="Input 1- Basic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>
        <row r="1">
          <cell r="C1" t="str">
            <v>Australia</v>
          </cell>
        </row>
        <row r="3">
          <cell r="C3">
            <v>2008</v>
          </cell>
        </row>
        <row r="17">
          <cell r="F17" t="str">
            <v>National currency</v>
          </cell>
        </row>
        <row r="18">
          <cell r="F18" t="str">
            <v>Units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structions"/>
      <sheetName val="Data"/>
      <sheetName val="Report Form"/>
    </sheetNames>
    <sheetDataSet>
      <sheetData sheetId="0"/>
      <sheetData sheetId="1"/>
      <sheetData sheetId="2">
        <row r="4">
          <cell r="E4">
            <v>2020</v>
          </cell>
          <cell r="F4" t="str">
            <v>A</v>
          </cell>
        </row>
        <row r="5">
          <cell r="A5" t="str">
            <v>Thousand</v>
          </cell>
          <cell r="B5" t="str">
            <v>Domestic Currency</v>
          </cell>
          <cell r="E5">
            <v>2019</v>
          </cell>
          <cell r="F5" t="str">
            <v>Q4</v>
          </cell>
        </row>
        <row r="6">
          <cell r="A6" t="str">
            <v>Million</v>
          </cell>
          <cell r="B6" t="str">
            <v>Euros</v>
          </cell>
          <cell r="E6">
            <v>2018</v>
          </cell>
          <cell r="F6" t="str">
            <v>Q3</v>
          </cell>
        </row>
        <row r="7">
          <cell r="A7" t="str">
            <v>Billion</v>
          </cell>
          <cell r="B7" t="str">
            <v>US Dollars</v>
          </cell>
          <cell r="E7">
            <v>2017</v>
          </cell>
          <cell r="F7" t="str">
            <v>Q2</v>
          </cell>
        </row>
        <row r="8">
          <cell r="A8" t="str">
            <v>Trillion</v>
          </cell>
          <cell r="E8">
            <v>2016</v>
          </cell>
          <cell r="F8" t="str">
            <v>Q1</v>
          </cell>
        </row>
        <row r="9">
          <cell r="E9">
            <v>2015</v>
          </cell>
        </row>
        <row r="10">
          <cell r="E10">
            <v>2014</v>
          </cell>
        </row>
        <row r="11">
          <cell r="E11">
            <v>2013</v>
          </cell>
        </row>
        <row r="12">
          <cell r="E12">
            <v>2012</v>
          </cell>
        </row>
        <row r="13">
          <cell r="E13">
            <v>2011</v>
          </cell>
        </row>
        <row r="14">
          <cell r="E14">
            <v>2010</v>
          </cell>
        </row>
        <row r="15">
          <cell r="E15">
            <v>2009</v>
          </cell>
        </row>
        <row r="16">
          <cell r="E16">
            <v>2008</v>
          </cell>
        </row>
        <row r="17">
          <cell r="E17">
            <v>2007</v>
          </cell>
        </row>
        <row r="18">
          <cell r="E18">
            <v>2006</v>
          </cell>
        </row>
        <row r="19">
          <cell r="E19">
            <v>2005</v>
          </cell>
        </row>
        <row r="20">
          <cell r="E20">
            <v>2004</v>
          </cell>
        </row>
        <row r="21">
          <cell r="E21">
            <v>2003</v>
          </cell>
        </row>
        <row r="22">
          <cell r="E22">
            <v>2002</v>
          </cell>
        </row>
        <row r="23">
          <cell r="E23">
            <v>2001</v>
          </cell>
        </row>
        <row r="24">
          <cell r="E24">
            <v>2000</v>
          </cell>
        </row>
        <row r="25">
          <cell r="E25">
            <v>1999</v>
          </cell>
        </row>
        <row r="26">
          <cell r="E26">
            <v>1998</v>
          </cell>
        </row>
        <row r="27">
          <cell r="E27">
            <v>1997</v>
          </cell>
        </row>
        <row r="28">
          <cell r="E28">
            <v>1996</v>
          </cell>
        </row>
        <row r="29">
          <cell r="E29">
            <v>1995</v>
          </cell>
        </row>
        <row r="30">
          <cell r="E30">
            <v>1994</v>
          </cell>
        </row>
        <row r="31">
          <cell r="E31">
            <v>1993</v>
          </cell>
        </row>
        <row r="32">
          <cell r="E32">
            <v>1992</v>
          </cell>
        </row>
        <row r="33">
          <cell r="E33">
            <v>1991</v>
          </cell>
        </row>
        <row r="34">
          <cell r="E34">
            <v>1990</v>
          </cell>
        </row>
        <row r="35">
          <cell r="E35">
            <v>1989</v>
          </cell>
        </row>
        <row r="36">
          <cell r="E36">
            <v>1988</v>
          </cell>
        </row>
        <row r="37">
          <cell r="E37">
            <v>1987</v>
          </cell>
        </row>
        <row r="38">
          <cell r="E38">
            <v>1986</v>
          </cell>
        </row>
        <row r="39">
          <cell r="E39">
            <v>1985</v>
          </cell>
        </row>
        <row r="40">
          <cell r="E40">
            <v>1984</v>
          </cell>
        </row>
        <row r="41">
          <cell r="E41">
            <v>1983</v>
          </cell>
        </row>
        <row r="42">
          <cell r="E42">
            <v>1982</v>
          </cell>
        </row>
        <row r="43">
          <cell r="E43">
            <v>1981</v>
          </cell>
        </row>
        <row r="44">
          <cell r="E44">
            <v>1980</v>
          </cell>
        </row>
        <row r="45">
          <cell r="E45">
            <v>1979</v>
          </cell>
        </row>
        <row r="46">
          <cell r="E46">
            <v>1978</v>
          </cell>
        </row>
        <row r="47">
          <cell r="E47">
            <v>1977</v>
          </cell>
        </row>
        <row r="48">
          <cell r="E48">
            <v>1976</v>
          </cell>
        </row>
        <row r="49">
          <cell r="E49">
            <v>1975</v>
          </cell>
        </row>
        <row r="50">
          <cell r="E50">
            <v>1974</v>
          </cell>
        </row>
        <row r="51">
          <cell r="E51">
            <v>1973</v>
          </cell>
        </row>
        <row r="52">
          <cell r="E52">
            <v>1972</v>
          </cell>
        </row>
        <row r="53">
          <cell r="E53">
            <v>1971</v>
          </cell>
        </row>
        <row r="54">
          <cell r="E54">
            <v>1970</v>
          </cell>
        </row>
        <row r="55">
          <cell r="E55">
            <v>1969</v>
          </cell>
        </row>
        <row r="56">
          <cell r="E56">
            <v>1968</v>
          </cell>
        </row>
        <row r="57">
          <cell r="E57">
            <v>1967</v>
          </cell>
        </row>
        <row r="58">
          <cell r="E58">
            <v>1966</v>
          </cell>
        </row>
        <row r="59">
          <cell r="E59">
            <v>1965</v>
          </cell>
        </row>
        <row r="60">
          <cell r="E60">
            <v>1964</v>
          </cell>
        </row>
        <row r="61">
          <cell r="E61">
            <v>1963</v>
          </cell>
        </row>
        <row r="62">
          <cell r="E62">
            <v>1962</v>
          </cell>
        </row>
        <row r="63">
          <cell r="E63">
            <v>1961</v>
          </cell>
        </row>
        <row r="64">
          <cell r="E64">
            <v>1960</v>
          </cell>
        </row>
        <row r="65">
          <cell r="E65">
            <v>1959</v>
          </cell>
        </row>
        <row r="66">
          <cell r="E66">
            <v>1958</v>
          </cell>
        </row>
        <row r="67">
          <cell r="E67">
            <v>1957</v>
          </cell>
        </row>
        <row r="68">
          <cell r="E68">
            <v>1956</v>
          </cell>
        </row>
        <row r="69">
          <cell r="E69">
            <v>1955</v>
          </cell>
        </row>
        <row r="70">
          <cell r="E70">
            <v>1954</v>
          </cell>
        </row>
        <row r="71">
          <cell r="E71">
            <v>1953</v>
          </cell>
        </row>
        <row r="72">
          <cell r="E72">
            <v>1952</v>
          </cell>
        </row>
        <row r="73">
          <cell r="E73">
            <v>1951</v>
          </cell>
        </row>
        <row r="74">
          <cell r="E74">
            <v>1950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Sheet"/>
      <sheetName val="FSUOUT"/>
      <sheetName val="labels"/>
    </sheetNames>
    <sheetDataSet>
      <sheetData sheetId="0"/>
      <sheetData sheetId="1"/>
      <sheetData sheetId="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eating  Data Report Forms"/>
      <sheetName val="BUControlSheet"/>
      <sheetName val="Control"/>
      <sheetName val="ValidationSheet"/>
      <sheetName val="Coverpage"/>
      <sheetName val="Inward"/>
      <sheetName val="Temp 1A"/>
      <sheetName val="Temp 1B"/>
      <sheetName val="Temp 1C"/>
      <sheetName val="Temp 1D"/>
      <sheetName val="Inward_TS"/>
      <sheetName val="Outward"/>
      <sheetName val="Temp1  (Inward) ver 2"/>
      <sheetName val="Temp 2 (Outward) ver 2"/>
      <sheetName val="Outward_TS"/>
      <sheetName val="Temp 3 (Metadata)"/>
      <sheetName val="Temp 4"/>
      <sheetName val="Sheet2"/>
      <sheetName val="Sheet4"/>
      <sheetName val="Sheet1"/>
      <sheetName val="Довідники"/>
    </sheetNames>
    <sheetDataSet>
      <sheetData sheetId="0"/>
      <sheetData sheetId="1"/>
      <sheetData sheetId="2">
        <row r="19">
          <cell r="A19" t="str">
            <v>Yes</v>
          </cell>
        </row>
        <row r="20">
          <cell r="A20" t="str">
            <v>No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13"/>
      <sheetName val="2014"/>
      <sheetName val="2015"/>
      <sheetName val="2016"/>
      <sheetName val="2017"/>
      <sheetName val="2018"/>
      <sheetName val="Хімія (робочий)"/>
      <sheetName val="Виробництво добрив"/>
      <sheetName val="Хімія (дані)"/>
      <sheetName val="2017 (інш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1old"/>
      <sheetName val="Contents"/>
      <sheetName val="Basic Data"/>
      <sheetName val="Tab1"/>
      <sheetName val="tab2"/>
      <sheetName val="Tab3old "/>
      <sheetName val="Tab3"/>
      <sheetName val="Tab5old"/>
      <sheetName val="tab4"/>
      <sheetName val="tab4 (1)"/>
      <sheetName val="Tab5"/>
      <sheetName val="Tab6"/>
      <sheetName val="Tab6(1)"/>
      <sheetName val="tab7"/>
      <sheetName val="Tab7(1)"/>
      <sheetName val="tab8"/>
      <sheetName val="tab9"/>
      <sheetName val="Tab10"/>
      <sheetName val="Tab11"/>
      <sheetName val="tab12"/>
      <sheetName val="tab13"/>
      <sheetName val="tab14"/>
      <sheetName val="tab15"/>
      <sheetName val="Tab26(1997)"/>
      <sheetName val="Tab16_1998"/>
      <sheetName val="Tab16_1999"/>
      <sheetName val="Tab16_2000"/>
      <sheetName val="Tab16_2001 "/>
      <sheetName val="Tab17"/>
      <sheetName val="tab18"/>
      <sheetName val="tab19"/>
      <sheetName val="Tab20"/>
      <sheetName val="Tab21"/>
      <sheetName val="Tab22"/>
      <sheetName val="Tab23"/>
      <sheetName val="Tab24"/>
      <sheetName val="Tab25"/>
      <sheetName val="Tab26"/>
      <sheetName val="Tab27"/>
      <sheetName val="Tab28"/>
      <sheetName val="Tab29"/>
      <sheetName val="Tab30"/>
      <sheetName val="Tab31"/>
      <sheetName val="Tab32"/>
      <sheetName val="Tab33"/>
      <sheetName val="Tab34"/>
      <sheetName val="Tab35"/>
      <sheetName val="Tab36"/>
      <sheetName val="Tab37"/>
      <sheetName val="Tab38"/>
      <sheetName val="Tab39"/>
      <sheetName val="Tab40"/>
      <sheetName val="Tab41"/>
      <sheetName val="Tab42"/>
      <sheetName val="Tab43"/>
      <sheetName val="Tab44"/>
      <sheetName val="Tab44 (1)"/>
      <sheetName val="Tab44 (2)"/>
      <sheetName val="tab20 "/>
      <sheetName val="tab67"/>
      <sheetName val="tabY"/>
      <sheetName val="Table19 (1995)"/>
      <sheetName val="DO NOT PRINT"/>
      <sheetName val="DONOT PRINT"/>
      <sheetName val="tabZ"/>
      <sheetName val="інв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1old"/>
      <sheetName val="Contents"/>
      <sheetName val="Basic Data"/>
      <sheetName val="Tab1"/>
      <sheetName val="tab2"/>
      <sheetName val="Tab3old "/>
      <sheetName val="Tab3"/>
      <sheetName val="tab4"/>
      <sheetName val="Tab5old"/>
      <sheetName val="Tab5"/>
      <sheetName val="Tab6"/>
      <sheetName val="tab7"/>
      <sheetName val="tab8"/>
      <sheetName val="tab9"/>
      <sheetName val="Tab10"/>
      <sheetName val="Tab11"/>
      <sheetName val="tab12"/>
      <sheetName val="tab13"/>
      <sheetName val="tab14"/>
      <sheetName val="tab15"/>
      <sheetName val="Tab26(1997)"/>
      <sheetName val="Tab16_1998"/>
      <sheetName val="Tab16_1999"/>
      <sheetName val="Tab16_2000"/>
      <sheetName val="Tab16_2001 "/>
      <sheetName val="tab17"/>
      <sheetName val="tab18"/>
      <sheetName val="tab19"/>
      <sheetName val="Tab20"/>
      <sheetName val="Tab21"/>
      <sheetName val="Tab22"/>
      <sheetName val="Tab23"/>
      <sheetName val="Tab24"/>
      <sheetName val="Tab25"/>
      <sheetName val="Tab26"/>
      <sheetName val="Tab27"/>
      <sheetName val="Tab28"/>
      <sheetName val="Tab29"/>
      <sheetName val="Tab30"/>
      <sheetName val="Tab31"/>
      <sheetName val="Tab32"/>
      <sheetName val="Tab33"/>
      <sheetName val="Tab34"/>
      <sheetName val="Tab35"/>
      <sheetName val="Tab36"/>
      <sheetName val="Tab37"/>
      <sheetName val="Tab38"/>
      <sheetName val="Tab39"/>
      <sheetName val="Tab40"/>
      <sheetName val="Tab41"/>
      <sheetName val="Tab42"/>
      <sheetName val="Tab43"/>
      <sheetName val="Tab44"/>
      <sheetName val="tab20 "/>
      <sheetName val="tab67"/>
      <sheetName val="tabY"/>
      <sheetName val="Table19 (1995)"/>
      <sheetName val="DO NOT PRINT"/>
      <sheetName val="DONOT PRINT"/>
      <sheetName val="tab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">
          <cell r="A1" t="str">
            <v>Tаблиця 29. Україна:  Структура кредитних вкладень в економіку, 1998–2001 1/</v>
          </cell>
        </row>
      </sheetData>
      <sheetData sheetId="38">
        <row r="1">
          <cell r="A1" t="str">
            <v>Tаблиця 30. Україна: Рахунки Національного банку України, 1997 – 2001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 "/>
      <sheetName val="CoverPage"/>
      <sheetName val="FASurvey"/>
      <sheetName val="Instructions"/>
      <sheetName val="FASurvey-DL"/>
      <sheetName val="NOTES"/>
      <sheetName val="BUControlSheet"/>
      <sheetName val="Control"/>
      <sheetName val="Report Form"/>
      <sheetName val="ValidationSheet"/>
      <sheetName val="14602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3">
          <cell r="B13" t="str">
            <v>Country Name</v>
          </cell>
        </row>
      </sheetData>
      <sheetData sheetId="8"/>
      <sheetData sheetId="9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s"/>
      <sheetName val="in_Cap"/>
      <sheetName val="in_othsectors"/>
      <sheetName val="ass"/>
      <sheetName val="exp"/>
      <sheetName val="imp"/>
      <sheetName val="nfs"/>
      <sheetName val="oth"/>
      <sheetName val="debt"/>
      <sheetName val="IMFpurch"/>
      <sheetName val="imfrepay"/>
      <sheetName val="gas"/>
      <sheetName val="mtbop"/>
      <sheetName val="cashbop"/>
      <sheetName val="needs"/>
      <sheetName val="Pclubneeds"/>
      <sheetName val="ind"/>
      <sheetName val="cashflow"/>
      <sheetName val="HistCflow"/>
      <sheetName val="WEONEW"/>
      <sheetName val="експ_посл_кв"/>
      <sheetName val="c"/>
      <sheetName val="Мульт-ор М2, швидкість"/>
      <sheetName val="instructions"/>
      <sheetName val="links"/>
      <sheetName val="labels"/>
    </sheetNames>
    <sheetDataSet>
      <sheetData sheetId="0">
        <row r="7">
          <cell r="A7" t="str">
            <v>zDollarGDP</v>
          </cell>
        </row>
      </sheetData>
      <sheetData sheetId="1">
        <row r="17">
          <cell r="A17" t="str">
            <v>zReserves</v>
          </cell>
        </row>
      </sheetData>
      <sheetData sheetId="2">
        <row r="7">
          <cell r="A7" t="str">
            <v>zDollarGDP</v>
          </cell>
        </row>
      </sheetData>
      <sheetData sheetId="3" refreshError="1">
        <row r="7">
          <cell r="A7" t="str">
            <v>zDollarGDP</v>
          </cell>
          <cell r="B7" t="str">
            <v xml:space="preserve">  In billions of U.S. dollars</v>
          </cell>
          <cell r="C7">
            <v>103</v>
          </cell>
          <cell r="D7">
            <v>169.77011494252872</v>
          </cell>
          <cell r="E7">
            <v>18.768726984303285</v>
          </cell>
          <cell r="F7">
            <v>32.722850720418613</v>
          </cell>
          <cell r="G7">
            <v>25.868557052030997</v>
          </cell>
          <cell r="H7">
            <v>34.445670628183365</v>
          </cell>
          <cell r="I7">
            <v>43.328231871689347</v>
          </cell>
          <cell r="J7">
            <v>49.675842621189744</v>
          </cell>
          <cell r="K7">
            <v>41.827558092132087</v>
          </cell>
          <cell r="L7">
            <v>30.766214908034854</v>
          </cell>
          <cell r="M7">
            <v>30.350950987564008</v>
          </cell>
          <cell r="N7">
            <v>32.070984625449789</v>
          </cell>
          <cell r="O7">
            <v>35.766139550363611</v>
          </cell>
          <cell r="P7">
            <v>38.480886498511843</v>
          </cell>
          <cell r="Q7">
            <v>41.268041668434648</v>
          </cell>
          <cell r="R7">
            <v>44.193801680762952</v>
          </cell>
          <cell r="S7">
            <v>46.403491764801103</v>
          </cell>
          <cell r="T7">
            <v>49.698139680101988</v>
          </cell>
          <cell r="U7">
            <v>53.226707597389236</v>
          </cell>
          <cell r="V7">
            <v>57.005803836803871</v>
          </cell>
          <cell r="W7">
            <v>61.053215909216938</v>
          </cell>
          <cell r="X7">
            <v>2.3639774859287055</v>
          </cell>
          <cell r="Y7">
            <v>5.25</v>
          </cell>
          <cell r="Z7">
            <v>6.1338289962825279</v>
          </cell>
          <cell r="AA7">
            <v>5.0209205020920509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10068.38987614432</v>
          </cell>
          <cell r="AS7">
            <v>11372.432432432432</v>
          </cell>
          <cell r="AT7">
            <v>13437.56727664155</v>
          </cell>
          <cell r="AU7">
            <v>14761.424017003188</v>
          </cell>
          <cell r="AV7">
            <v>10667.51398068124</v>
          </cell>
          <cell r="AW7">
            <v>11434.146341463416</v>
          </cell>
          <cell r="AX7">
            <v>12432</v>
          </cell>
          <cell r="AY7">
            <v>8383.265067290813</v>
          </cell>
          <cell r="AZ7">
            <v>7064.5885987082283</v>
          </cell>
          <cell r="BA7">
            <v>7644.0720995176443</v>
          </cell>
          <cell r="BB7">
            <v>8359.8026020637062</v>
          </cell>
          <cell r="BC7">
            <v>7268.5438117251515</v>
          </cell>
          <cell r="BD7">
            <v>5956.9912152269399</v>
          </cell>
          <cell r="BE7">
            <v>7243.8664453052943</v>
          </cell>
          <cell r="BF7">
            <v>9221.5480786909357</v>
          </cell>
          <cell r="BG7">
            <v>7928.0821917808216</v>
          </cell>
        </row>
        <row r="24">
          <cell r="A24" t="str">
            <v>zSDReRate</v>
          </cell>
          <cell r="B24" t="str">
            <v xml:space="preserve">  SDR/US$ [IFS, for 2000 const. from Sept.]</v>
          </cell>
          <cell r="C24">
            <v>1.3574999999999999</v>
          </cell>
          <cell r="D24">
            <v>1.3687499999999999</v>
          </cell>
          <cell r="E24">
            <v>1.4085000000000001</v>
          </cell>
          <cell r="F24">
            <v>1.39625</v>
          </cell>
          <cell r="G24">
            <v>1.4285000000000001</v>
          </cell>
          <cell r="H24">
            <v>1.51725</v>
          </cell>
          <cell r="I24">
            <v>1.4518500000000001</v>
          </cell>
          <cell r="J24">
            <v>1.3761133333333333</v>
          </cell>
          <cell r="K24">
            <v>1.3568091666666666</v>
          </cell>
          <cell r="L24">
            <v>1.3674483333333336</v>
          </cell>
          <cell r="M24">
            <v>1.3205983333333335</v>
          </cell>
          <cell r="N24">
            <v>1.3</v>
          </cell>
          <cell r="O24">
            <v>1.3</v>
          </cell>
          <cell r="P24">
            <v>1.3</v>
          </cell>
          <cell r="Q24">
            <v>1.3</v>
          </cell>
          <cell r="R24">
            <v>1.3</v>
          </cell>
          <cell r="S24">
            <v>1.3</v>
          </cell>
          <cell r="T24">
            <v>1.3</v>
          </cell>
          <cell r="U24">
            <v>1.3</v>
          </cell>
          <cell r="V24">
            <v>1.3</v>
          </cell>
          <cell r="W24">
            <v>1.3</v>
          </cell>
          <cell r="X24">
            <v>1.3879999999999999</v>
          </cell>
          <cell r="Y24">
            <v>1.39</v>
          </cell>
          <cell r="Z24">
            <v>1.4530000000000001</v>
          </cell>
          <cell r="AA24">
            <v>1.403</v>
          </cell>
          <cell r="AB24">
            <v>1.3759999999999999</v>
          </cell>
          <cell r="AC24">
            <v>1.413</v>
          </cell>
          <cell r="AD24">
            <v>1.403</v>
          </cell>
          <cell r="AE24">
            <v>1.393</v>
          </cell>
          <cell r="AF24">
            <v>1.3879999999999999</v>
          </cell>
          <cell r="AG24">
            <v>1.4159999999999999</v>
          </cell>
          <cell r="AH24">
            <v>1.4550000000000001</v>
          </cell>
          <cell r="AI24">
            <v>1.4550000000000001</v>
          </cell>
          <cell r="AJ24">
            <v>1.4931000000000001</v>
          </cell>
          <cell r="AK24">
            <v>1.5660000000000001</v>
          </cell>
          <cell r="AL24">
            <v>1.5170999999999999</v>
          </cell>
          <cell r="AM24">
            <v>1.4927999999999999</v>
          </cell>
          <cell r="AN24">
            <v>1.4653</v>
          </cell>
          <cell r="AO24">
            <v>1.4460999999999999</v>
          </cell>
          <cell r="AP24">
            <v>1.452</v>
          </cell>
          <cell r="AQ24">
            <v>1.444</v>
          </cell>
          <cell r="AR24">
            <v>1.3919999999999999</v>
          </cell>
          <cell r="AS24">
            <v>1.3759999999999999</v>
          </cell>
          <cell r="AT24">
            <v>1.3759999999999999</v>
          </cell>
          <cell r="AU24">
            <v>1.3759999999999999</v>
          </cell>
          <cell r="AV24">
            <v>1.3740000000000001</v>
          </cell>
          <cell r="AW24">
            <v>1.3740000000000001</v>
          </cell>
          <cell r="AX24">
            <v>1.3740000000000001</v>
          </cell>
          <cell r="AY24">
            <v>1.4067700000000001</v>
          </cell>
          <cell r="AZ24">
            <v>1.3819999999999999</v>
          </cell>
          <cell r="BA24">
            <v>1.3480000000000001</v>
          </cell>
          <cell r="BB24">
            <v>1.359</v>
          </cell>
          <cell r="BC24">
            <v>1.383</v>
          </cell>
        </row>
      </sheetData>
      <sheetData sheetId="4"/>
      <sheetData sheetId="5"/>
      <sheetData sheetId="6"/>
      <sheetData sheetId="7" refreshError="1">
        <row r="17">
          <cell r="A17" t="str">
            <v>zReserves</v>
          </cell>
          <cell r="B17" t="str">
            <v xml:space="preserve">    Gross usable reserves from 1998 on</v>
          </cell>
          <cell r="C17">
            <v>0</v>
          </cell>
          <cell r="D17">
            <v>0</v>
          </cell>
          <cell r="E17">
            <v>9.6000000000000002E-2</v>
          </cell>
          <cell r="F17">
            <v>0.13300000000000001</v>
          </cell>
          <cell r="G17">
            <v>0.64600000000000002</v>
          </cell>
          <cell r="H17">
            <v>1.1339999999999999</v>
          </cell>
          <cell r="I17">
            <v>1.994</v>
          </cell>
          <cell r="J17">
            <v>2.375</v>
          </cell>
          <cell r="K17">
            <v>0.78200000000000003</v>
          </cell>
          <cell r="L17">
            <v>1.0900000000000001</v>
          </cell>
          <cell r="M17">
            <v>1.016</v>
          </cell>
          <cell r="N17">
            <v>1.56</v>
          </cell>
          <cell r="O17">
            <v>2.5430000000000001</v>
          </cell>
          <cell r="P17">
            <v>3.0957930000000005</v>
          </cell>
          <cell r="Q17">
            <v>3.7418343030000005</v>
          </cell>
          <cell r="R17">
            <v>4.5037445385130006</v>
          </cell>
          <cell r="S17">
            <v>5.3197504007474237</v>
          </cell>
          <cell r="T17">
            <v>6.1936926792004909</v>
          </cell>
          <cell r="U17">
            <v>7.1296848594237261</v>
          </cell>
          <cell r="V17">
            <v>8.1321324844428116</v>
          </cell>
          <cell r="W17">
            <v>9.2057538908382526</v>
          </cell>
          <cell r="AZ17">
            <v>0.68700000000000006</v>
          </cell>
          <cell r="BA17">
            <v>0.98699999999999999</v>
          </cell>
          <cell r="BB17">
            <v>1.35</v>
          </cell>
          <cell r="BC17">
            <v>1.0900000000000001</v>
          </cell>
          <cell r="BD17">
            <v>1.0740000000000001</v>
          </cell>
          <cell r="BE17">
            <v>0.93899999999999995</v>
          </cell>
          <cell r="BF17">
            <v>0.98599999999999999</v>
          </cell>
          <cell r="BG17">
            <v>1.016</v>
          </cell>
          <cell r="BH17">
            <v>1.028</v>
          </cell>
          <cell r="BI17">
            <v>1.159</v>
          </cell>
          <cell r="BJ17">
            <v>1.2010000000000001</v>
          </cell>
          <cell r="BK17">
            <v>1.56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Чарти"/>
      <sheetName val="окремі статті"/>
    </sheetNames>
    <sheetDataSet>
      <sheetData sheetId="0">
        <row r="15">
          <cell r="G15" t="str">
            <v>Прямі іноземні інвестиції (сальдо), $ млрд</v>
          </cell>
        </row>
        <row r="16">
          <cell r="G16" t="str">
            <v>Торгові кредити пасиви, $ млрд</v>
          </cell>
        </row>
        <row r="17">
          <cell r="G17" t="str">
            <v>Отримані кредити, $ млрд</v>
          </cell>
        </row>
      </sheetData>
      <sheetData sheetId="1">
        <row r="1">
          <cell r="B1">
            <v>2010</v>
          </cell>
        </row>
      </sheetData>
    </sheetDataSet>
  </externalBook>
</externalLink>
</file>

<file path=xl/theme/theme1.xml><?xml version="1.0" encoding="utf-8"?>
<a:theme xmlns:a="http://schemas.openxmlformats.org/drawingml/2006/main" name="UEO_PRESENTATION">
  <a:themeElements>
    <a:clrScheme name="UEO color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CA2C1"/>
      </a:accent1>
      <a:accent2>
        <a:srgbClr val="F37021"/>
      </a:accent2>
      <a:accent3>
        <a:srgbClr val="4D656D"/>
      </a:accent3>
      <a:accent4>
        <a:srgbClr val="991C1F"/>
      </a:accent4>
      <a:accent5>
        <a:srgbClr val="1D5E76"/>
      </a:accent5>
      <a:accent6>
        <a:srgbClr val="77B143"/>
      </a:accent6>
      <a:hlink>
        <a:srgbClr val="0563C1"/>
      </a:hlink>
      <a:folHlink>
        <a:srgbClr val="954F72"/>
      </a:folHlink>
    </a:clrScheme>
    <a:fontScheme name="Настроювані 2">
      <a:majorFont>
        <a:latin typeface="Montserrat"/>
        <a:ea typeface=""/>
        <a:cs typeface=""/>
      </a:majorFont>
      <a:minorFont>
        <a:latin typeface="Montserrat"/>
        <a:ea typeface=""/>
        <a:cs typeface="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UEO_PRESENTATION" id="{785BF16C-5EAE-46B2-8659-542BC4CDE7C5}" vid="{8471BDAF-CC9E-4ED5-A039-D6ACD8FC8386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9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E60A0-E452-4543-B8BC-F0C0A4B8FA39}">
  <dimension ref="A2:BF355"/>
  <sheetViews>
    <sheetView tabSelected="1" workbookViewId="0">
      <selection activeCell="H1" sqref="H1"/>
    </sheetView>
  </sheetViews>
  <sheetFormatPr defaultRowHeight="18" x14ac:dyDescent="0.35"/>
  <cols>
    <col min="11" max="11" width="14.59765625" bestFit="1" customWidth="1"/>
  </cols>
  <sheetData>
    <row r="2" spans="1:46" x14ac:dyDescent="0.35">
      <c r="A2" s="1395"/>
      <c r="B2" s="1395"/>
      <c r="C2" s="1395"/>
      <c r="D2" s="1395"/>
      <c r="E2" s="1395"/>
      <c r="F2" s="1395"/>
      <c r="G2" s="1395"/>
    </row>
    <row r="3" spans="1:46" x14ac:dyDescent="0.35">
      <c r="A3" t="str">
        <f>"{"&amp;CHAR(34)&amp;H3&amp;CHAR(34)&amp;": "&amp;B3&amp;"}"</f>
        <v>{"Chart1": {"name": {"UKR": "Прогноз сальдо торгового балансу України", "RU": "Прогноз сальдо торгового баланса Украины", "ENG": "Trade balance of Ukraine forecast"},"indexes":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12]},"labels": {"label_1": [5589, 4889, 2293, 2375, 2632, 2930, 2678, 3123, 3899, 3599, 3593, 3299, 2969, 3154, 3667, 2889, 2953, 2810, 2265, 2543, 2557, 2625, 2841, 3194.99335167227, 3382.79612474196, 3341.90713007039, 3076.3172319356, 2778.03763376338, 2536.70569090194, 2204.5166866455, 2282.71829075682, 3162.64907217102, 3309.32542767598, 3568.98380680503, 3653.60229409199, 3558.3898645855], "label_2": [5886, 5874, 1993, 2780, 3841, 4827, 4597, 4669, 4584, 4818, 5493, 6189, 5128, 5148, 5480, 4619, 4916, 5142, 5226, 5522, 5355, 5486, 4988, 6025.46823819223, 4777.55027364769, 5557.4629374165, 5779.79961011385, 5005.46772566696, 5008.16056406094, 5037.03544747331, 5305.61659750425, 5282.21092430111, 5552.18506962576, 5906.86495716604, 5957.98632083735, 5961.23631271194], "label_3": [1756, 1778, 1100, 1212, 1293, 1236, 1272, 1324, 1299, 1320, 1392, 1636, 1277, 1315, 1387, 1276, 1352, 1363, 1370, 1391, 1283, 1360, 1423, 1394.60493907182, 1212.17639989328, 1186.91628905559, 1287.58376510892, 1334.62379138678, 1297.34307071814, 1337.67040491367, 1395.01094834979, 1397.28325580787, 1398.61933299789, 1452.18515205006, 1502.64206982521, 1655.17860255444], "label_4": [1516, 1649, 1973, 2112, 2455, 2497, 2477, 2448, 2459, 2492, 2610, 3015, 2691, 2622, 2259, 1905, 1946, 1909, 1975, 1979, 1937, 1948, 2005, 2261.93926519095, 1890.86703881418, 1917.12278950726, 1876.26702305323, 1844.06653746039, 1827.63467845869, 1886.17130797025, 1927.06864479121, 1953.87034011839, 1985.77822102371, 1907.23930174544, 1902.05283080716, 2229.25325594483], "label_5": [-57, -856, -573, -1305, -2371, -3158, -3124, -2670, -1845, -2391, -3118, -4269, -3573, -3301, -2685, -2359, -2557, -2878, -3566, -3567, -3452, -3449, -2729, -3697.8092126391, -2073.44478782663, -2945.76230779779, -3292.16563612256, -2736.87283797719, -3001.74648089955, -3381.01966388439, -3554.95600318884, -2676.14893644061, -2830.01852997559, -2792.93530005639, -2703.79478772732, -2976.92110151683]},"label_names": {"UKR": {"label_1": "Експорт товарів", "label_2": "Імпорт товарів", "label_3": "Експорт послуг", "label_4": "Імпорт послуг", "label_5": "Сальдо торг. балансу"}, "RU": {"label_1": "Экспорт товаров", "label_2": "Импорт товаров", "label_3": "Экспорт услуг", "label_4": "Импорт услуг", "label_5": "Сальдо торгового баланса"}, "ENG": {"label_1": "Export of goods", "label_2": "Import of goods", "label_3": "Export of services", "label_4": "Import of services ", "label_5": "Trade balance (goods, services)"}},"source": {"UKR": "Джерело: НБУ, Державна митна служба, розрахунки Ukraine Economic Outlook", "RU": "Источник: НБУ, Государственная таможенная служба, расчеты Ukraine Economic Outlook", "ENG": "Source: NBU, State Customs Service, Ukraine Economic Outlook calculations"}}}</v>
      </c>
      <c r="B3" t="str">
        <f>"{"&amp;_xlfn.TEXTJOIN(",",TRUE,B4:B35)&amp;"}"</f>
        <v>{"name": {"UKR": "Прогноз сальдо торгового балансу України", "RU": "Прогноз сальдо торгового баланса Украины", "ENG": "Trade balance of Ukraine forecast"},"indexes":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12]},"labels": {"label_1": [5589, 4889, 2293, 2375, 2632, 2930, 2678, 3123, 3899, 3599, 3593, 3299, 2969, 3154, 3667, 2889, 2953, 2810, 2265, 2543, 2557, 2625, 2841, 3194.99335167227, 3382.79612474196, 3341.90713007039, 3076.3172319356, 2778.03763376338, 2536.70569090194, 2204.5166866455, 2282.71829075682, 3162.64907217102, 3309.32542767598, 3568.98380680503, 3653.60229409199, 3558.3898645855], "label_2": [5886, 5874, 1993, 2780, 3841, 4827, 4597, 4669, 4584, 4818, 5493, 6189, 5128, 5148, 5480, 4619, 4916, 5142, 5226, 5522, 5355, 5486, 4988, 6025.46823819223, 4777.55027364769, 5557.4629374165, 5779.79961011385, 5005.46772566696, 5008.16056406094, 5037.03544747331, 5305.61659750425, 5282.21092430111, 5552.18506962576, 5906.86495716604, 5957.98632083735, 5961.23631271194], "label_3": [1756, 1778, 1100, 1212, 1293, 1236, 1272, 1324, 1299, 1320, 1392, 1636, 1277, 1315, 1387, 1276, 1352, 1363, 1370, 1391, 1283, 1360, 1423, 1394.60493907182, 1212.17639989328, 1186.91628905559, 1287.58376510892, 1334.62379138678, 1297.34307071814, 1337.67040491367, 1395.01094834979, 1397.28325580787, 1398.61933299789, 1452.18515205006, 1502.64206982521, 1655.17860255444], "label_4": [1516, 1649, 1973, 2112, 2455, 2497, 2477, 2448, 2459, 2492, 2610, 3015, 2691, 2622, 2259, 1905, 1946, 1909, 1975, 1979, 1937, 1948, 2005, 2261.93926519095, 1890.86703881418, 1917.12278950726, 1876.26702305323, 1844.06653746039, 1827.63467845869, 1886.17130797025, 1927.06864479121, 1953.87034011839, 1985.77822102371, 1907.23930174544, 1902.05283080716, 2229.25325594483], "label_5": [-57, -856, -573, -1305, -2371, -3158, -3124, -2670, -1845, -2391, -3118, -4269, -3573, -3301, -2685, -2359, -2557, -2878, -3566, -3567, -3452, -3449, -2729, -3697.8092126391, -2073.44478782663, -2945.76230779779, -3292.16563612256, -2736.87283797719, -3001.74648089955, -3381.01966388439, -3554.95600318884, -2676.14893644061, -2830.01852997559, -2792.93530005639, -2703.79478772732, -2976.92110151683]},"label_names": {"UKR": {"label_1": "Експорт товарів", "label_2": "Імпорт товарів", "label_3": "Експорт послуг", "label_4": "Імпорт послуг", "label_5": "Сальдо торг. балансу"}, "RU": {"label_1": "Экспорт товаров", "label_2": "Импорт товаров", "label_3": "Экспорт услуг", "label_4": "Импорт услуг", "label_5": "Сальдо торгового баланса"}, "ENG": {"label_1": "Export of goods", "label_2": "Import of goods", "label_3": "Export of services", "label_4": "Import of services ", "label_5": "Trade balance (goods, services)"}},"source": {"UKR": "Джерело: НБУ, Державна митна служба, розрахунки Ukraine Economic Outlook", "RU": "Источник: НБУ, Государственная таможенная служба, расчеты Ukraine Economic Outlook", "ENG": "Source: NBU, State Customs Service, Ukraine Economic Outlook calculations"}}</v>
      </c>
      <c r="H3" t="s">
        <v>684</v>
      </c>
    </row>
    <row r="4" spans="1:46" x14ac:dyDescent="0.35">
      <c r="B4" t="str">
        <f>CHAR(34)&amp;I4&amp;CHAR(34)&amp;": "&amp;C4</f>
        <v>"name": {"UKR": "Прогноз сальдо торгового балансу України", "RU": "Прогноз сальдо торгового баланса Украины", "ENG": "Trade balance of Ukraine forecast"}</v>
      </c>
      <c r="C4" t="str">
        <f>"{"&amp;_xlfn.TEXTJOIN(", ",TRUE,F4:F6)&amp;"}"</f>
        <v>{"UKR": "Прогноз сальдо торгового балансу України", "RU": "Прогноз сальдо торгового баланса Украины", "ENG": "Trade balance of Ukraine forecast"}</v>
      </c>
      <c r="F4" t="str">
        <f>CHAR(34)&amp;J4&amp;CHAR(34)&amp;": "&amp;CHAR(34)&amp;K4&amp;CHAR(34)</f>
        <v>"UKR": "Прогноз сальдо торгового балансу України"</v>
      </c>
      <c r="H4" t="s">
        <v>684</v>
      </c>
      <c r="I4" t="s">
        <v>685</v>
      </c>
      <c r="J4" t="s">
        <v>334</v>
      </c>
      <c r="K4" t="s">
        <v>699</v>
      </c>
    </row>
    <row r="5" spans="1:46" x14ac:dyDescent="0.35">
      <c r="F5" t="str">
        <f t="shared" ref="F5:F6" si="0">CHAR(34)&amp;J5&amp;CHAR(34)&amp;": "&amp;CHAR(34)&amp;K5&amp;CHAR(34)</f>
        <v>"RU": "Прогноз сальдо торгового баланса Украины"</v>
      </c>
      <c r="H5" t="s">
        <v>684</v>
      </c>
      <c r="I5" t="s">
        <v>685</v>
      </c>
      <c r="J5" t="s">
        <v>336</v>
      </c>
      <c r="K5" t="s">
        <v>697</v>
      </c>
    </row>
    <row r="6" spans="1:46" x14ac:dyDescent="0.35">
      <c r="F6" t="str">
        <f t="shared" si="0"/>
        <v>"ENG": "Trade balance of Ukraine forecast"</v>
      </c>
      <c r="H6" t="s">
        <v>684</v>
      </c>
      <c r="I6" t="s">
        <v>685</v>
      </c>
      <c r="J6" t="s">
        <v>337</v>
      </c>
      <c r="K6" t="s">
        <v>698</v>
      </c>
    </row>
    <row r="8" spans="1:46" x14ac:dyDescent="0.35">
      <c r="B8" t="str">
        <f>CHAR(34)&amp;I8&amp;CHAR(34)&amp;": "&amp;C8</f>
        <v>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</v>
      </c>
      <c r="C8" t="str">
        <f>"{"&amp;_xlfn.TEXTJOIN(", ",TRUE,E8:E9)&amp;"}"</f>
        <v>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</v>
      </c>
      <c r="E8" t="str">
        <f>CHAR(34)&amp;J8&amp;CHAR(34)&amp;": "&amp;F8</f>
        <v>"index_0": [2022, 2022, 2022, 2022, 2022, 2022, 2022, 2022, 2022, 2022, 2022, 2022, 2023, 2023, 2023, 2023, 2023, 2023, 2023, 2023, 2023, 2023, 2023, 2023, 2024, 2024, 2024, 2024, 2024, 2024, 2024, 2024, 2024, 2024, 2024, 2024]</v>
      </c>
      <c r="F8" s="1" t="str" cm="1">
        <f t="array" ref="F8">"["&amp;_xlfn.TEXTJOIN(", ",FALSE,SUBSTITUTE(K8:AT8,",","."))&amp;"]"</f>
        <v>[2022, 2022, 2022, 2022, 2022, 2022, 2022, 2022, 2022, 2022, 2022, 2022, 2023, 2023, 2023, 2023, 2023, 2023, 2023, 2023, 2023, 2023, 2023, 2023, 2024, 2024, 2024, 2024, 2024, 2024, 2024, 2024, 2024, 2024, 2024, 2024]</v>
      </c>
      <c r="H8" t="s">
        <v>684</v>
      </c>
      <c r="I8" t="s">
        <v>686</v>
      </c>
      <c r="J8" t="s">
        <v>687</v>
      </c>
      <c r="K8">
        <v>2022</v>
      </c>
      <c r="L8">
        <v>2022</v>
      </c>
      <c r="M8">
        <v>2022</v>
      </c>
      <c r="N8">
        <v>2022</v>
      </c>
      <c r="O8">
        <v>2022</v>
      </c>
      <c r="P8">
        <v>2022</v>
      </c>
      <c r="Q8">
        <v>2022</v>
      </c>
      <c r="R8">
        <v>2022</v>
      </c>
      <c r="S8">
        <v>2022</v>
      </c>
      <c r="T8">
        <v>2022</v>
      </c>
      <c r="U8">
        <v>2022</v>
      </c>
      <c r="V8">
        <v>2022</v>
      </c>
      <c r="W8">
        <v>2023</v>
      </c>
      <c r="X8">
        <v>2023</v>
      </c>
      <c r="Y8">
        <v>2023</v>
      </c>
      <c r="Z8">
        <v>2023</v>
      </c>
      <c r="AA8">
        <v>2023</v>
      </c>
      <c r="AB8">
        <v>2023</v>
      </c>
      <c r="AC8">
        <v>2023</v>
      </c>
      <c r="AD8">
        <v>2023</v>
      </c>
      <c r="AE8">
        <v>2023</v>
      </c>
      <c r="AF8">
        <v>2023</v>
      </c>
      <c r="AG8">
        <v>2023</v>
      </c>
      <c r="AH8">
        <v>2023</v>
      </c>
      <c r="AI8">
        <v>2024</v>
      </c>
      <c r="AJ8">
        <v>2024</v>
      </c>
      <c r="AK8">
        <v>2024</v>
      </c>
      <c r="AL8">
        <v>2024</v>
      </c>
      <c r="AM8">
        <v>2024</v>
      </c>
      <c r="AN8">
        <v>2024</v>
      </c>
      <c r="AO8">
        <v>2024</v>
      </c>
      <c r="AP8">
        <v>2024</v>
      </c>
      <c r="AQ8">
        <v>2024</v>
      </c>
      <c r="AR8">
        <v>2024</v>
      </c>
      <c r="AS8">
        <v>2024</v>
      </c>
      <c r="AT8">
        <v>2024</v>
      </c>
    </row>
    <row r="9" spans="1:46" x14ac:dyDescent="0.35">
      <c r="E9" t="str">
        <f>CHAR(34)&amp;J9&amp;CHAR(34)&amp;": "&amp;F9</f>
        <v>"index_1": [1, 2, 3, 4, 5, 6, 7, 8, 9, 10, 11, 12, 1, 2, 3, 4, 5, 6, 7, 8, 9, 10, 11, 12, 1, 2, 3, 4, 5, 6, 7, 8, 9, 10, 11, 12]</v>
      </c>
      <c r="F9" s="1" t="str" cm="1">
        <f t="array" ref="F9">"["&amp;_xlfn.TEXTJOIN(", ",FALSE,SUBSTITUTE(K9:AT9,",","."))&amp;"]"</f>
        <v>[1, 2, 3, 4, 5, 6, 7, 8, 9, 10, 11, 12, 1, 2, 3, 4, 5, 6, 7, 8, 9, 10, 11, 12, 1, 2, 3, 4, 5, 6, 7, 8, 9, 10, 11, 12]</v>
      </c>
      <c r="H9" t="s">
        <v>684</v>
      </c>
      <c r="I9" t="s">
        <v>686</v>
      </c>
      <c r="J9" t="s">
        <v>688</v>
      </c>
      <c r="K9">
        <v>1</v>
      </c>
      <c r="L9">
        <v>2</v>
      </c>
      <c r="M9">
        <v>3</v>
      </c>
      <c r="N9">
        <v>4</v>
      </c>
      <c r="O9">
        <v>5</v>
      </c>
      <c r="P9">
        <v>6</v>
      </c>
      <c r="Q9">
        <v>7</v>
      </c>
      <c r="R9">
        <v>8</v>
      </c>
      <c r="S9">
        <v>9</v>
      </c>
      <c r="T9">
        <v>10</v>
      </c>
      <c r="U9">
        <v>11</v>
      </c>
      <c r="V9">
        <v>12</v>
      </c>
      <c r="W9">
        <v>1</v>
      </c>
      <c r="X9">
        <v>2</v>
      </c>
      <c r="Y9">
        <v>3</v>
      </c>
      <c r="Z9">
        <v>4</v>
      </c>
      <c r="AA9">
        <v>5</v>
      </c>
      <c r="AB9">
        <v>6</v>
      </c>
      <c r="AC9">
        <v>7</v>
      </c>
      <c r="AD9">
        <v>8</v>
      </c>
      <c r="AE9">
        <v>9</v>
      </c>
      <c r="AF9">
        <v>10</v>
      </c>
      <c r="AG9">
        <v>11</v>
      </c>
      <c r="AH9">
        <v>12</v>
      </c>
      <c r="AI9">
        <v>1</v>
      </c>
      <c r="AJ9">
        <v>2</v>
      </c>
      <c r="AK9">
        <v>3</v>
      </c>
      <c r="AL9">
        <v>4</v>
      </c>
      <c r="AM9">
        <v>5</v>
      </c>
      <c r="AN9">
        <v>6</v>
      </c>
      <c r="AO9">
        <v>7</v>
      </c>
      <c r="AP9">
        <v>8</v>
      </c>
      <c r="AQ9">
        <v>9</v>
      </c>
      <c r="AR9">
        <v>10</v>
      </c>
      <c r="AS9">
        <v>11</v>
      </c>
      <c r="AT9">
        <v>12</v>
      </c>
    </row>
    <row r="10" spans="1:46" x14ac:dyDescent="0.35">
      <c r="F10" s="1"/>
    </row>
    <row r="11" spans="1:46" x14ac:dyDescent="0.35">
      <c r="B11" t="str">
        <f>CHAR(34)&amp;I11&amp;CHAR(34)&amp;": "&amp;C11</f>
        <v>"labels": {"label_1": [5589, 4889, 2293, 2375, 2632, 2930, 2678, 3123, 3899, 3599, 3593, 3299, 2969, 3154, 3667, 2889, 2953, 2810, 2265, 2543, 2557, 2625, 2841, 3194.99335167227, 3382.79612474196, 3341.90713007039, 3076.3172319356, 2778.03763376338, 2536.70569090194, 2204.5166866455, 2282.71829075682, 3162.64907217102, 3309.32542767598, 3568.98380680503, 3653.60229409199, 3558.3898645855], "label_2": [5886, 5874, 1993, 2780, 3841, 4827, 4597, 4669, 4584, 4818, 5493, 6189, 5128, 5148, 5480, 4619, 4916, 5142, 5226, 5522, 5355, 5486, 4988, 6025.46823819223, 4777.55027364769, 5557.4629374165, 5779.79961011385, 5005.46772566696, 5008.16056406094, 5037.03544747331, 5305.61659750425, 5282.21092430111, 5552.18506962576, 5906.86495716604, 5957.98632083735, 5961.23631271194], "label_3": [1756, 1778, 1100, 1212, 1293, 1236, 1272, 1324, 1299, 1320, 1392, 1636, 1277, 1315, 1387, 1276, 1352, 1363, 1370, 1391, 1283, 1360, 1423, 1394.60493907182, 1212.17639989328, 1186.91628905559, 1287.58376510892, 1334.62379138678, 1297.34307071814, 1337.67040491367, 1395.01094834979, 1397.28325580787, 1398.61933299789, 1452.18515205006, 1502.64206982521, 1655.17860255444], "label_4": [1516, 1649, 1973, 2112, 2455, 2497, 2477, 2448, 2459, 2492, 2610, 3015, 2691, 2622, 2259, 1905, 1946, 1909, 1975, 1979, 1937, 1948, 2005, 2261.93926519095, 1890.86703881418, 1917.12278950726, 1876.26702305323, 1844.06653746039, 1827.63467845869, 1886.17130797025, 1927.06864479121, 1953.87034011839, 1985.77822102371, 1907.23930174544, 1902.05283080716, 2229.25325594483], "label_5": [-57, -856, -573, -1305, -2371, -3158, -3124, -2670, -1845, -2391, -3118, -4269, -3573, -3301, -2685, -2359, -2557, -2878, -3566, -3567, -3452, -3449, -2729, -3697.8092126391, -2073.44478782663, -2945.76230779779, -3292.16563612256, -2736.87283797719, -3001.74648089955, -3381.01966388439, -3554.95600318884, -2676.14893644061, -2830.01852997559, -2792.93530005639, -2703.79478772732, -2976.92110151683]}</v>
      </c>
      <c r="C11" t="str">
        <f>"{"&amp;_xlfn.TEXTJOIN(", ",TRUE,E11:E15)&amp;"}"</f>
        <v>{"label_1": [5589, 4889, 2293, 2375, 2632, 2930, 2678, 3123, 3899, 3599, 3593, 3299, 2969, 3154, 3667, 2889, 2953, 2810, 2265, 2543, 2557, 2625, 2841, 3194.99335167227, 3382.79612474196, 3341.90713007039, 3076.3172319356, 2778.03763376338, 2536.70569090194, 2204.5166866455, 2282.71829075682, 3162.64907217102, 3309.32542767598, 3568.98380680503, 3653.60229409199, 3558.3898645855], "label_2": [5886, 5874, 1993, 2780, 3841, 4827, 4597, 4669, 4584, 4818, 5493, 6189, 5128, 5148, 5480, 4619, 4916, 5142, 5226, 5522, 5355, 5486, 4988, 6025.46823819223, 4777.55027364769, 5557.4629374165, 5779.79961011385, 5005.46772566696, 5008.16056406094, 5037.03544747331, 5305.61659750425, 5282.21092430111, 5552.18506962576, 5906.86495716604, 5957.98632083735, 5961.23631271194], "label_3": [1756, 1778, 1100, 1212, 1293, 1236, 1272, 1324, 1299, 1320, 1392, 1636, 1277, 1315, 1387, 1276, 1352, 1363, 1370, 1391, 1283, 1360, 1423, 1394.60493907182, 1212.17639989328, 1186.91628905559, 1287.58376510892, 1334.62379138678, 1297.34307071814, 1337.67040491367, 1395.01094834979, 1397.28325580787, 1398.61933299789, 1452.18515205006, 1502.64206982521, 1655.17860255444], "label_4": [1516, 1649, 1973, 2112, 2455, 2497, 2477, 2448, 2459, 2492, 2610, 3015, 2691, 2622, 2259, 1905, 1946, 1909, 1975, 1979, 1937, 1948, 2005, 2261.93926519095, 1890.86703881418, 1917.12278950726, 1876.26702305323, 1844.06653746039, 1827.63467845869, 1886.17130797025, 1927.06864479121, 1953.87034011839, 1985.77822102371, 1907.23930174544, 1902.05283080716, 2229.25325594483], "label_5": [-57, -856, -573, -1305, -2371, -3158, -3124, -2670, -1845, -2391, -3118, -4269, -3573, -3301, -2685, -2359, -2557, -2878, -3566, -3567, -3452, -3449, -2729, -3697.8092126391, -2073.44478782663, -2945.76230779779, -3292.16563612256, -2736.87283797719, -3001.74648089955, -3381.01966388439, -3554.95600318884, -2676.14893644061, -2830.01852997559, -2792.93530005639, -2703.79478772732, -2976.92110151683]}</v>
      </c>
      <c r="E11" t="str">
        <f>CHAR(34)&amp;J11&amp;CHAR(34)&amp;": "&amp;F11</f>
        <v>"label_1": [5589, 4889, 2293, 2375, 2632, 2930, 2678, 3123, 3899, 3599, 3593, 3299, 2969, 3154, 3667, 2889, 2953, 2810, 2265, 2543, 2557, 2625, 2841, 3194.99335167227, 3382.79612474196, 3341.90713007039, 3076.3172319356, 2778.03763376338, 2536.70569090194, 2204.5166866455, 2282.71829075682, 3162.64907217102, 3309.32542767598, 3568.98380680503, 3653.60229409199, 3558.3898645855]</v>
      </c>
      <c r="F11" s="1" t="str" cm="1">
        <f t="array" ref="F11">"["&amp;_xlfn.TEXTJOIN(", ",FALSE,SUBSTITUTE(K11:AT11,",","."))&amp;"]"</f>
        <v>[5589, 4889, 2293, 2375, 2632, 2930, 2678, 3123, 3899, 3599, 3593, 3299, 2969, 3154, 3667, 2889, 2953, 2810, 2265, 2543, 2557, 2625, 2841, 3194.99335167227, 3382.79612474196, 3341.90713007039, 3076.3172319356, 2778.03763376338, 2536.70569090194, 2204.5166866455, 2282.71829075682, 3162.64907217102, 3309.32542767598, 3568.98380680503, 3653.60229409199, 3558.3898645855]</v>
      </c>
      <c r="H11" t="s">
        <v>684</v>
      </c>
      <c r="I11" t="s">
        <v>689</v>
      </c>
      <c r="J11" t="s">
        <v>690</v>
      </c>
      <c r="K11" s="1" cm="1">
        <f t="array" ref="K11:AT12">'ПБ V-1 (fin min)'!AL7:BU8</f>
        <v>5589</v>
      </c>
      <c r="L11">
        <v>4889</v>
      </c>
      <c r="M11">
        <v>2293</v>
      </c>
      <c r="N11">
        <v>2375</v>
      </c>
      <c r="O11">
        <v>2632</v>
      </c>
      <c r="P11">
        <v>2930</v>
      </c>
      <c r="Q11">
        <v>2678</v>
      </c>
      <c r="R11">
        <v>3123</v>
      </c>
      <c r="S11">
        <v>3899</v>
      </c>
      <c r="T11">
        <v>3599</v>
      </c>
      <c r="U11">
        <v>3593</v>
      </c>
      <c r="V11">
        <v>3299</v>
      </c>
      <c r="W11">
        <v>2969</v>
      </c>
      <c r="X11">
        <v>3154</v>
      </c>
      <c r="Y11">
        <v>3667</v>
      </c>
      <c r="Z11">
        <v>2889</v>
      </c>
      <c r="AA11">
        <v>2953</v>
      </c>
      <c r="AB11">
        <v>2810</v>
      </c>
      <c r="AC11">
        <v>2265</v>
      </c>
      <c r="AD11">
        <v>2543</v>
      </c>
      <c r="AE11">
        <v>2557</v>
      </c>
      <c r="AF11">
        <v>2625</v>
      </c>
      <c r="AG11">
        <v>2841</v>
      </c>
      <c r="AH11">
        <v>3194.9933516722654</v>
      </c>
      <c r="AI11">
        <v>3382.7961247419639</v>
      </c>
      <c r="AJ11">
        <v>3341.9071300703863</v>
      </c>
      <c r="AK11">
        <v>3076.3172319355976</v>
      </c>
      <c r="AL11">
        <v>2778.0376337633825</v>
      </c>
      <c r="AM11">
        <v>2536.7056909019416</v>
      </c>
      <c r="AN11">
        <v>2204.5166866455006</v>
      </c>
      <c r="AO11">
        <v>2282.7182907568204</v>
      </c>
      <c r="AP11">
        <v>3162.6490721710247</v>
      </c>
      <c r="AQ11">
        <v>3309.3254276759826</v>
      </c>
      <c r="AR11">
        <v>3568.9838068050317</v>
      </c>
      <c r="AS11">
        <v>3653.6022940919875</v>
      </c>
      <c r="AT11">
        <v>3558.3898645855024</v>
      </c>
    </row>
    <row r="12" spans="1:46" x14ac:dyDescent="0.35">
      <c r="E12" t="str">
        <f t="shared" ref="E12:E15" si="1">CHAR(34)&amp;J12&amp;CHAR(34)&amp;": "&amp;F12</f>
        <v>"label_2": [5886, 5874, 1993, 2780, 3841, 4827, 4597, 4669, 4584, 4818, 5493, 6189, 5128, 5148, 5480, 4619, 4916, 5142, 5226, 5522, 5355, 5486, 4988, 6025.46823819223, 4777.55027364769, 5557.4629374165, 5779.79961011385, 5005.46772566696, 5008.16056406094, 5037.03544747331, 5305.61659750425, 5282.21092430111, 5552.18506962576, 5906.86495716604, 5957.98632083735, 5961.23631271194]</v>
      </c>
      <c r="F12" s="1" t="str" cm="1">
        <f t="array" ref="F12">"["&amp;_xlfn.TEXTJOIN(", ",FALSE,SUBSTITUTE(K12:AT12,",","."))&amp;"]"</f>
        <v>[5886, 5874, 1993, 2780, 3841, 4827, 4597, 4669, 4584, 4818, 5493, 6189, 5128, 5148, 5480, 4619, 4916, 5142, 5226, 5522, 5355, 5486, 4988, 6025.46823819223, 4777.55027364769, 5557.4629374165, 5779.79961011385, 5005.46772566696, 5008.16056406094, 5037.03544747331, 5305.61659750425, 5282.21092430111, 5552.18506962576, 5906.86495716604, 5957.98632083735, 5961.23631271194]</v>
      </c>
      <c r="H12" t="s">
        <v>684</v>
      </c>
      <c r="I12" t="s">
        <v>689</v>
      </c>
      <c r="J12" t="s">
        <v>691</v>
      </c>
      <c r="K12">
        <v>5886</v>
      </c>
      <c r="L12">
        <v>5874</v>
      </c>
      <c r="M12">
        <v>1993</v>
      </c>
      <c r="N12">
        <v>2780</v>
      </c>
      <c r="O12">
        <v>3841</v>
      </c>
      <c r="P12">
        <v>4827</v>
      </c>
      <c r="Q12">
        <v>4597</v>
      </c>
      <c r="R12">
        <v>4669</v>
      </c>
      <c r="S12">
        <v>4584</v>
      </c>
      <c r="T12">
        <v>4818</v>
      </c>
      <c r="U12">
        <v>5493</v>
      </c>
      <c r="V12">
        <v>6189</v>
      </c>
      <c r="W12">
        <v>5128</v>
      </c>
      <c r="X12">
        <v>5148</v>
      </c>
      <c r="Y12">
        <v>5480</v>
      </c>
      <c r="Z12">
        <v>4619</v>
      </c>
      <c r="AA12">
        <v>4916</v>
      </c>
      <c r="AB12">
        <v>5142</v>
      </c>
      <c r="AC12">
        <v>5226</v>
      </c>
      <c r="AD12">
        <v>5522</v>
      </c>
      <c r="AE12">
        <v>5355</v>
      </c>
      <c r="AF12">
        <v>5486</v>
      </c>
      <c r="AG12">
        <v>4988</v>
      </c>
      <c r="AH12">
        <v>6025.4682381922266</v>
      </c>
      <c r="AI12">
        <v>4777.5502736476928</v>
      </c>
      <c r="AJ12">
        <v>5557.4629374165024</v>
      </c>
      <c r="AK12">
        <v>5779.7996101138451</v>
      </c>
      <c r="AL12">
        <v>5005.4677256669647</v>
      </c>
      <c r="AM12">
        <v>5008.1605640609396</v>
      </c>
      <c r="AN12">
        <v>5037.0354474733085</v>
      </c>
      <c r="AO12">
        <v>5305.6165975042468</v>
      </c>
      <c r="AP12">
        <v>5282.2109243011146</v>
      </c>
      <c r="AQ12">
        <v>5552.1850696257598</v>
      </c>
      <c r="AR12">
        <v>5906.8649571660426</v>
      </c>
      <c r="AS12">
        <v>5957.9863208373527</v>
      </c>
      <c r="AT12">
        <v>5961.2363127119443</v>
      </c>
    </row>
    <row r="13" spans="1:46" x14ac:dyDescent="0.35">
      <c r="E13" t="str">
        <f t="shared" si="1"/>
        <v>"label_3": [1756, 1778, 1100, 1212, 1293, 1236, 1272, 1324, 1299, 1320, 1392, 1636, 1277, 1315, 1387, 1276, 1352, 1363, 1370, 1391, 1283, 1360, 1423, 1394.60493907182, 1212.17639989328, 1186.91628905559, 1287.58376510892, 1334.62379138678, 1297.34307071814, 1337.67040491367, 1395.01094834979, 1397.28325580787, 1398.61933299789, 1452.18515205006, 1502.64206982521, 1655.17860255444]</v>
      </c>
      <c r="F13" s="1" t="str" cm="1">
        <f t="array" ref="F13">"["&amp;_xlfn.TEXTJOIN(", ",FALSE,SUBSTITUTE(K13:AT13,",","."))&amp;"]"</f>
        <v>[1756, 1778, 1100, 1212, 1293, 1236, 1272, 1324, 1299, 1320, 1392, 1636, 1277, 1315, 1387, 1276, 1352, 1363, 1370, 1391, 1283, 1360, 1423, 1394.60493907182, 1212.17639989328, 1186.91628905559, 1287.58376510892, 1334.62379138678, 1297.34307071814, 1337.67040491367, 1395.01094834979, 1397.28325580787, 1398.61933299789, 1452.18515205006, 1502.64206982521, 1655.17860255444]</v>
      </c>
      <c r="H13" t="s">
        <v>684</v>
      </c>
      <c r="I13" t="s">
        <v>689</v>
      </c>
      <c r="J13" t="s">
        <v>692</v>
      </c>
      <c r="K13" s="1" cm="1">
        <f t="array" ref="K13:AT14">'ПБ V-1 (fin min)'!AL10:BU11</f>
        <v>1756</v>
      </c>
      <c r="L13">
        <v>1778</v>
      </c>
      <c r="M13">
        <v>1100</v>
      </c>
      <c r="N13">
        <v>1212</v>
      </c>
      <c r="O13">
        <v>1293</v>
      </c>
      <c r="P13">
        <v>1236</v>
      </c>
      <c r="Q13">
        <v>1272</v>
      </c>
      <c r="R13">
        <v>1324</v>
      </c>
      <c r="S13">
        <v>1299</v>
      </c>
      <c r="T13">
        <v>1320</v>
      </c>
      <c r="U13">
        <v>1392</v>
      </c>
      <c r="V13">
        <v>1636</v>
      </c>
      <c r="W13">
        <v>1277</v>
      </c>
      <c r="X13">
        <v>1315</v>
      </c>
      <c r="Y13">
        <v>1387</v>
      </c>
      <c r="Z13">
        <v>1276</v>
      </c>
      <c r="AA13">
        <v>1352</v>
      </c>
      <c r="AB13">
        <v>1363</v>
      </c>
      <c r="AC13">
        <v>1370</v>
      </c>
      <c r="AD13">
        <v>1391</v>
      </c>
      <c r="AE13">
        <v>1283</v>
      </c>
      <c r="AF13">
        <v>1360</v>
      </c>
      <c r="AG13">
        <v>1423</v>
      </c>
      <c r="AH13">
        <v>1394.6049390718174</v>
      </c>
      <c r="AI13">
        <v>1212.1763998932752</v>
      </c>
      <c r="AJ13">
        <v>1186.9162890555858</v>
      </c>
      <c r="AK13">
        <v>1287.5837651089178</v>
      </c>
      <c r="AL13">
        <v>1334.6237913867844</v>
      </c>
      <c r="AM13">
        <v>1297.3430707181385</v>
      </c>
      <c r="AN13">
        <v>1337.6704049136683</v>
      </c>
      <c r="AO13">
        <v>1395.0109483497949</v>
      </c>
      <c r="AP13">
        <v>1397.2832558078705</v>
      </c>
      <c r="AQ13">
        <v>1398.6193329978946</v>
      </c>
      <c r="AR13">
        <v>1452.1851520500602</v>
      </c>
      <c r="AS13">
        <v>1502.6420698252132</v>
      </c>
      <c r="AT13">
        <v>1655.1786025544411</v>
      </c>
    </row>
    <row r="14" spans="1:46" x14ac:dyDescent="0.35">
      <c r="E14" t="str">
        <f t="shared" si="1"/>
        <v>"label_4": [1516, 1649, 1973, 2112, 2455, 2497, 2477, 2448, 2459, 2492, 2610, 3015, 2691, 2622, 2259, 1905, 1946, 1909, 1975, 1979, 1937, 1948, 2005, 2261.93926519095, 1890.86703881418, 1917.12278950726, 1876.26702305323, 1844.06653746039, 1827.63467845869, 1886.17130797025, 1927.06864479121, 1953.87034011839, 1985.77822102371, 1907.23930174544, 1902.05283080716, 2229.25325594483]</v>
      </c>
      <c r="F14" s="1" t="str" cm="1">
        <f t="array" ref="F14">"["&amp;_xlfn.TEXTJOIN(", ",FALSE,SUBSTITUTE(K14:AT14,",","."))&amp;"]"</f>
        <v>[1516, 1649, 1973, 2112, 2455, 2497, 2477, 2448, 2459, 2492, 2610, 3015, 2691, 2622, 2259, 1905, 1946, 1909, 1975, 1979, 1937, 1948, 2005, 2261.93926519095, 1890.86703881418, 1917.12278950726, 1876.26702305323, 1844.06653746039, 1827.63467845869, 1886.17130797025, 1927.06864479121, 1953.87034011839, 1985.77822102371, 1907.23930174544, 1902.05283080716, 2229.25325594483]</v>
      </c>
      <c r="H14" t="s">
        <v>684</v>
      </c>
      <c r="I14" t="s">
        <v>689</v>
      </c>
      <c r="J14" t="s">
        <v>693</v>
      </c>
      <c r="K14">
        <v>1516</v>
      </c>
      <c r="L14">
        <v>1649</v>
      </c>
      <c r="M14">
        <v>1973</v>
      </c>
      <c r="N14">
        <v>2112</v>
      </c>
      <c r="O14">
        <v>2455</v>
      </c>
      <c r="P14">
        <v>2497</v>
      </c>
      <c r="Q14">
        <v>2477</v>
      </c>
      <c r="R14">
        <v>2448</v>
      </c>
      <c r="S14">
        <v>2459</v>
      </c>
      <c r="T14">
        <v>2492</v>
      </c>
      <c r="U14">
        <v>2610</v>
      </c>
      <c r="V14">
        <v>3015</v>
      </c>
      <c r="W14">
        <v>2691</v>
      </c>
      <c r="X14">
        <v>2622</v>
      </c>
      <c r="Y14">
        <v>2259</v>
      </c>
      <c r="Z14">
        <v>1905</v>
      </c>
      <c r="AA14">
        <v>1946</v>
      </c>
      <c r="AB14">
        <v>1909</v>
      </c>
      <c r="AC14">
        <v>1975</v>
      </c>
      <c r="AD14">
        <v>1979</v>
      </c>
      <c r="AE14">
        <v>1937</v>
      </c>
      <c r="AF14">
        <v>1948</v>
      </c>
      <c r="AG14">
        <v>2005</v>
      </c>
      <c r="AH14">
        <v>2261.9392651909529</v>
      </c>
      <c r="AI14">
        <v>1890.8670388141809</v>
      </c>
      <c r="AJ14">
        <v>1917.1227895072627</v>
      </c>
      <c r="AK14">
        <v>1876.2670230532278</v>
      </c>
      <c r="AL14">
        <v>1844.0665374603941</v>
      </c>
      <c r="AM14">
        <v>1827.6346784586869</v>
      </c>
      <c r="AN14">
        <v>1886.1713079702549</v>
      </c>
      <c r="AO14">
        <v>1927.0686447912112</v>
      </c>
      <c r="AP14">
        <v>1953.8703401183875</v>
      </c>
      <c r="AQ14">
        <v>1985.7782210237053</v>
      </c>
      <c r="AR14">
        <v>1907.2393017454419</v>
      </c>
      <c r="AS14">
        <v>1902.0528308071632</v>
      </c>
      <c r="AT14">
        <v>2229.2532559448287</v>
      </c>
    </row>
    <row r="15" spans="1:46" x14ac:dyDescent="0.35">
      <c r="E15" t="str">
        <f t="shared" si="1"/>
        <v>"label_5": [-57, -856, -573, -1305, -2371, -3158, -3124, -2670, -1845, -2391, -3118, -4269, -3573, -3301, -2685, -2359, -2557, -2878, -3566, -3567, -3452, -3449, -2729, -3697.8092126391, -2073.44478782663, -2945.76230779779, -3292.16563612256, -2736.87283797719, -3001.74648089955, -3381.01966388439, -3554.95600318884, -2676.14893644061, -2830.01852997559, -2792.93530005639, -2703.79478772732, -2976.92110151683]</v>
      </c>
      <c r="F15" s="1" t="str" cm="1">
        <f t="array" ref="F15">"["&amp;_xlfn.TEXTJOIN(", ",FALSE,SUBSTITUTE(K15:AT15,",","."))&amp;"]"</f>
        <v>[-57, -856, -573, -1305, -2371, -3158, -3124, -2670, -1845, -2391, -3118, -4269, -3573, -3301, -2685, -2359, -2557, -2878, -3566, -3567, -3452, -3449, -2729, -3697.8092126391, -2073.44478782663, -2945.76230779779, -3292.16563612256, -2736.87283797719, -3001.74648089955, -3381.01966388439, -3554.95600318884, -2676.14893644061, -2830.01852997559, -2792.93530005639, -2703.79478772732, -2976.92110151683]</v>
      </c>
      <c r="H15" t="s">
        <v>684</v>
      </c>
      <c r="I15" t="s">
        <v>689</v>
      </c>
      <c r="J15" t="s">
        <v>694</v>
      </c>
      <c r="K15" s="1" cm="1">
        <f t="array" ref="K15:AT15">'ПБ V-1 (fin min)'!AL5:BU5</f>
        <v>-57</v>
      </c>
      <c r="L15">
        <v>-856</v>
      </c>
      <c r="M15">
        <v>-573</v>
      </c>
      <c r="N15">
        <v>-1305</v>
      </c>
      <c r="O15">
        <v>-2371</v>
      </c>
      <c r="P15">
        <v>-3158</v>
      </c>
      <c r="Q15">
        <v>-3124</v>
      </c>
      <c r="R15">
        <v>-2670</v>
      </c>
      <c r="S15">
        <v>-1845</v>
      </c>
      <c r="T15">
        <v>-2391</v>
      </c>
      <c r="U15">
        <v>-3118</v>
      </c>
      <c r="V15">
        <v>-4269</v>
      </c>
      <c r="W15">
        <v>-3573</v>
      </c>
      <c r="X15">
        <v>-3301</v>
      </c>
      <c r="Y15">
        <v>-2685</v>
      </c>
      <c r="Z15">
        <v>-2359</v>
      </c>
      <c r="AA15">
        <v>-2557</v>
      </c>
      <c r="AB15">
        <v>-2878</v>
      </c>
      <c r="AC15">
        <v>-3566</v>
      </c>
      <c r="AD15">
        <v>-3567</v>
      </c>
      <c r="AE15">
        <v>-3452</v>
      </c>
      <c r="AF15">
        <v>-3449</v>
      </c>
      <c r="AG15">
        <v>-2729</v>
      </c>
      <c r="AH15">
        <v>-3697.8092126390966</v>
      </c>
      <c r="AI15">
        <v>-2073.4447878266346</v>
      </c>
      <c r="AJ15">
        <v>-2945.7623077977933</v>
      </c>
      <c r="AK15">
        <v>-3292.1656361225578</v>
      </c>
      <c r="AL15">
        <v>-2736.8728379771919</v>
      </c>
      <c r="AM15">
        <v>-3001.7464808995464</v>
      </c>
      <c r="AN15">
        <v>-3381.0196638843945</v>
      </c>
      <c r="AO15">
        <v>-3554.9560031888427</v>
      </c>
      <c r="AP15">
        <v>-2676.148936440607</v>
      </c>
      <c r="AQ15">
        <v>-2830.0185299755876</v>
      </c>
      <c r="AR15">
        <v>-2792.9353000563924</v>
      </c>
      <c r="AS15">
        <v>-2703.7947877273155</v>
      </c>
      <c r="AT15">
        <v>-2976.9211015168294</v>
      </c>
    </row>
    <row r="17" spans="2:12" x14ac:dyDescent="0.35">
      <c r="B17" t="str">
        <f>CHAR(34)&amp;I17&amp;CHAR(34)&amp;": "&amp;C17</f>
        <v>"label_names": {"UKR": {"label_1": "Експорт товарів", "label_2": "Імпорт товарів", "label_3": "Експорт послуг", "label_4": "Імпорт послуг", "label_5": "Сальдо торг. балансу"}, "RU": {"label_1": "Экспорт товаров", "label_2": "Импорт товаров", "label_3": "Экспорт услуг", "label_4": "Импорт услуг", "label_5": "Сальдо торгового баланса"}, "ENG": {"label_1": "Export of goods", "label_2": "Import of goods", "label_3": "Export of services", "label_4": "Import of services ", "label_5": "Trade balance (goods, services)"}}</v>
      </c>
      <c r="C17" t="str">
        <f>"{"&amp;_xlfn.TEXTJOIN(", ",TRUE,D17:D31)&amp;"}"</f>
        <v>{"UKR": {"label_1": "Експорт товарів", "label_2": "Імпорт товарів", "label_3": "Експорт послуг", "label_4": "Імпорт послуг", "label_5": "Сальдо торг. балансу"}, "RU": {"label_1": "Экспорт товаров", "label_2": "Импорт товаров", "label_3": "Экспорт услуг", "label_4": "Импорт услуг", "label_5": "Сальдо торгового баланса"}, "ENG": {"label_1": "Export of goods", "label_2": "Import of goods", "label_3": "Export of services", "label_4": "Import of services ", "label_5": "Trade balance (goods, services)"}}</v>
      </c>
      <c r="D17" t="str">
        <f>CHAR(34)&amp;J17&amp;CHAR(34)&amp;": "&amp;E17</f>
        <v>"UKR": {"label_1": "Експорт товарів", "label_2": "Імпорт товарів", "label_3": "Експорт послуг", "label_4": "Імпорт послуг", "label_5": "Сальдо торг. балансу"}</v>
      </c>
      <c r="E17" t="str">
        <f>"{"&amp;_xlfn.TEXTJOIN(", ",TRUE,F17:F21)&amp;"}"</f>
        <v>{"label_1": "Експорт товарів", "label_2": "Імпорт товарів", "label_3": "Експорт послуг", "label_4": "Імпорт послуг", "label_5": "Сальдо торг. балансу"}</v>
      </c>
      <c r="F17" t="str">
        <f>CHAR(34)&amp;K17&amp;CHAR(34)&amp;": "&amp;CHAR(34)&amp;L17&amp;CHAR(34)</f>
        <v>"label_1": "Експорт товарів"</v>
      </c>
      <c r="H17" t="s">
        <v>684</v>
      </c>
      <c r="I17" t="s">
        <v>695</v>
      </c>
      <c r="J17" t="s">
        <v>334</v>
      </c>
      <c r="K17" t="s">
        <v>690</v>
      </c>
      <c r="L17" t="str" cm="1">
        <f t="array" ref="L17:L21">'ТБ 2023'!U5:U9</f>
        <v>Експорт товарів</v>
      </c>
    </row>
    <row r="18" spans="2:12" x14ac:dyDescent="0.35">
      <c r="F18" t="str">
        <f t="shared" ref="F18:F31" si="2">CHAR(34)&amp;K18&amp;CHAR(34)&amp;": "&amp;CHAR(34)&amp;L18&amp;CHAR(34)</f>
        <v>"label_2": "Імпорт товарів"</v>
      </c>
      <c r="H18" t="s">
        <v>684</v>
      </c>
      <c r="I18" t="s">
        <v>695</v>
      </c>
      <c r="J18" t="s">
        <v>334</v>
      </c>
      <c r="K18" t="s">
        <v>691</v>
      </c>
      <c r="L18" t="str">
        <v>Імпорт товарів</v>
      </c>
    </row>
    <row r="19" spans="2:12" x14ac:dyDescent="0.35">
      <c r="F19" t="str">
        <f t="shared" si="2"/>
        <v>"label_3": "Експорт послуг"</v>
      </c>
      <c r="H19" t="s">
        <v>684</v>
      </c>
      <c r="I19" t="s">
        <v>695</v>
      </c>
      <c r="J19" t="s">
        <v>334</v>
      </c>
      <c r="K19" t="s">
        <v>692</v>
      </c>
      <c r="L19" t="str">
        <v>Експорт послуг</v>
      </c>
    </row>
    <row r="20" spans="2:12" x14ac:dyDescent="0.35">
      <c r="F20" t="str">
        <f t="shared" si="2"/>
        <v>"label_4": "Імпорт послуг"</v>
      </c>
      <c r="H20" t="s">
        <v>684</v>
      </c>
      <c r="I20" t="s">
        <v>695</v>
      </c>
      <c r="J20" t="s">
        <v>334</v>
      </c>
      <c r="K20" t="s">
        <v>693</v>
      </c>
      <c r="L20" t="str">
        <v>Імпорт послуг</v>
      </c>
    </row>
    <row r="21" spans="2:12" x14ac:dyDescent="0.35">
      <c r="F21" t="str">
        <f t="shared" si="2"/>
        <v>"label_5": "Сальдо торг. балансу"</v>
      </c>
      <c r="H21" t="s">
        <v>684</v>
      </c>
      <c r="I21" t="s">
        <v>695</v>
      </c>
      <c r="J21" t="s">
        <v>334</v>
      </c>
      <c r="K21" t="s">
        <v>694</v>
      </c>
      <c r="L21" t="str">
        <v>Сальдо торг. балансу</v>
      </c>
    </row>
    <row r="22" spans="2:12" x14ac:dyDescent="0.35">
      <c r="D22" t="str">
        <f>CHAR(34)&amp;J22&amp;CHAR(34)&amp;": "&amp;E22</f>
        <v>"RU": {"label_1": "Экспорт товаров", "label_2": "Импорт товаров", "label_3": "Экспорт услуг", "label_4": "Импорт услуг", "label_5": "Сальдо торгового баланса"}</v>
      </c>
      <c r="E22" t="str">
        <f>"{"&amp;_xlfn.TEXTJOIN(", ",TRUE,F22:F26)&amp;"}"</f>
        <v>{"label_1": "Экспорт товаров", "label_2": "Импорт товаров", "label_3": "Экспорт услуг", "label_4": "Импорт услуг", "label_5": "Сальдо торгового баланса"}</v>
      </c>
      <c r="F22" t="str">
        <f t="shared" si="2"/>
        <v>"label_1": "Экспорт товаров"</v>
      </c>
      <c r="H22" t="s">
        <v>684</v>
      </c>
      <c r="I22" t="s">
        <v>695</v>
      </c>
      <c r="J22" t="s">
        <v>336</v>
      </c>
      <c r="K22" t="s">
        <v>690</v>
      </c>
      <c r="L22" t="str" cm="1">
        <f t="array" ref="L22:L26">'ТБ 2023'!S5:S9</f>
        <v>Экспорт товаров</v>
      </c>
    </row>
    <row r="23" spans="2:12" x14ac:dyDescent="0.35">
      <c r="F23" t="str">
        <f t="shared" si="2"/>
        <v>"label_2": "Импорт товаров"</v>
      </c>
      <c r="H23" t="s">
        <v>684</v>
      </c>
      <c r="I23" t="s">
        <v>695</v>
      </c>
      <c r="J23" t="s">
        <v>336</v>
      </c>
      <c r="K23" t="s">
        <v>691</v>
      </c>
      <c r="L23" t="str">
        <v>Импорт товаров</v>
      </c>
    </row>
    <row r="24" spans="2:12" x14ac:dyDescent="0.35">
      <c r="F24" t="str">
        <f t="shared" si="2"/>
        <v>"label_3": "Экспорт услуг"</v>
      </c>
      <c r="H24" t="s">
        <v>684</v>
      </c>
      <c r="I24" t="s">
        <v>695</v>
      </c>
      <c r="J24" t="s">
        <v>336</v>
      </c>
      <c r="K24" t="s">
        <v>692</v>
      </c>
      <c r="L24" t="str">
        <v>Экспорт услуг</v>
      </c>
    </row>
    <row r="25" spans="2:12" x14ac:dyDescent="0.35">
      <c r="F25" t="str">
        <f t="shared" si="2"/>
        <v>"label_4": "Импорт услуг"</v>
      </c>
      <c r="H25" t="s">
        <v>684</v>
      </c>
      <c r="I25" t="s">
        <v>695</v>
      </c>
      <c r="J25" t="s">
        <v>336</v>
      </c>
      <c r="K25" t="s">
        <v>693</v>
      </c>
      <c r="L25" t="str">
        <v>Импорт услуг</v>
      </c>
    </row>
    <row r="26" spans="2:12" x14ac:dyDescent="0.35">
      <c r="F26" t="str">
        <f t="shared" si="2"/>
        <v>"label_5": "Сальдо торгового баланса"</v>
      </c>
      <c r="H26" t="s">
        <v>684</v>
      </c>
      <c r="I26" t="s">
        <v>695</v>
      </c>
      <c r="J26" t="s">
        <v>336</v>
      </c>
      <c r="K26" t="s">
        <v>694</v>
      </c>
      <c r="L26" t="str">
        <v>Сальдо торгового баланса</v>
      </c>
    </row>
    <row r="27" spans="2:12" x14ac:dyDescent="0.35">
      <c r="D27" t="str">
        <f>CHAR(34)&amp;J27&amp;CHAR(34)&amp;": "&amp;E27</f>
        <v>"ENG": {"label_1": "Export of goods", "label_2": "Import of goods", "label_3": "Export of services", "label_4": "Import of services ", "label_5": "Trade balance (goods, services)"}</v>
      </c>
      <c r="E27" t="str">
        <f>"{"&amp;_xlfn.TEXTJOIN(", ",TRUE,F27:F31)&amp;"}"</f>
        <v>{"label_1": "Export of goods", "label_2": "Import of goods", "label_3": "Export of services", "label_4": "Import of services ", "label_5": "Trade balance (goods, services)"}</v>
      </c>
      <c r="F27" t="str">
        <f t="shared" si="2"/>
        <v>"label_1": "Export of goods"</v>
      </c>
      <c r="H27" t="s">
        <v>684</v>
      </c>
      <c r="I27" t="s">
        <v>695</v>
      </c>
      <c r="J27" t="s">
        <v>337</v>
      </c>
      <c r="K27" t="s">
        <v>690</v>
      </c>
      <c r="L27" t="str" cm="1">
        <f t="array" ref="L27:L31">'ТБ 2023'!T5:T9</f>
        <v>Export of goods</v>
      </c>
    </row>
    <row r="28" spans="2:12" x14ac:dyDescent="0.35">
      <c r="F28" t="str">
        <f t="shared" si="2"/>
        <v>"label_2": "Import of goods"</v>
      </c>
      <c r="H28" t="s">
        <v>684</v>
      </c>
      <c r="I28" t="s">
        <v>695</v>
      </c>
      <c r="J28" t="s">
        <v>337</v>
      </c>
      <c r="K28" t="s">
        <v>691</v>
      </c>
      <c r="L28" t="str">
        <v>Import of goods</v>
      </c>
    </row>
    <row r="29" spans="2:12" x14ac:dyDescent="0.35">
      <c r="F29" t="str">
        <f t="shared" si="2"/>
        <v>"label_3": "Export of services"</v>
      </c>
      <c r="H29" t="s">
        <v>684</v>
      </c>
      <c r="I29" t="s">
        <v>695</v>
      </c>
      <c r="J29" t="s">
        <v>337</v>
      </c>
      <c r="K29" t="s">
        <v>692</v>
      </c>
      <c r="L29" t="str">
        <v>Export of services</v>
      </c>
    </row>
    <row r="30" spans="2:12" x14ac:dyDescent="0.35">
      <c r="F30" t="str">
        <f t="shared" si="2"/>
        <v>"label_4": "Import of services "</v>
      </c>
      <c r="H30" t="s">
        <v>684</v>
      </c>
      <c r="I30" t="s">
        <v>695</v>
      </c>
      <c r="J30" t="s">
        <v>337</v>
      </c>
      <c r="K30" t="s">
        <v>693</v>
      </c>
      <c r="L30" t="str">
        <v xml:space="preserve">Import of services </v>
      </c>
    </row>
    <row r="31" spans="2:12" x14ac:dyDescent="0.35">
      <c r="F31" t="str">
        <f t="shared" si="2"/>
        <v>"label_5": "Trade balance (goods, services)"</v>
      </c>
      <c r="H31" t="s">
        <v>684</v>
      </c>
      <c r="I31" t="s">
        <v>695</v>
      </c>
      <c r="J31" t="s">
        <v>337</v>
      </c>
      <c r="K31" t="s">
        <v>694</v>
      </c>
      <c r="L31" t="str">
        <v>Trade balance (goods, services)</v>
      </c>
    </row>
    <row r="33" spans="1:46" x14ac:dyDescent="0.35">
      <c r="B33" t="str">
        <f>CHAR(34)&amp;I33&amp;CHAR(34)&amp;": "&amp;C33</f>
        <v>"source": {"UKR": "Джерело: НБУ, Державна митна служба, розрахунки Ukraine Economic Outlook", "RU": "Источник: НБУ, Государственная таможенная служба, расчеты Ukraine Economic Outlook", "ENG": "Source: NBU, State Customs Service, Ukraine Economic Outlook calculations"}</v>
      </c>
      <c r="C33" t="str">
        <f>"{"&amp;_xlfn.TEXTJOIN(", ",TRUE,F33:F35)&amp;"}"</f>
        <v>{"UKR": "Джерело: НБУ, Державна митна служба, розрахунки Ukraine Economic Outlook", "RU": "Источник: НБУ, Государственная таможенная служба, расчеты Ukraine Economic Outlook", "ENG": "Source: NBU, State Customs Service, Ukraine Economic Outlook calculations"}</v>
      </c>
      <c r="F33" t="str">
        <f>CHAR(34)&amp;J33&amp;CHAR(34)&amp;": "&amp;CHAR(34)&amp;K33&amp;CHAR(34)</f>
        <v>"UKR": "Джерело: НБУ, Державна митна служба, розрахунки Ukraine Economic Outlook"</v>
      </c>
      <c r="H33" t="s">
        <v>684</v>
      </c>
      <c r="I33" t="s">
        <v>696</v>
      </c>
      <c r="J33" t="s">
        <v>334</v>
      </c>
      <c r="K33" t="str">
        <f>Чарти!H12</f>
        <v>Джерело: НБУ, Державна митна служба, розрахунки Ukraine Economic Outlook</v>
      </c>
    </row>
    <row r="34" spans="1:46" x14ac:dyDescent="0.35">
      <c r="F34" t="str">
        <f t="shared" ref="F34:F35" si="3">CHAR(34)&amp;J34&amp;CHAR(34)&amp;": "&amp;CHAR(34)&amp;K34&amp;CHAR(34)</f>
        <v>"RU": "Источник: НБУ, Государственная таможенная служба, расчеты Ukraine Economic Outlook"</v>
      </c>
      <c r="H34" t="s">
        <v>684</v>
      </c>
      <c r="I34" t="s">
        <v>696</v>
      </c>
      <c r="J34" t="s">
        <v>336</v>
      </c>
      <c r="K34" t="str">
        <f>Чарти!H10</f>
        <v>Источник: НБУ, Государственная таможенная служба, расчеты Ukraine Economic Outlook</v>
      </c>
    </row>
    <row r="35" spans="1:46" x14ac:dyDescent="0.35">
      <c r="F35" t="str">
        <f t="shared" si="3"/>
        <v>"ENG": "Source: NBU, State Customs Service, Ukraine Economic Outlook calculations"</v>
      </c>
      <c r="H35" t="s">
        <v>684</v>
      </c>
      <c r="I35" t="s">
        <v>696</v>
      </c>
      <c r="J35" t="s">
        <v>337</v>
      </c>
      <c r="K35" t="str">
        <f>Чарти!H11</f>
        <v>Source: NBU, State Customs Service, Ukraine Economic Outlook calculations</v>
      </c>
    </row>
    <row r="37" spans="1:46" x14ac:dyDescent="0.35">
      <c r="A37" s="1395"/>
      <c r="B37" s="1395"/>
      <c r="C37" s="1395"/>
      <c r="D37" s="1395"/>
      <c r="E37" s="1395"/>
      <c r="F37" s="1395"/>
      <c r="G37" s="1395"/>
    </row>
    <row r="38" spans="1:46" x14ac:dyDescent="0.35">
      <c r="A38" t="str">
        <f>"{"&amp;CHAR(34)&amp;H38&amp;CHAR(34)&amp;": "&amp;B38&amp;"}"</f>
        <v>{"Chart1": {"name": {"UKR": "Відтік інвестицій приватного сектору (фінансовий рахунок), $ млрд", "RU": "Отток инвестиций частного сектора (финансовый счет), $ млрд", "ENG": "Private sector investment outflow (financial account), $ billion"},"indexes":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12]},"labels": {"label_1": [-1886, -1104, -3349, -2864, -2677, -3762, -1532, -282, -2897, -2115, -454, -1284, -1052, -396, 55, -254, -129, -692, 370, -280, -361, -1402, -724, -1687.17360691116, -1042.66938442102, -946.656195243838, -1312.21881600363, -395.079032312624, -690.063977589016, -405.534277835076, -123.076133940455, 532.727296466898, 50.3231205868139, 156.04013729351, -111.747246161276, -195.826190176773], "label_2": [166, -719, -24, 32, 80, 174, 150, 55, 127, 55, 28, 89, 370, 387, 388, 536, 376, 392, 663, 445, 532, 174, 94, 337.108701302218, 390.408611559404, 450.38181749499, 379.69150639132, 411.304200365477, 437.492832999819, 417.224806661244, 473.660536179966, 500.704130944169, 514.971071932737, 259.925920954112, 324.963395759202, 365.436564510515], "label_3": [-110, -76, -35, -43, -50, -7, 42, -42, -108, -10, -139, -172, -186, -180, -224, -187, -132, -189, -303, -249, -237, -177, -281, -154.75, -195.771516393443, -240.457394125683, -235.184034892987, -189.96849681713, -170.21587155189, -193.400527514548, -214.226254534203, -186.83117465249, -257.322570354405, -183.704642474103, -290.263362680279, -163.035309570302], "label_4": [-1854, -288, -3259, -2786, -2564, -4014, -1873, -440, -2998, -2058, -70, -1201, -1370, -989, -171, -800, -561, -963, 58, -538, -843, -1600, -928, -1869.53230821337, -1237.30647958698, -1156.58061861315, -1456.72628750197, -616.414735860971, -957.340939036944, -629.358556981771, -382.510415586218, 218.854340175219, -207.325380991517, 79.818858813501, -146.447279240199, -398.227445116986]},"label_names": {"UKR": {"label_1": "Фінансовий рахунок", "label_2": "Прямі інвестиції", "label_3": "Портфельні інвестиції", "label_4": "Інші інвестиції"}, "RU": {"label_1": "Финансовый счет", "label_2": "Прямые инвестиции", "label_3": "Портфельные инвестиции", "label_4": "Прочие инвестиции"}, "ENG": {"label_1": "Financial account", "label_2": "Direct investments", "label_3": "Portfolio investments", "label_4": "Other investments"}},"source": {"UKR": "Джерело: НБУ, розрахунки Ukraine Economic Outlook", "RU": "Источник: НБУ, расчеты Ukraine Economic Outlook", "ENG": "Source: NBU, Ukraine Economic Outlook calculations"}}}</v>
      </c>
      <c r="B38" t="str">
        <f>"{"&amp;_xlfn.TEXTJOIN(",",TRUE,B39:B66)&amp;"}"</f>
        <v>{"name": {"UKR": "Відтік інвестицій приватного сектору (фінансовий рахунок), $ млрд", "RU": "Отток инвестиций частного сектора (финансовый счет), $ млрд", "ENG": "Private sector investment outflow (financial account), $ billion"},"indexes":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12]},"labels": {"label_1": [-1886, -1104, -3349, -2864, -2677, -3762, -1532, -282, -2897, -2115, -454, -1284, -1052, -396, 55, -254, -129, -692, 370, -280, -361, -1402, -724, -1687.17360691116, -1042.66938442102, -946.656195243838, -1312.21881600363, -395.079032312624, -690.063977589016, -405.534277835076, -123.076133940455, 532.727296466898, 50.3231205868139, 156.04013729351, -111.747246161276, -195.826190176773], "label_2": [166, -719, -24, 32, 80, 174, 150, 55, 127, 55, 28, 89, 370, 387, 388, 536, 376, 392, 663, 445, 532, 174, 94, 337.108701302218, 390.408611559404, 450.38181749499, 379.69150639132, 411.304200365477, 437.492832999819, 417.224806661244, 473.660536179966, 500.704130944169, 514.971071932737, 259.925920954112, 324.963395759202, 365.436564510515], "label_3": [-110, -76, -35, -43, -50, -7, 42, -42, -108, -10, -139, -172, -186, -180, -224, -187, -132, -189, -303, -249, -237, -177, -281, -154.75, -195.771516393443, -240.457394125683, -235.184034892987, -189.96849681713, -170.21587155189, -193.400527514548, -214.226254534203, -186.83117465249, -257.322570354405, -183.704642474103, -290.263362680279, -163.035309570302], "label_4": [-1854, -288, -3259, -2786, -2564, -4014, -1873, -440, -2998, -2058, -70, -1201, -1370, -989, -171, -800, -561, -963, 58, -538, -843, -1600, -928, -1869.53230821337, -1237.30647958698, -1156.58061861315, -1456.72628750197, -616.414735860971, -957.340939036944, -629.358556981771, -382.510415586218, 218.854340175219, -207.325380991517, 79.818858813501, -146.447279240199, -398.227445116986]},"label_names": {"UKR": {"label_1": "Фінансовий рахунок", "label_2": "Прямі інвестиції", "label_3": "Портфельні інвестиції", "label_4": "Інші інвестиції"}, "RU": {"label_1": "Финансовый счет", "label_2": "Прямые инвестиции", "label_3": "Портфельные инвестиции", "label_4": "Прочие инвестиции"}, "ENG": {"label_1": "Financial account", "label_2": "Direct investments", "label_3": "Portfolio investments", "label_4": "Other investments"}},"source": {"UKR": "Джерело: НБУ, розрахунки Ukraine Economic Outlook", "RU": "Источник: НБУ, расчеты Ukraine Economic Outlook", "ENG": "Source: NBU, Ukraine Economic Outlook calculations"}}</v>
      </c>
      <c r="H38" t="s">
        <v>684</v>
      </c>
    </row>
    <row r="39" spans="1:46" x14ac:dyDescent="0.35">
      <c r="B39" t="str">
        <f>CHAR(34)&amp;I39&amp;CHAR(34)&amp;": "&amp;C39</f>
        <v>"name": {"UKR": "Відтік інвестицій приватного сектору (фінансовий рахунок), $ млрд", "RU": "Отток инвестиций частного сектора (финансовый счет), $ млрд", "ENG": "Private sector investment outflow (financial account), $ billion"}</v>
      </c>
      <c r="C39" t="str">
        <f>"{"&amp;_xlfn.TEXTJOIN(", ",TRUE,F39:F41)&amp;"}"</f>
        <v>{"UKR": "Відтік інвестицій приватного сектору (фінансовий рахунок), $ млрд", "RU": "Отток инвестиций частного сектора (финансовый счет), $ млрд", "ENG": "Private sector investment outflow (financial account), $ billion"}</v>
      </c>
      <c r="F39" t="str">
        <f>CHAR(34)&amp;J39&amp;CHAR(34)&amp;": "&amp;CHAR(34)&amp;K39&amp;CHAR(34)</f>
        <v>"UKR": "Відтік інвестицій приватного сектору (фінансовий рахунок), $ млрд"</v>
      </c>
      <c r="H39" t="s">
        <v>684</v>
      </c>
      <c r="I39" t="s">
        <v>685</v>
      </c>
      <c r="J39" t="s">
        <v>334</v>
      </c>
      <c r="K39" t="s">
        <v>704</v>
      </c>
    </row>
    <row r="40" spans="1:46" x14ac:dyDescent="0.35">
      <c r="F40" t="str">
        <f t="shared" ref="F40:F41" si="4">CHAR(34)&amp;J40&amp;CHAR(34)&amp;": "&amp;CHAR(34)&amp;K40&amp;CHAR(34)</f>
        <v>"RU": "Отток инвестиций частного сектора (финансовый счет), $ млрд"</v>
      </c>
      <c r="H40" t="s">
        <v>684</v>
      </c>
      <c r="I40" t="s">
        <v>685</v>
      </c>
      <c r="J40" t="s">
        <v>336</v>
      </c>
      <c r="K40" t="s">
        <v>702</v>
      </c>
    </row>
    <row r="41" spans="1:46" x14ac:dyDescent="0.35">
      <c r="F41" t="str">
        <f t="shared" si="4"/>
        <v>"ENG": "Private sector investment outflow (financial account), $ billion"</v>
      </c>
      <c r="H41" t="s">
        <v>684</v>
      </c>
      <c r="I41" t="s">
        <v>685</v>
      </c>
      <c r="J41" t="s">
        <v>337</v>
      </c>
      <c r="K41" t="s">
        <v>703</v>
      </c>
    </row>
    <row r="43" spans="1:46" x14ac:dyDescent="0.35">
      <c r="B43" t="str">
        <f>CHAR(34)&amp;I43&amp;CHAR(34)&amp;": "&amp;C43</f>
        <v>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</v>
      </c>
      <c r="C43" t="str">
        <f>"{"&amp;_xlfn.TEXTJOIN(", ",TRUE,E43:E44)&amp;"}"</f>
        <v>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</v>
      </c>
      <c r="E43" t="str">
        <f>CHAR(34)&amp;J43&amp;CHAR(34)&amp;": "&amp;F43</f>
        <v>"index_0": [2022, 2022, 2022, 2022, 2022, 2022, 2022, 2022, 2022, 2022, 2022, 2022, 2023, 2023, 2023, 2023, 2023, 2023, 2023, 2023, 2023, 2023, 2023, 2023, 2024, 2024, 2024, 2024, 2024, 2024, 2024, 2024, 2024, 2024, 2024, 2024]</v>
      </c>
      <c r="F43" s="1" t="str" cm="1">
        <f t="array" ref="F43">"["&amp;_xlfn.TEXTJOIN(", ",FALSE,SUBSTITUTE(K43:AT43,",","."))&amp;"]"</f>
        <v>[2022, 2022, 2022, 2022, 2022, 2022, 2022, 2022, 2022, 2022, 2022, 2022, 2023, 2023, 2023, 2023, 2023, 2023, 2023, 2023, 2023, 2023, 2023, 2023, 2024, 2024, 2024, 2024, 2024, 2024, 2024, 2024, 2024, 2024, 2024, 2024]</v>
      </c>
      <c r="H43" t="s">
        <v>684</v>
      </c>
      <c r="I43" t="s">
        <v>686</v>
      </c>
      <c r="J43" t="s">
        <v>687</v>
      </c>
      <c r="K43">
        <f>K8</f>
        <v>2022</v>
      </c>
      <c r="L43">
        <f t="shared" ref="L43:AC43" si="5">L8</f>
        <v>2022</v>
      </c>
      <c r="M43">
        <f t="shared" si="5"/>
        <v>2022</v>
      </c>
      <c r="N43">
        <f t="shared" si="5"/>
        <v>2022</v>
      </c>
      <c r="O43">
        <f t="shared" si="5"/>
        <v>2022</v>
      </c>
      <c r="P43">
        <f t="shared" si="5"/>
        <v>2022</v>
      </c>
      <c r="Q43">
        <f t="shared" si="5"/>
        <v>2022</v>
      </c>
      <c r="R43">
        <f t="shared" si="5"/>
        <v>2022</v>
      </c>
      <c r="S43">
        <f t="shared" si="5"/>
        <v>2022</v>
      </c>
      <c r="T43">
        <f t="shared" si="5"/>
        <v>2022</v>
      </c>
      <c r="U43">
        <f t="shared" si="5"/>
        <v>2022</v>
      </c>
      <c r="V43">
        <f t="shared" si="5"/>
        <v>2022</v>
      </c>
      <c r="W43">
        <f t="shared" si="5"/>
        <v>2023</v>
      </c>
      <c r="X43">
        <f t="shared" si="5"/>
        <v>2023</v>
      </c>
      <c r="Y43">
        <f t="shared" si="5"/>
        <v>2023</v>
      </c>
      <c r="Z43">
        <f t="shared" si="5"/>
        <v>2023</v>
      </c>
      <c r="AA43">
        <f t="shared" si="5"/>
        <v>2023</v>
      </c>
      <c r="AB43">
        <f t="shared" si="5"/>
        <v>2023</v>
      </c>
      <c r="AC43">
        <f t="shared" si="5"/>
        <v>2023</v>
      </c>
      <c r="AD43">
        <f>AD8</f>
        <v>2023</v>
      </c>
      <c r="AE43">
        <f t="shared" ref="AE43:AS43" si="6">AE8</f>
        <v>2023</v>
      </c>
      <c r="AF43">
        <f t="shared" si="6"/>
        <v>2023</v>
      </c>
      <c r="AG43">
        <f t="shared" si="6"/>
        <v>2023</v>
      </c>
      <c r="AH43">
        <f t="shared" si="6"/>
        <v>2023</v>
      </c>
      <c r="AI43">
        <f t="shared" si="6"/>
        <v>2024</v>
      </c>
      <c r="AJ43">
        <f t="shared" si="6"/>
        <v>2024</v>
      </c>
      <c r="AK43">
        <f t="shared" si="6"/>
        <v>2024</v>
      </c>
      <c r="AL43">
        <f t="shared" si="6"/>
        <v>2024</v>
      </c>
      <c r="AM43">
        <f t="shared" si="6"/>
        <v>2024</v>
      </c>
      <c r="AN43">
        <f t="shared" si="6"/>
        <v>2024</v>
      </c>
      <c r="AO43">
        <f t="shared" si="6"/>
        <v>2024</v>
      </c>
      <c r="AP43">
        <f t="shared" si="6"/>
        <v>2024</v>
      </c>
      <c r="AQ43">
        <f t="shared" si="6"/>
        <v>2024</v>
      </c>
      <c r="AR43">
        <f t="shared" si="6"/>
        <v>2024</v>
      </c>
      <c r="AS43">
        <f t="shared" si="6"/>
        <v>2024</v>
      </c>
      <c r="AT43">
        <f>AT8</f>
        <v>2024</v>
      </c>
    </row>
    <row r="44" spans="1:46" x14ac:dyDescent="0.35">
      <c r="E44" t="str">
        <f>CHAR(34)&amp;J44&amp;CHAR(34)&amp;": "&amp;F44</f>
        <v>"index_1": [1, 2, 3, 4, 5, 6, 7, 8, 9, 10, 11, 12, 1, 2, 3, 4, 5, 6, 7, 8, 9, 10, 11, 12, 1, 2, 3, 4, 5, 6, 7, 8, 9, 10, 11, 12]</v>
      </c>
      <c r="F44" s="1" t="str" cm="1">
        <f t="array" ref="F44">"["&amp;_xlfn.TEXTJOIN(", ",FALSE,SUBSTITUTE(K44:AT44,",","."))&amp;"]"</f>
        <v>[1, 2, 3, 4, 5, 6, 7, 8, 9, 10, 11, 12, 1, 2, 3, 4, 5, 6, 7, 8, 9, 10, 11, 12, 1, 2, 3, 4, 5, 6, 7, 8, 9, 10, 11, 12]</v>
      </c>
      <c r="H44" t="s">
        <v>684</v>
      </c>
      <c r="I44" t="s">
        <v>686</v>
      </c>
      <c r="J44" t="s">
        <v>688</v>
      </c>
      <c r="K44">
        <f>K9</f>
        <v>1</v>
      </c>
      <c r="L44">
        <f t="shared" ref="L44:AC44" si="7">L9</f>
        <v>2</v>
      </c>
      <c r="M44">
        <f t="shared" si="7"/>
        <v>3</v>
      </c>
      <c r="N44">
        <f t="shared" si="7"/>
        <v>4</v>
      </c>
      <c r="O44">
        <f t="shared" si="7"/>
        <v>5</v>
      </c>
      <c r="P44">
        <f t="shared" si="7"/>
        <v>6</v>
      </c>
      <c r="Q44">
        <f t="shared" si="7"/>
        <v>7</v>
      </c>
      <c r="R44">
        <f t="shared" si="7"/>
        <v>8</v>
      </c>
      <c r="S44">
        <f t="shared" si="7"/>
        <v>9</v>
      </c>
      <c r="T44">
        <f t="shared" si="7"/>
        <v>10</v>
      </c>
      <c r="U44">
        <f t="shared" si="7"/>
        <v>11</v>
      </c>
      <c r="V44">
        <f t="shared" si="7"/>
        <v>12</v>
      </c>
      <c r="W44">
        <f t="shared" si="7"/>
        <v>1</v>
      </c>
      <c r="X44">
        <f t="shared" si="7"/>
        <v>2</v>
      </c>
      <c r="Y44">
        <f t="shared" si="7"/>
        <v>3</v>
      </c>
      <c r="Z44">
        <f t="shared" si="7"/>
        <v>4</v>
      </c>
      <c r="AA44">
        <f t="shared" si="7"/>
        <v>5</v>
      </c>
      <c r="AB44">
        <f t="shared" si="7"/>
        <v>6</v>
      </c>
      <c r="AC44">
        <f t="shared" si="7"/>
        <v>7</v>
      </c>
      <c r="AD44">
        <f>AD9</f>
        <v>8</v>
      </c>
      <c r="AE44">
        <f t="shared" ref="AE44:AS44" si="8">AE9</f>
        <v>9</v>
      </c>
      <c r="AF44">
        <f t="shared" si="8"/>
        <v>10</v>
      </c>
      <c r="AG44">
        <f t="shared" si="8"/>
        <v>11</v>
      </c>
      <c r="AH44">
        <f t="shared" si="8"/>
        <v>12</v>
      </c>
      <c r="AI44">
        <f t="shared" si="8"/>
        <v>1</v>
      </c>
      <c r="AJ44">
        <f t="shared" si="8"/>
        <v>2</v>
      </c>
      <c r="AK44">
        <f t="shared" si="8"/>
        <v>3</v>
      </c>
      <c r="AL44">
        <f t="shared" si="8"/>
        <v>4</v>
      </c>
      <c r="AM44">
        <f t="shared" si="8"/>
        <v>5</v>
      </c>
      <c r="AN44">
        <f t="shared" si="8"/>
        <v>6</v>
      </c>
      <c r="AO44">
        <f t="shared" si="8"/>
        <v>7</v>
      </c>
      <c r="AP44">
        <f t="shared" si="8"/>
        <v>8</v>
      </c>
      <c r="AQ44">
        <f t="shared" si="8"/>
        <v>9</v>
      </c>
      <c r="AR44">
        <f t="shared" si="8"/>
        <v>10</v>
      </c>
      <c r="AS44">
        <f t="shared" si="8"/>
        <v>11</v>
      </c>
      <c r="AT44">
        <f>AT9</f>
        <v>12</v>
      </c>
    </row>
    <row r="45" spans="1:46" x14ac:dyDescent="0.35">
      <c r="F45" s="1"/>
    </row>
    <row r="46" spans="1:46" x14ac:dyDescent="0.35">
      <c r="B46" t="str">
        <f>CHAR(34)&amp;I46&amp;CHAR(34)&amp;": "&amp;C46</f>
        <v>"labels": {"label_1": [-1886, -1104, -3349, -2864, -2677, -3762, -1532, -282, -2897, -2115, -454, -1284, -1052, -396, 55, -254, -129, -692, 370, -280, -361, -1402, -724, -1687.17360691116, -1042.66938442102, -946.656195243838, -1312.21881600363, -395.079032312624, -690.063977589016, -405.534277835076, -123.076133940455, 532.727296466898, 50.3231205868139, 156.04013729351, -111.747246161276, -195.826190176773], "label_2": [166, -719, -24, 32, 80, 174, 150, 55, 127, 55, 28, 89, 370, 387, 388, 536, 376, 392, 663, 445, 532, 174, 94, 337.108701302218, 390.408611559404, 450.38181749499, 379.69150639132, 411.304200365477, 437.492832999819, 417.224806661244, 473.660536179966, 500.704130944169, 514.971071932737, 259.925920954112, 324.963395759202, 365.436564510515], "label_3": [-110, -76, -35, -43, -50, -7, 42, -42, -108, -10, -139, -172, -186, -180, -224, -187, -132, -189, -303, -249, -237, -177, -281, -154.75, -195.771516393443, -240.457394125683, -235.184034892987, -189.96849681713, -170.21587155189, -193.400527514548, -214.226254534203, -186.83117465249, -257.322570354405, -183.704642474103, -290.263362680279, -163.035309570302], "label_4": [-1854, -288, -3259, -2786, -2564, -4014, -1873, -440, -2998, -2058, -70, -1201, -1370, -989, -171, -800, -561, -963, 58, -538, -843, -1600, -928, -1869.53230821337, -1237.30647958698, -1156.58061861315, -1456.72628750197, -616.414735860971, -957.340939036944, -629.358556981771, -382.510415586218, 218.854340175219, -207.325380991517, 79.818858813501, -146.447279240199, -398.227445116986]}</v>
      </c>
      <c r="C46" t="str">
        <f>"{"&amp;_xlfn.TEXTJOIN(", ",TRUE,E46:E49)&amp;"}"</f>
        <v>{"label_1": [-1886, -1104, -3349, -2864, -2677, -3762, -1532, -282, -2897, -2115, -454, -1284, -1052, -396, 55, -254, -129, -692, 370, -280, -361, -1402, -724, -1687.17360691116, -1042.66938442102, -946.656195243838, -1312.21881600363, -395.079032312624, -690.063977589016, -405.534277835076, -123.076133940455, 532.727296466898, 50.3231205868139, 156.04013729351, -111.747246161276, -195.826190176773], "label_2": [166, -719, -24, 32, 80, 174, 150, 55, 127, 55, 28, 89, 370, 387, 388, 536, 376, 392, 663, 445, 532, 174, 94, 337.108701302218, 390.408611559404, 450.38181749499, 379.69150639132, 411.304200365477, 437.492832999819, 417.224806661244, 473.660536179966, 500.704130944169, 514.971071932737, 259.925920954112, 324.963395759202, 365.436564510515], "label_3": [-110, -76, -35, -43, -50, -7, 42, -42, -108, -10, -139, -172, -186, -180, -224, -187, -132, -189, -303, -249, -237, -177, -281, -154.75, -195.771516393443, -240.457394125683, -235.184034892987, -189.96849681713, -170.21587155189, -193.400527514548, -214.226254534203, -186.83117465249, -257.322570354405, -183.704642474103, -290.263362680279, -163.035309570302], "label_4": [-1854, -288, -3259, -2786, -2564, -4014, -1873, -440, -2998, -2058, -70, -1201, -1370, -989, -171, -800, -561, -963, 58, -538, -843, -1600, -928, -1869.53230821337, -1237.30647958698, -1156.58061861315, -1456.72628750197, -616.414735860971, -957.340939036944, -629.358556981771, -382.510415586218, 218.854340175219, -207.325380991517, 79.818858813501, -146.447279240199, -398.227445116986]}</v>
      </c>
      <c r="E46" t="str">
        <f>CHAR(34)&amp;J46&amp;CHAR(34)&amp;": "&amp;F46</f>
        <v>"label_1": [-1886, -1104, -3349, -2864, -2677, -3762, -1532, -282, -2897, -2115, -454, -1284, -1052, -396, 55, -254, -129, -692, 370, -280, -361, -1402, -724, -1687.17360691116, -1042.66938442102, -946.656195243838, -1312.21881600363, -395.079032312624, -690.063977589016, -405.534277835076, -123.076133940455, 532.727296466898, 50.3231205868139, 156.04013729351, -111.747246161276, -195.826190176773]</v>
      </c>
      <c r="F46" s="1" t="str" cm="1">
        <f t="array" ref="F46">"["&amp;_xlfn.TEXTJOIN(", ",FALSE,SUBSTITUTE(K46:AT46,",","."))&amp;"]"</f>
        <v>[-1886, -1104, -3349, -2864, -2677, -3762, -1532, -282, -2897, -2115, -454, -1284, -1052, -396, 55, -254, -129, -692, 370, -280, -361, -1402, -724, -1687.17360691116, -1042.66938442102, -946.656195243838, -1312.21881600363, -395.079032312624, -690.063977589016, -405.534277835076, -123.076133940455, 532.727296466898, 50.3231205868139, 156.04013729351, -111.747246161276, -195.826190176773]</v>
      </c>
      <c r="H46" t="s">
        <v>684</v>
      </c>
      <c r="I46" t="s">
        <v>689</v>
      </c>
      <c r="J46" t="s">
        <v>690</v>
      </c>
      <c r="K46" s="1" cm="1">
        <f t="array" ref="K46:AT46">-'ПБ V-1 (fin min)'!AL23:BU23</f>
        <v>-1886</v>
      </c>
      <c r="L46">
        <v>-1104</v>
      </c>
      <c r="M46">
        <v>-3349</v>
      </c>
      <c r="N46">
        <v>-2864</v>
      </c>
      <c r="O46">
        <v>-2677</v>
      </c>
      <c r="P46">
        <v>-3762</v>
      </c>
      <c r="Q46">
        <v>-1532</v>
      </c>
      <c r="R46">
        <v>-282</v>
      </c>
      <c r="S46">
        <v>-2897</v>
      </c>
      <c r="T46">
        <v>-2115</v>
      </c>
      <c r="U46">
        <v>-454</v>
      </c>
      <c r="V46">
        <v>-1284</v>
      </c>
      <c r="W46">
        <v>-1052</v>
      </c>
      <c r="X46">
        <v>-396</v>
      </c>
      <c r="Y46">
        <v>55</v>
      </c>
      <c r="Z46">
        <v>-254</v>
      </c>
      <c r="AA46">
        <v>-129</v>
      </c>
      <c r="AB46">
        <v>-692</v>
      </c>
      <c r="AC46">
        <v>370</v>
      </c>
      <c r="AD46">
        <v>-280</v>
      </c>
      <c r="AE46">
        <v>-361</v>
      </c>
      <c r="AF46">
        <v>-1402</v>
      </c>
      <c r="AG46">
        <v>-724</v>
      </c>
      <c r="AH46">
        <v>-1687.1736069111566</v>
      </c>
      <c r="AI46">
        <v>-1042.6693844210224</v>
      </c>
      <c r="AJ46">
        <v>-946.65619524383817</v>
      </c>
      <c r="AK46">
        <v>-1312.2188160036326</v>
      </c>
      <c r="AL46">
        <v>-395.07903231262355</v>
      </c>
      <c r="AM46">
        <v>-690.06397758901574</v>
      </c>
      <c r="AN46">
        <v>-405.53427783507573</v>
      </c>
      <c r="AO46">
        <v>-123.07613394045495</v>
      </c>
      <c r="AP46">
        <v>532.72729646689811</v>
      </c>
      <c r="AQ46">
        <v>50.3231205868139</v>
      </c>
      <c r="AR46">
        <v>156.04013729351013</v>
      </c>
      <c r="AS46">
        <v>-111.747246161276</v>
      </c>
      <c r="AT46">
        <v>-195.8261901767728</v>
      </c>
    </row>
    <row r="47" spans="1:46" x14ac:dyDescent="0.35">
      <c r="E47" t="str">
        <f t="shared" ref="E47:E49" si="9">CHAR(34)&amp;J47&amp;CHAR(34)&amp;": "&amp;F47</f>
        <v>"label_2": [166, -719, -24, 32, 80, 174, 150, 55, 127, 55, 28, 89, 370, 387, 388, 536, 376, 392, 663, 445, 532, 174, 94, 337.108701302218, 390.408611559404, 450.38181749499, 379.69150639132, 411.304200365477, 437.492832999819, 417.224806661244, 473.660536179966, 500.704130944169, 514.971071932737, 259.925920954112, 324.963395759202, 365.436564510515]</v>
      </c>
      <c r="F47" s="1" t="str" cm="1">
        <f t="array" ref="F47">"["&amp;_xlfn.TEXTJOIN(", ",FALSE,SUBSTITUTE(K47:AT47,",","."))&amp;"]"</f>
        <v>[166, -719, -24, 32, 80, 174, 150, 55, 127, 55, 28, 89, 370, 387, 388, 536, 376, 392, 663, 445, 532, 174, 94, 337.108701302218, 390.408611559404, 450.38181749499, 379.69150639132, 411.304200365477, 437.492832999819, 417.224806661244, 473.660536179966, 500.704130944169, 514.971071932737, 259.925920954112, 324.963395759202, 365.436564510515]</v>
      </c>
      <c r="H47" t="s">
        <v>684</v>
      </c>
      <c r="I47" t="s">
        <v>689</v>
      </c>
      <c r="J47" t="s">
        <v>691</v>
      </c>
      <c r="K47" s="1" cm="1">
        <f t="array" ref="K47:AT47">-'ПБ V-1 (fin min)'!AL24:BU24</f>
        <v>166</v>
      </c>
      <c r="L47">
        <v>-719</v>
      </c>
      <c r="M47">
        <v>-24</v>
      </c>
      <c r="N47">
        <v>32</v>
      </c>
      <c r="O47">
        <v>80</v>
      </c>
      <c r="P47">
        <v>174</v>
      </c>
      <c r="Q47">
        <v>150</v>
      </c>
      <c r="R47">
        <v>55</v>
      </c>
      <c r="S47">
        <v>127</v>
      </c>
      <c r="T47">
        <v>55</v>
      </c>
      <c r="U47">
        <v>28</v>
      </c>
      <c r="V47">
        <v>89</v>
      </c>
      <c r="W47">
        <v>370</v>
      </c>
      <c r="X47">
        <v>387</v>
      </c>
      <c r="Y47">
        <v>388</v>
      </c>
      <c r="Z47">
        <v>536</v>
      </c>
      <c r="AA47">
        <v>376</v>
      </c>
      <c r="AB47">
        <v>392</v>
      </c>
      <c r="AC47">
        <v>663</v>
      </c>
      <c r="AD47">
        <v>445</v>
      </c>
      <c r="AE47">
        <v>532</v>
      </c>
      <c r="AF47">
        <v>174</v>
      </c>
      <c r="AG47">
        <v>94</v>
      </c>
      <c r="AH47">
        <v>337.10870130221758</v>
      </c>
      <c r="AI47">
        <v>390.40861155940388</v>
      </c>
      <c r="AJ47">
        <v>450.38181749499046</v>
      </c>
      <c r="AK47">
        <v>379.69150639132033</v>
      </c>
      <c r="AL47">
        <v>411.30420036547724</v>
      </c>
      <c r="AM47">
        <v>437.49283299981892</v>
      </c>
      <c r="AN47">
        <v>417.22480666124363</v>
      </c>
      <c r="AO47">
        <v>473.66053617996613</v>
      </c>
      <c r="AP47">
        <v>500.70413094416892</v>
      </c>
      <c r="AQ47">
        <v>514.97107193273666</v>
      </c>
      <c r="AR47">
        <v>259.92592095411231</v>
      </c>
      <c r="AS47">
        <v>324.963395759202</v>
      </c>
      <c r="AT47">
        <v>365.43656451051481</v>
      </c>
    </row>
    <row r="48" spans="1:46" x14ac:dyDescent="0.35">
      <c r="E48" t="str">
        <f t="shared" si="9"/>
        <v>"label_3": [-110, -76, -35, -43, -50, -7, 42, -42, -108, -10, -139, -172, -186, -180, -224, -187, -132, -189, -303, -249, -237, -177, -281, -154.75, -195.771516393443, -240.457394125683, -235.184034892987, -189.96849681713, -170.21587155189, -193.400527514548, -214.226254534203, -186.83117465249, -257.322570354405, -183.704642474103, -290.263362680279, -163.035309570302]</v>
      </c>
      <c r="F48" s="1" t="str" cm="1">
        <f t="array" ref="F48">"["&amp;_xlfn.TEXTJOIN(", ",FALSE,SUBSTITUTE(K48:AT48,",","."))&amp;"]"</f>
        <v>[-110, -76, -35, -43, -50, -7, 42, -42, -108, -10, -139, -172, -186, -180, -224, -187, -132, -189, -303, -249, -237, -177, -281, -154.75, -195.771516393443, -240.457394125683, -235.184034892987, -189.96849681713, -170.21587155189, -193.400527514548, -214.226254534203, -186.83117465249, -257.322570354405, -183.704642474103, -290.263362680279, -163.035309570302]</v>
      </c>
      <c r="H48" t="s">
        <v>684</v>
      </c>
      <c r="I48" t="s">
        <v>689</v>
      </c>
      <c r="J48" t="s">
        <v>692</v>
      </c>
      <c r="K48" s="1" cm="1">
        <f t="array" ref="K48:AT48">-'ПБ V-1 (fin min)'!AL25:BU25</f>
        <v>-110</v>
      </c>
      <c r="L48">
        <v>-76</v>
      </c>
      <c r="M48">
        <v>-35</v>
      </c>
      <c r="N48">
        <v>-43</v>
      </c>
      <c r="O48">
        <v>-50</v>
      </c>
      <c r="P48">
        <v>-7</v>
      </c>
      <c r="Q48">
        <v>42</v>
      </c>
      <c r="R48">
        <v>-42</v>
      </c>
      <c r="S48">
        <v>-108</v>
      </c>
      <c r="T48">
        <v>-10</v>
      </c>
      <c r="U48">
        <v>-139</v>
      </c>
      <c r="V48">
        <v>-172</v>
      </c>
      <c r="W48">
        <v>-186</v>
      </c>
      <c r="X48">
        <v>-180</v>
      </c>
      <c r="Y48">
        <v>-224</v>
      </c>
      <c r="Z48">
        <v>-187</v>
      </c>
      <c r="AA48">
        <v>-132</v>
      </c>
      <c r="AB48">
        <v>-189</v>
      </c>
      <c r="AC48">
        <v>-303</v>
      </c>
      <c r="AD48">
        <v>-249</v>
      </c>
      <c r="AE48">
        <v>-237</v>
      </c>
      <c r="AF48">
        <v>-177</v>
      </c>
      <c r="AG48">
        <v>-281</v>
      </c>
      <c r="AH48">
        <v>-154.75</v>
      </c>
      <c r="AI48">
        <v>-195.77151639344262</v>
      </c>
      <c r="AJ48">
        <v>-240.45739412568304</v>
      </c>
      <c r="AK48">
        <v>-235.18403489298726</v>
      </c>
      <c r="AL48">
        <v>-189.96849681712959</v>
      </c>
      <c r="AM48">
        <v>-170.21587155189044</v>
      </c>
      <c r="AN48">
        <v>-193.40052751454797</v>
      </c>
      <c r="AO48">
        <v>-214.22625453420289</v>
      </c>
      <c r="AP48">
        <v>-186.83117465249029</v>
      </c>
      <c r="AQ48">
        <v>-257.32257035440546</v>
      </c>
      <c r="AR48">
        <v>-183.70464247410322</v>
      </c>
      <c r="AS48">
        <v>-290.26336268027853</v>
      </c>
      <c r="AT48">
        <v>-163.03530957030171</v>
      </c>
    </row>
    <row r="49" spans="2:46" x14ac:dyDescent="0.35">
      <c r="E49" t="str">
        <f t="shared" si="9"/>
        <v>"label_4": [-1854, -288, -3259, -2786, -2564, -4014, -1873, -440, -2998, -2058, -70, -1201, -1370, -989, -171, -800, -561, -963, 58, -538, -843, -1600, -928, -1869.53230821337, -1237.30647958698, -1156.58061861315, -1456.72628750197, -616.414735860971, -957.340939036944, -629.358556981771, -382.510415586218, 218.854340175219, -207.325380991517, 79.818858813501, -146.447279240199, -398.227445116986]</v>
      </c>
      <c r="F49" s="1" t="str" cm="1">
        <f t="array" ref="F49">"["&amp;_xlfn.TEXTJOIN(", ",FALSE,SUBSTITUTE(K49:AT49,",","."))&amp;"]"</f>
        <v>[-1854, -288, -3259, -2786, -2564, -4014, -1873, -440, -2998, -2058, -70, -1201, -1370, -989, -171, -800, -561, -963, 58, -538, -843, -1600, -928, -1869.53230821337, -1237.30647958698, -1156.58061861315, -1456.72628750197, -616.414735860971, -957.340939036944, -629.358556981771, -382.510415586218, 218.854340175219, -207.325380991517, 79.818858813501, -146.447279240199, -398.227445116986]</v>
      </c>
      <c r="H49" t="s">
        <v>684</v>
      </c>
      <c r="I49" t="s">
        <v>689</v>
      </c>
      <c r="J49" t="s">
        <v>693</v>
      </c>
      <c r="K49" s="1" cm="1">
        <f t="array" ref="K49:AT49">-'ПБ V-1 (fin min)'!AL32:BU32</f>
        <v>-1854</v>
      </c>
      <c r="L49">
        <v>-288</v>
      </c>
      <c r="M49">
        <v>-3259</v>
      </c>
      <c r="N49">
        <v>-2786</v>
      </c>
      <c r="O49">
        <v>-2564</v>
      </c>
      <c r="P49">
        <v>-4014</v>
      </c>
      <c r="Q49">
        <v>-1873</v>
      </c>
      <c r="R49">
        <v>-440</v>
      </c>
      <c r="S49">
        <v>-2998</v>
      </c>
      <c r="T49">
        <v>-2058</v>
      </c>
      <c r="U49">
        <v>-70</v>
      </c>
      <c r="V49">
        <v>-1201</v>
      </c>
      <c r="W49">
        <v>-1370</v>
      </c>
      <c r="X49">
        <v>-989</v>
      </c>
      <c r="Y49">
        <v>-171</v>
      </c>
      <c r="Z49">
        <v>-800</v>
      </c>
      <c r="AA49">
        <v>-561</v>
      </c>
      <c r="AB49">
        <v>-963</v>
      </c>
      <c r="AC49">
        <v>58</v>
      </c>
      <c r="AD49">
        <v>-538</v>
      </c>
      <c r="AE49">
        <v>-843</v>
      </c>
      <c r="AF49">
        <v>-1600</v>
      </c>
      <c r="AG49">
        <v>-928</v>
      </c>
      <c r="AH49">
        <v>-1869.5323082133743</v>
      </c>
      <c r="AI49">
        <v>-1237.3064795869836</v>
      </c>
      <c r="AJ49">
        <v>-1156.5806186131456</v>
      </c>
      <c r="AK49">
        <v>-1456.7262875019658</v>
      </c>
      <c r="AL49">
        <v>-616.41473586097118</v>
      </c>
      <c r="AM49">
        <v>-957.34093903694418</v>
      </c>
      <c r="AN49">
        <v>-629.35855698177136</v>
      </c>
      <c r="AO49">
        <v>-382.51041558621819</v>
      </c>
      <c r="AP49">
        <v>218.85434017521948</v>
      </c>
      <c r="AQ49">
        <v>-207.32538099151731</v>
      </c>
      <c r="AR49">
        <v>79.818858813501038</v>
      </c>
      <c r="AS49">
        <v>-146.44727924019946</v>
      </c>
      <c r="AT49">
        <v>-398.2274451169859</v>
      </c>
    </row>
    <row r="51" spans="2:46" x14ac:dyDescent="0.35">
      <c r="B51" t="str">
        <f>CHAR(34)&amp;I51&amp;CHAR(34)&amp;": "&amp;C51</f>
        <v>"label_names": {"UKR": {"label_1": "Фінансовий рахунок", "label_2": "Прямі інвестиції", "label_3": "Портфельні інвестиції", "label_4": "Інші інвестиції"}, "RU": {"label_1": "Финансовый счет", "label_2": "Прямые инвестиции", "label_3": "Портфельные инвестиции", "label_4": "Прочие инвестиции"}, "ENG": {"label_1": "Financial account", "label_2": "Direct investments", "label_3": "Portfolio investments", "label_4": "Other investments"}}</v>
      </c>
      <c r="C51" t="str">
        <f>"{"&amp;_xlfn.TEXTJOIN(", ",TRUE,D51:D62)&amp;"}"</f>
        <v>{"UKR": {"label_1": "Фінансовий рахунок", "label_2": "Прямі інвестиції", "label_3": "Портфельні інвестиції", "label_4": "Інші інвестиції"}, "RU": {"label_1": "Финансовый счет", "label_2": "Прямые инвестиции", "label_3": "Портфельные инвестиции", "label_4": "Прочие инвестиции"}, "ENG": {"label_1": "Financial account", "label_2": "Direct investments", "label_3": "Portfolio investments", "label_4": "Other investments"}}</v>
      </c>
      <c r="D51" t="str">
        <f>CHAR(34)&amp;J51&amp;CHAR(34)&amp;": "&amp;E51</f>
        <v>"UKR": {"label_1": "Фінансовий рахунок", "label_2": "Прямі інвестиції", "label_3": "Портфельні інвестиції", "label_4": "Інші інвестиції"}</v>
      </c>
      <c r="E51" t="str">
        <f>"{"&amp;_xlfn.TEXTJOIN(", ",TRUE,F51:F54)&amp;"}"</f>
        <v>{"label_1": "Фінансовий рахунок", "label_2": "Прямі інвестиції", "label_3": "Портфельні інвестиції", "label_4": "Інші інвестиції"}</v>
      </c>
      <c r="F51" t="str">
        <f>CHAR(34)&amp;K51&amp;CHAR(34)&amp;": "&amp;CHAR(34)&amp;L51&amp;CHAR(34)</f>
        <v>"label_1": "Фінансовий рахунок"</v>
      </c>
      <c r="H51" t="s">
        <v>684</v>
      </c>
      <c r="I51" t="s">
        <v>695</v>
      </c>
      <c r="J51" t="s">
        <v>334</v>
      </c>
      <c r="K51" t="s">
        <v>690</v>
      </c>
      <c r="L51" t="str" cm="1">
        <f t="array" ref="L51:L54">TRIM(фінрах!AH29:AH32)</f>
        <v>Фінансовий рахунок</v>
      </c>
    </row>
    <row r="52" spans="2:46" x14ac:dyDescent="0.35">
      <c r="F52" t="str">
        <f t="shared" ref="F52:F62" si="10">CHAR(34)&amp;K52&amp;CHAR(34)&amp;": "&amp;CHAR(34)&amp;L52&amp;CHAR(34)</f>
        <v>"label_2": "Прямі інвестиції"</v>
      </c>
      <c r="H52" t="s">
        <v>684</v>
      </c>
      <c r="I52" t="s">
        <v>695</v>
      </c>
      <c r="J52" t="s">
        <v>334</v>
      </c>
      <c r="K52" t="s">
        <v>691</v>
      </c>
      <c r="L52" t="str">
        <v>Прямі інвестиції</v>
      </c>
    </row>
    <row r="53" spans="2:46" x14ac:dyDescent="0.35">
      <c r="F53" t="str">
        <f t="shared" si="10"/>
        <v>"label_3": "Портфельні інвестиції"</v>
      </c>
      <c r="H53" t="s">
        <v>684</v>
      </c>
      <c r="I53" t="s">
        <v>695</v>
      </c>
      <c r="J53" t="s">
        <v>334</v>
      </c>
      <c r="K53" t="s">
        <v>692</v>
      </c>
      <c r="L53" t="str">
        <v>Портфельні інвестиції</v>
      </c>
    </row>
    <row r="54" spans="2:46" x14ac:dyDescent="0.35">
      <c r="F54" t="str">
        <f t="shared" si="10"/>
        <v>"label_4": "Інші інвестиції"</v>
      </c>
      <c r="H54" t="s">
        <v>684</v>
      </c>
      <c r="I54" t="s">
        <v>695</v>
      </c>
      <c r="J54" t="s">
        <v>334</v>
      </c>
      <c r="K54" t="s">
        <v>693</v>
      </c>
      <c r="L54" t="str">
        <v>Інші інвестиції</v>
      </c>
    </row>
    <row r="55" spans="2:46" x14ac:dyDescent="0.35">
      <c r="D55" t="str">
        <f>CHAR(34)&amp;J55&amp;CHAR(34)&amp;": "&amp;E55</f>
        <v>"RU": {"label_1": "Финансовый счет", "label_2": "Прямые инвестиции", "label_3": "Портфельные инвестиции", "label_4": "Прочие инвестиции"}</v>
      </c>
      <c r="E55" t="str">
        <f>"{"&amp;_xlfn.TEXTJOIN(", ",TRUE,F55:F58)&amp;"}"</f>
        <v>{"label_1": "Финансовый счет", "label_2": "Прямые инвестиции", "label_3": "Портфельные инвестиции", "label_4": "Прочие инвестиции"}</v>
      </c>
      <c r="F55" t="str">
        <f t="shared" si="10"/>
        <v>"label_1": "Финансовый счет"</v>
      </c>
      <c r="H55" t="s">
        <v>684</v>
      </c>
      <c r="I55" t="s">
        <v>695</v>
      </c>
      <c r="J55" t="s">
        <v>336</v>
      </c>
      <c r="K55" t="s">
        <v>690</v>
      </c>
      <c r="L55" t="str" cm="1">
        <f t="array" ref="L55:L58">фінрах!AF29:AF32</f>
        <v>Финансовый счет</v>
      </c>
    </row>
    <row r="56" spans="2:46" x14ac:dyDescent="0.35">
      <c r="F56" t="str">
        <f t="shared" si="10"/>
        <v>"label_2": "Прямые инвестиции"</v>
      </c>
      <c r="H56" t="s">
        <v>684</v>
      </c>
      <c r="I56" t="s">
        <v>695</v>
      </c>
      <c r="J56" t="s">
        <v>336</v>
      </c>
      <c r="K56" t="s">
        <v>691</v>
      </c>
      <c r="L56" t="str">
        <v>Прямые инвестиции</v>
      </c>
    </row>
    <row r="57" spans="2:46" x14ac:dyDescent="0.35">
      <c r="F57" t="str">
        <f t="shared" si="10"/>
        <v>"label_3": "Портфельные инвестиции"</v>
      </c>
      <c r="H57" t="s">
        <v>684</v>
      </c>
      <c r="I57" t="s">
        <v>695</v>
      </c>
      <c r="J57" t="s">
        <v>336</v>
      </c>
      <c r="K57" t="s">
        <v>692</v>
      </c>
      <c r="L57" t="str">
        <v>Портфельные инвестиции</v>
      </c>
    </row>
    <row r="58" spans="2:46" x14ac:dyDescent="0.35">
      <c r="F58" t="str">
        <f t="shared" si="10"/>
        <v>"label_4": "Прочие инвестиции"</v>
      </c>
      <c r="H58" t="s">
        <v>684</v>
      </c>
      <c r="I58" t="s">
        <v>695</v>
      </c>
      <c r="J58" t="s">
        <v>336</v>
      </c>
      <c r="K58" t="s">
        <v>693</v>
      </c>
      <c r="L58" t="str">
        <v>Прочие инвестиции</v>
      </c>
    </row>
    <row r="59" spans="2:46" x14ac:dyDescent="0.35">
      <c r="D59" t="str">
        <f>CHAR(34)&amp;J59&amp;CHAR(34)&amp;": "&amp;E59</f>
        <v>"ENG": {"label_1": "Financial account", "label_2": "Direct investments", "label_3": "Portfolio investments", "label_4": "Other investments"}</v>
      </c>
      <c r="E59" t="str">
        <f>"{"&amp;_xlfn.TEXTJOIN(", ",TRUE,F59:F62)&amp;"}"</f>
        <v>{"label_1": "Financial account", "label_2": "Direct investments", "label_3": "Portfolio investments", "label_4": "Other investments"}</v>
      </c>
      <c r="F59" t="str">
        <f t="shared" si="10"/>
        <v>"label_1": "Financial account"</v>
      </c>
      <c r="H59" t="s">
        <v>684</v>
      </c>
      <c r="I59" t="s">
        <v>695</v>
      </c>
      <c r="J59" t="s">
        <v>337</v>
      </c>
      <c r="K59" t="s">
        <v>690</v>
      </c>
      <c r="L59" t="str" cm="1">
        <f t="array" ref="L59:L62">фінрах!AG29:AG32</f>
        <v>Financial account</v>
      </c>
    </row>
    <row r="60" spans="2:46" x14ac:dyDescent="0.35">
      <c r="F60" t="str">
        <f t="shared" si="10"/>
        <v>"label_2": "Direct investments"</v>
      </c>
      <c r="H60" t="s">
        <v>684</v>
      </c>
      <c r="I60" t="s">
        <v>695</v>
      </c>
      <c r="J60" t="s">
        <v>337</v>
      </c>
      <c r="K60" t="s">
        <v>691</v>
      </c>
      <c r="L60" t="str">
        <v>Direct investments</v>
      </c>
    </row>
    <row r="61" spans="2:46" x14ac:dyDescent="0.35">
      <c r="F61" t="str">
        <f t="shared" si="10"/>
        <v>"label_3": "Portfolio investments"</v>
      </c>
      <c r="H61" t="s">
        <v>684</v>
      </c>
      <c r="I61" t="s">
        <v>695</v>
      </c>
      <c r="J61" t="s">
        <v>337</v>
      </c>
      <c r="K61" t="s">
        <v>692</v>
      </c>
      <c r="L61" t="str">
        <v>Portfolio investments</v>
      </c>
    </row>
    <row r="62" spans="2:46" x14ac:dyDescent="0.35">
      <c r="F62" t="str">
        <f t="shared" si="10"/>
        <v>"label_4": "Other investments"</v>
      </c>
      <c r="H62" t="s">
        <v>684</v>
      </c>
      <c r="I62" t="s">
        <v>695</v>
      </c>
      <c r="J62" t="s">
        <v>337</v>
      </c>
      <c r="K62" t="s">
        <v>693</v>
      </c>
      <c r="L62" t="str">
        <v>Other investments</v>
      </c>
    </row>
    <row r="64" spans="2:46" x14ac:dyDescent="0.35">
      <c r="B64" t="str">
        <f>CHAR(34)&amp;I64&amp;CHAR(34)&amp;": "&amp;C64</f>
        <v>"source": {"UKR": "Джерело: НБУ, розрахунки Ukraine Economic Outlook", "RU": "Источник: НБУ, расчеты Ukraine Economic Outlook", "ENG": "Source: NBU, Ukraine Economic Outlook calculations"}</v>
      </c>
      <c r="C64" t="str">
        <f>"{"&amp;_xlfn.TEXTJOIN(", ",TRUE,F64:F66)&amp;"}"</f>
        <v>{"UKR": "Джерело: НБУ, розрахунки Ukraine Economic Outlook", "RU": "Источник: НБУ, расчеты Ukraine Economic Outlook", "ENG": "Source: NBU, Ukraine Economic Outlook calculations"}</v>
      </c>
      <c r="F64" t="str">
        <f>CHAR(34)&amp;J64&amp;CHAR(34)&amp;": "&amp;CHAR(34)&amp;K64&amp;CHAR(34)</f>
        <v>"UKR": "Джерело: НБУ, розрахунки Ukraine Economic Outlook"</v>
      </c>
      <c r="H64" t="s">
        <v>684</v>
      </c>
      <c r="I64" t="s">
        <v>696</v>
      </c>
      <c r="J64" t="s">
        <v>334</v>
      </c>
      <c r="K64" t="str">
        <f>Чарти!H28</f>
        <v>Джерело: НБУ, розрахунки Ukraine Economic Outlook</v>
      </c>
    </row>
    <row r="65" spans="1:25" x14ac:dyDescent="0.35">
      <c r="F65" t="str">
        <f t="shared" ref="F65:F66" si="11">CHAR(34)&amp;J65&amp;CHAR(34)&amp;": "&amp;CHAR(34)&amp;K65&amp;CHAR(34)</f>
        <v>"RU": "Источник: НБУ, расчеты Ukraine Economic Outlook"</v>
      </c>
      <c r="H65" t="s">
        <v>684</v>
      </c>
      <c r="I65" t="s">
        <v>696</v>
      </c>
      <c r="J65" t="s">
        <v>336</v>
      </c>
      <c r="K65" t="str">
        <f>Чарти!H26</f>
        <v>Источник: НБУ, расчеты Ukraine Economic Outlook</v>
      </c>
    </row>
    <row r="66" spans="1:25" x14ac:dyDescent="0.35">
      <c r="F66" t="str">
        <f t="shared" si="11"/>
        <v>"ENG": "Source: NBU, Ukraine Economic Outlook calculations"</v>
      </c>
      <c r="H66" t="s">
        <v>684</v>
      </c>
      <c r="I66" t="s">
        <v>696</v>
      </c>
      <c r="J66" t="s">
        <v>337</v>
      </c>
      <c r="K66" t="str">
        <f>Чарти!H27</f>
        <v>Source: NBU, Ukraine Economic Outlook calculations</v>
      </c>
    </row>
    <row r="68" spans="1:25" x14ac:dyDescent="0.35">
      <c r="A68" s="1395"/>
      <c r="B68" s="1395"/>
      <c r="C68" s="1395"/>
      <c r="D68" s="1395"/>
      <c r="E68" s="1395"/>
      <c r="F68" s="1395"/>
      <c r="G68" s="1395"/>
    </row>
    <row r="69" spans="1:25" x14ac:dyDescent="0.35">
      <c r="A69" t="str">
        <f>"{"&amp;CHAR(34)&amp;H69&amp;CHAR(34)&amp;": "&amp;B69&amp;"}"</f>
        <v>{"Chart1": {"name": {"UKR": "Окремі статті", "RU": "Отдельные статьи", "ENG": "Individual items"},"indexes": {"index_0": [2010, 2011, 2012, 2013, 2014, 2015, 2016, 2017, 2018, 2019, 2020, 2021, 2022, "2023F", "2024F"]},"labels": {"label_1": [5759, 7015, 7195, 4079, 299, -236, 3955, 3446, 4859, 5175, -58, 7518, 504, 4694.10870130222, 4926.16539575296], "label_2": [3087, 4081, 2602, 3898, -6646, -1727, 600, 1599, 1104, 2422, 2411, -369, -1321, 410, 500], "label_3": [4603, 5952, 7748, 1834, -254, -1453, -236, 297, 1086, 1342, -287, 352, 741, 784.304296026667, 1184.67674371]},"label_names": {"UKR": {"label_1": "Прямі іноземні інвестиції (сальдо), $ млрд", "label_2": "Торгові кредити пасиви, $ млрд", "label_3": "Отримані кредити, $ млрд"}, "RU": {"label_1": "Прямые иностранные инвестиции (сальдо), $ млрд", "label_2": "Торговые кредиты пассивы, $ млрд", "label_3": "Полученные кредиты, $ млрд"}, "ENG": {"label_1": "Foreign direct investments (balance) $Bln", "label_2": "Trade credits received, $Bln", "label_3": "Foreign financial credits, $Bln"}},"source": {"UKR": "Джерело: Національний банк України, розрахунки Ukraine Economic Outlook", "RU": "Источник: Национальный банк Украины, расчеты Ukraine Economic Outlook", "ENG": "Source: National Bank of Ukraine, Ukraine Economic Outlook"}}}</v>
      </c>
      <c r="B69" t="str">
        <f>"{"&amp;_xlfn.TEXTJOIN(",",TRUE,B70:B92)&amp;"}"</f>
        <v>{"name": {"UKR": "Окремі статті", "RU": "Отдельные статьи", "ENG": "Individual items"},"indexes": {"index_0": [2010, 2011, 2012, 2013, 2014, 2015, 2016, 2017, 2018, 2019, 2020, 2021, 2022, "2023F", "2024F"]},"labels": {"label_1": [5759, 7015, 7195, 4079, 299, -236, 3955, 3446, 4859, 5175, -58, 7518, 504, 4694.10870130222, 4926.16539575296], "label_2": [3087, 4081, 2602, 3898, -6646, -1727, 600, 1599, 1104, 2422, 2411, -369, -1321, 410, 500], "label_3": [4603, 5952, 7748, 1834, -254, -1453, -236, 297, 1086, 1342, -287, 352, 741, 784.304296026667, 1184.67674371]},"label_names": {"UKR": {"label_1": "Прямі іноземні інвестиції (сальдо), $ млрд", "label_2": "Торгові кредити пасиви, $ млрд", "label_3": "Отримані кредити, $ млрд"}, "RU": {"label_1": "Прямые иностранные инвестиции (сальдо), $ млрд", "label_2": "Торговые кредиты пассивы, $ млрд", "label_3": "Полученные кредиты, $ млрд"}, "ENG": {"label_1": "Foreign direct investments (balance) $Bln", "label_2": "Trade credits received, $Bln", "label_3": "Foreign financial credits, $Bln"}},"source": {"UKR": "Джерело: Національний банк України, розрахунки Ukraine Economic Outlook", "RU": "Источник: Национальный банк Украины, расчеты Ukraine Economic Outlook", "ENG": "Source: National Bank of Ukraine, Ukraine Economic Outlook"}}</v>
      </c>
      <c r="H69" t="s">
        <v>684</v>
      </c>
    </row>
    <row r="70" spans="1:25" x14ac:dyDescent="0.35">
      <c r="B70" t="str">
        <f>CHAR(34)&amp;I70&amp;CHAR(34)&amp;": "&amp;C70</f>
        <v>"name": {"UKR": "Окремі статті", "RU": "Отдельные статьи", "ENG": "Individual items"}</v>
      </c>
      <c r="C70" t="str">
        <f>"{"&amp;_xlfn.TEXTJOIN(", ",TRUE,F70:F72)&amp;"}"</f>
        <v>{"UKR": "Окремі статті", "RU": "Отдельные статьи", "ENG": "Individual items"}</v>
      </c>
      <c r="F70" t="str">
        <f>CHAR(34)&amp;J70&amp;CHAR(34)&amp;": "&amp;CHAR(34)&amp;K70&amp;CHAR(34)</f>
        <v>"UKR": "Окремі статті"</v>
      </c>
      <c r="H70" t="s">
        <v>684</v>
      </c>
      <c r="I70" t="s">
        <v>685</v>
      </c>
      <c r="J70" t="s">
        <v>334</v>
      </c>
      <c r="K70" t="s">
        <v>705</v>
      </c>
    </row>
    <row r="71" spans="1:25" x14ac:dyDescent="0.35">
      <c r="F71" t="str">
        <f t="shared" ref="F71:F72" si="12">CHAR(34)&amp;J71&amp;CHAR(34)&amp;": "&amp;CHAR(34)&amp;K71&amp;CHAR(34)</f>
        <v>"RU": "Отдельные статьи"</v>
      </c>
      <c r="H71" t="s">
        <v>684</v>
      </c>
      <c r="I71" t="s">
        <v>685</v>
      </c>
      <c r="J71" t="s">
        <v>336</v>
      </c>
      <c r="K71" t="s">
        <v>707</v>
      </c>
    </row>
    <row r="72" spans="1:25" x14ac:dyDescent="0.35">
      <c r="F72" t="str">
        <f t="shared" si="12"/>
        <v>"ENG": "Individual items"</v>
      </c>
      <c r="H72" t="s">
        <v>684</v>
      </c>
      <c r="I72" t="s">
        <v>685</v>
      </c>
      <c r="J72" t="s">
        <v>337</v>
      </c>
      <c r="K72" t="s">
        <v>706</v>
      </c>
    </row>
    <row r="74" spans="1:25" x14ac:dyDescent="0.35">
      <c r="B74" t="str">
        <f>CHAR(34)&amp;I74&amp;CHAR(34)&amp;": "&amp;C74</f>
        <v>"indexes": {"index_0": [2010, 2011, 2012, 2013, 2014, 2015, 2016, 2017, 2018, 2019, 2020, 2021, 2022, "2023F", "2024F"]}</v>
      </c>
      <c r="C74" t="str">
        <f>"{"&amp;_xlfn.TEXTJOIN(", ",TRUE,E74:E74)&amp;"}"</f>
        <v>{"index_0": [2010, 2011, 2012, 2013, 2014, 2015, 2016, 2017, 2018, 2019, 2020, 2021, 2022, "2023F", "2024F"]}</v>
      </c>
      <c r="E74" t="str">
        <f>CHAR(34)&amp;J74&amp;CHAR(34)&amp;": "&amp;F74</f>
        <v>"index_0": [2010, 2011, 2012, 2013, 2014, 2015, 2016, 2017, 2018, 2019, 2020, 2021, 2022, "2023F", "2024F"]</v>
      </c>
      <c r="F74" s="1" t="str" cm="1">
        <f t="array" ref="F74">"["&amp;_xlfn.TEXTJOIN(", ",FALSE,SUBSTITUTE(_xlfn.ANCHORARRAY(K74),",","."))&amp;"]"</f>
        <v>[2010, 2011, 2012, 2013, 2014, 2015, 2016, 2017, 2018, 2019, 2020, 2021, 2022, "2023F", "2024F"]</v>
      </c>
      <c r="H74" t="s">
        <v>684</v>
      </c>
      <c r="I74" t="s">
        <v>686</v>
      </c>
      <c r="J74" t="s">
        <v>687</v>
      </c>
      <c r="K74" cm="1">
        <f t="array" ref="K74:Y74">(IF(ISNUMBER('окремі статті'!B1:P1),'окремі статті'!B1:P1,CHAR(34)&amp;'окремі статті'!B1:P1&amp;CHAR(34)))</f>
        <v>2010</v>
      </c>
      <c r="L74">
        <v>2011</v>
      </c>
      <c r="M74">
        <v>2012</v>
      </c>
      <c r="N74">
        <v>2013</v>
      </c>
      <c r="O74">
        <v>2014</v>
      </c>
      <c r="P74">
        <v>2015</v>
      </c>
      <c r="Q74">
        <v>2016</v>
      </c>
      <c r="R74">
        <v>2017</v>
      </c>
      <c r="S74">
        <v>2018</v>
      </c>
      <c r="T74">
        <v>2019</v>
      </c>
      <c r="U74">
        <v>2020</v>
      </c>
      <c r="V74">
        <v>2021</v>
      </c>
      <c r="W74">
        <v>2022</v>
      </c>
      <c r="X74" t="str">
        <v>"2023F"</v>
      </c>
      <c r="Y74" t="str">
        <v>"2024F"</v>
      </c>
    </row>
    <row r="75" spans="1:25" x14ac:dyDescent="0.35">
      <c r="F75" s="1"/>
    </row>
    <row r="76" spans="1:25" x14ac:dyDescent="0.35">
      <c r="B76" t="str">
        <f>CHAR(34)&amp;I76&amp;CHAR(34)&amp;": "&amp;C76</f>
        <v>"labels": {"label_1": [5759, 7015, 7195, 4079, 299, -236, 3955, 3446, 4859, 5175, -58, 7518, 504, 4694.10870130222, 4926.16539575296], "label_2": [3087, 4081, 2602, 3898, -6646, -1727, 600, 1599, 1104, 2422, 2411, -369, -1321, 410, 500], "label_3": [4603, 5952, 7748, 1834, -254, -1453, -236, 297, 1086, 1342, -287, 352, 741, 784.304296026667, 1184.67674371]}</v>
      </c>
      <c r="C76" t="str">
        <f>"{"&amp;_xlfn.TEXTJOIN(", ",TRUE,E76:E78)&amp;"}"</f>
        <v>{"label_1": [5759, 7015, 7195, 4079, 299, -236, 3955, 3446, 4859, 5175, -58, 7518, 504, 4694.10870130222, 4926.16539575296], "label_2": [3087, 4081, 2602, 3898, -6646, -1727, 600, 1599, 1104, 2422, 2411, -369, -1321, 410, 500], "label_3": [4603, 5952, 7748, 1834, -254, -1453, -236, 297, 1086, 1342, -287, 352, 741, 784.304296026667, 1184.67674371]}</v>
      </c>
      <c r="E76" t="str">
        <f>CHAR(34)&amp;J76&amp;CHAR(34)&amp;": "&amp;F76</f>
        <v>"label_1": [5759, 7015, 7195, 4079, 299, -236, 3955, 3446, 4859, 5175, -58, 7518, 504, 4694.10870130222, 4926.16539575296]</v>
      </c>
      <c r="F76" s="1" t="str" cm="1">
        <f t="array" ref="F76">"["&amp;_xlfn.TEXTJOIN(", ",FALSE,SUBSTITUTE(_xlfn.ANCHORARRAY(K76),",","."))&amp;"]"</f>
        <v>[5759, 7015, 7195, 4079, 299, -236, 3955, 3446, 4859, 5175, -58, 7518, 504, 4694.10870130222, 4926.16539575296]</v>
      </c>
      <c r="H76" t="s">
        <v>684</v>
      </c>
      <c r="I76" t="s">
        <v>689</v>
      </c>
      <c r="J76" t="s">
        <v>690</v>
      </c>
      <c r="K76" cm="1">
        <f t="array" ref="K76:Y76">'окремі статті'!B2:P2</f>
        <v>5759</v>
      </c>
      <c r="L76">
        <v>7015</v>
      </c>
      <c r="M76">
        <v>7195</v>
      </c>
      <c r="N76">
        <v>4079</v>
      </c>
      <c r="O76">
        <v>299</v>
      </c>
      <c r="P76">
        <v>-236</v>
      </c>
      <c r="Q76">
        <v>3955</v>
      </c>
      <c r="R76">
        <v>3446</v>
      </c>
      <c r="S76">
        <v>4859</v>
      </c>
      <c r="T76">
        <v>5175</v>
      </c>
      <c r="U76">
        <v>-58</v>
      </c>
      <c r="V76">
        <v>7518</v>
      </c>
      <c r="W76">
        <v>504</v>
      </c>
      <c r="X76">
        <v>4694.1087013022179</v>
      </c>
      <c r="Y76">
        <v>4926.1653957529552</v>
      </c>
    </row>
    <row r="77" spans="1:25" x14ac:dyDescent="0.35">
      <c r="E77" t="str">
        <f t="shared" ref="E77:E78" si="13">CHAR(34)&amp;J77&amp;CHAR(34)&amp;": "&amp;F77</f>
        <v>"label_2": [3087, 4081, 2602, 3898, -6646, -1727, 600, 1599, 1104, 2422, 2411, -369, -1321, 410, 500]</v>
      </c>
      <c r="F77" s="1" t="str" cm="1">
        <f t="array" ref="F77">"["&amp;_xlfn.TEXTJOIN(", ",FALSE,SUBSTITUTE(_xlfn.ANCHORARRAY(K77),",","."))&amp;"]"</f>
        <v>[3087, 4081, 2602, 3898, -6646, -1727, 600, 1599, 1104, 2422, 2411, -369, -1321, 410, 500]</v>
      </c>
      <c r="H77" t="s">
        <v>684</v>
      </c>
      <c r="I77" t="s">
        <v>689</v>
      </c>
      <c r="J77" t="s">
        <v>691</v>
      </c>
      <c r="K77" cm="1">
        <f t="array" ref="K77:Y77">'окремі статті'!B3:P3</f>
        <v>3087</v>
      </c>
      <c r="L77">
        <v>4081</v>
      </c>
      <c r="M77">
        <v>2602</v>
      </c>
      <c r="N77">
        <v>3898</v>
      </c>
      <c r="O77">
        <v>-6646</v>
      </c>
      <c r="P77">
        <v>-1727</v>
      </c>
      <c r="Q77">
        <v>600</v>
      </c>
      <c r="R77">
        <v>1599</v>
      </c>
      <c r="S77">
        <v>1104</v>
      </c>
      <c r="T77">
        <v>2422</v>
      </c>
      <c r="U77">
        <v>2411</v>
      </c>
      <c r="V77">
        <v>-369</v>
      </c>
      <c r="W77">
        <v>-1321</v>
      </c>
      <c r="X77">
        <v>410</v>
      </c>
      <c r="Y77">
        <v>500</v>
      </c>
    </row>
    <row r="78" spans="1:25" x14ac:dyDescent="0.35">
      <c r="E78" t="str">
        <f t="shared" si="13"/>
        <v>"label_3": [4603, 5952, 7748, 1834, -254, -1453, -236, 297, 1086, 1342, -287, 352, 741, 784.304296026667, 1184.67674371]</v>
      </c>
      <c r="F78" s="1" t="str" cm="1">
        <f t="array" ref="F78">"["&amp;_xlfn.TEXTJOIN(", ",FALSE,SUBSTITUTE(_xlfn.ANCHORARRAY(K78),",","."))&amp;"]"</f>
        <v>[4603, 5952, 7748, 1834, -254, -1453, -236, 297, 1086, 1342, -287, 352, 741, 784.304296026667, 1184.67674371]</v>
      </c>
      <c r="H78" t="s">
        <v>684</v>
      </c>
      <c r="I78" t="s">
        <v>689</v>
      </c>
      <c r="J78" t="s">
        <v>692</v>
      </c>
      <c r="K78" cm="1">
        <f t="array" ref="K78:Y78">'окремі статті'!B4:P4</f>
        <v>4603</v>
      </c>
      <c r="L78">
        <v>5952</v>
      </c>
      <c r="M78">
        <v>7748</v>
      </c>
      <c r="N78">
        <v>1834</v>
      </c>
      <c r="O78">
        <v>-254</v>
      </c>
      <c r="P78">
        <v>-1453</v>
      </c>
      <c r="Q78">
        <v>-236</v>
      </c>
      <c r="R78">
        <v>297</v>
      </c>
      <c r="S78">
        <v>1086</v>
      </c>
      <c r="T78">
        <v>1342</v>
      </c>
      <c r="U78">
        <v>-287</v>
      </c>
      <c r="V78">
        <v>352</v>
      </c>
      <c r="W78">
        <v>741</v>
      </c>
      <c r="X78">
        <v>784.30429602666663</v>
      </c>
      <c r="Y78">
        <v>1184.67674371</v>
      </c>
    </row>
    <row r="80" spans="1:25" x14ac:dyDescent="0.35">
      <c r="B80" t="str">
        <f>CHAR(34)&amp;I80&amp;CHAR(34)&amp;": "&amp;C80</f>
        <v>"label_names": {"UKR": {"label_1": "Прямі іноземні інвестиції (сальдо), $ млрд", "label_2": "Торгові кредити пасиви, $ млрд", "label_3": "Отримані кредити, $ млрд"}, "RU": {"label_1": "Прямые иностранные инвестиции (сальдо), $ млрд", "label_2": "Торговые кредиты пассивы, $ млрд", "label_3": "Полученные кредиты, $ млрд"}, "ENG": {"label_1": "Foreign direct investments (balance) $Bln", "label_2": "Trade credits received, $Bln", "label_3": "Foreign financial credits, $Bln"}}</v>
      </c>
      <c r="C80" t="str">
        <f>"{"&amp;_xlfn.TEXTJOIN(", ",TRUE,D80:D88)&amp;"}"</f>
        <v>{"UKR": {"label_1": "Прямі іноземні інвестиції (сальдо), $ млрд", "label_2": "Торгові кредити пасиви, $ млрд", "label_3": "Отримані кредити, $ млрд"}, "RU": {"label_1": "Прямые иностранные инвестиции (сальдо), $ млрд", "label_2": "Торговые кредиты пассивы, $ млрд", "label_3": "Полученные кредиты, $ млрд"}, "ENG": {"label_1": "Foreign direct investments (balance) $Bln", "label_2": "Trade credits received, $Bln", "label_3": "Foreign financial credits, $Bln"}}</v>
      </c>
      <c r="D80" t="str">
        <f>CHAR(34)&amp;J80&amp;CHAR(34)&amp;": "&amp;E80</f>
        <v>"UKR": {"label_1": "Прямі іноземні інвестиції (сальдо), $ млрд", "label_2": "Торгові кредити пасиви, $ млрд", "label_3": "Отримані кредити, $ млрд"}</v>
      </c>
      <c r="E80" t="str">
        <f>"{"&amp;_xlfn.TEXTJOIN(", ",TRUE,F80:F82)&amp;"}"</f>
        <v>{"label_1": "Прямі іноземні інвестиції (сальдо), $ млрд", "label_2": "Торгові кредити пасиви, $ млрд", "label_3": "Отримані кредити, $ млрд"}</v>
      </c>
      <c r="F80" t="str">
        <f>CHAR(34)&amp;K80&amp;CHAR(34)&amp;": "&amp;CHAR(34)&amp;L80&amp;CHAR(34)</f>
        <v>"label_1": "Прямі іноземні інвестиції (сальдо), $ млрд"</v>
      </c>
      <c r="H80" t="s">
        <v>684</v>
      </c>
      <c r="I80" t="s">
        <v>695</v>
      </c>
      <c r="J80" t="s">
        <v>334</v>
      </c>
      <c r="K80" t="s">
        <v>690</v>
      </c>
      <c r="L80" t="str" cm="1">
        <f t="array" ref="L80:L82">Чарти!K47:K49</f>
        <v>Прямі іноземні інвестиції (сальдо), $ млрд</v>
      </c>
    </row>
    <row r="81" spans="1:12" x14ac:dyDescent="0.35">
      <c r="F81" t="str">
        <f t="shared" ref="F81:F88" si="14">CHAR(34)&amp;K81&amp;CHAR(34)&amp;": "&amp;CHAR(34)&amp;L81&amp;CHAR(34)</f>
        <v>"label_2": "Торгові кредити пасиви, $ млрд"</v>
      </c>
      <c r="H81" t="s">
        <v>684</v>
      </c>
      <c r="I81" t="s">
        <v>695</v>
      </c>
      <c r="J81" t="s">
        <v>334</v>
      </c>
      <c r="K81" t="s">
        <v>691</v>
      </c>
      <c r="L81" t="str">
        <v>Торгові кредити пасиви, $ млрд</v>
      </c>
    </row>
    <row r="82" spans="1:12" x14ac:dyDescent="0.35">
      <c r="F82" t="str">
        <f t="shared" si="14"/>
        <v>"label_3": "Отримані кредити, $ млрд"</v>
      </c>
      <c r="H82" t="s">
        <v>684</v>
      </c>
      <c r="I82" t="s">
        <v>695</v>
      </c>
      <c r="J82" t="s">
        <v>334</v>
      </c>
      <c r="K82" t="s">
        <v>692</v>
      </c>
      <c r="L82" t="str">
        <v>Отримані кредити, $ млрд</v>
      </c>
    </row>
    <row r="83" spans="1:12" x14ac:dyDescent="0.35">
      <c r="D83" t="str">
        <f>CHAR(34)&amp;J83&amp;CHAR(34)&amp;": "&amp;E83</f>
        <v>"RU": {"label_1": "Прямые иностранные инвестиции (сальдо), $ млрд", "label_2": "Торговые кредиты пассивы, $ млрд", "label_3": "Полученные кредиты, $ млрд"}</v>
      </c>
      <c r="E83" t="str">
        <f>"{"&amp;_xlfn.TEXTJOIN(", ",TRUE,F83:F85)&amp;"}"</f>
        <v>{"label_1": "Прямые иностранные инвестиции (сальдо), $ млрд", "label_2": "Торговые кредиты пассивы, $ млрд", "label_3": "Полученные кредиты, $ млрд"}</v>
      </c>
      <c r="F83" t="str">
        <f t="shared" si="14"/>
        <v>"label_1": "Прямые иностранные инвестиции (сальдо), $ млрд"</v>
      </c>
      <c r="H83" t="s">
        <v>684</v>
      </c>
      <c r="I83" t="s">
        <v>695</v>
      </c>
      <c r="J83" t="s">
        <v>336</v>
      </c>
      <c r="K83" t="s">
        <v>690</v>
      </c>
      <c r="L83" t="str" cm="1">
        <f t="array" ref="L83:L85">Чарти!I47:I49</f>
        <v>Прямые иностранные инвестиции (сальдо), $ млрд</v>
      </c>
    </row>
    <row r="84" spans="1:12" x14ac:dyDescent="0.35">
      <c r="F84" t="str">
        <f t="shared" si="14"/>
        <v>"label_2": "Торговые кредиты пассивы, $ млрд"</v>
      </c>
      <c r="H84" t="s">
        <v>684</v>
      </c>
      <c r="I84" t="s">
        <v>695</v>
      </c>
      <c r="J84" t="s">
        <v>336</v>
      </c>
      <c r="K84" t="s">
        <v>691</v>
      </c>
      <c r="L84" t="str">
        <v>Торговые кредиты пассивы, $ млрд</v>
      </c>
    </row>
    <row r="85" spans="1:12" x14ac:dyDescent="0.35">
      <c r="F85" t="str">
        <f t="shared" si="14"/>
        <v>"label_3": "Полученные кредиты, $ млрд"</v>
      </c>
      <c r="H85" t="s">
        <v>684</v>
      </c>
      <c r="I85" t="s">
        <v>695</v>
      </c>
      <c r="J85" t="s">
        <v>336</v>
      </c>
      <c r="K85" t="s">
        <v>692</v>
      </c>
      <c r="L85" t="str">
        <v>Полученные кредиты, $ млрд</v>
      </c>
    </row>
    <row r="86" spans="1:12" x14ac:dyDescent="0.35">
      <c r="D86" t="str">
        <f>CHAR(34)&amp;J86&amp;CHAR(34)&amp;": "&amp;E86</f>
        <v>"ENG": {"label_1": "Foreign direct investments (balance) $Bln", "label_2": "Trade credits received, $Bln", "label_3": "Foreign financial credits, $Bln"}</v>
      </c>
      <c r="E86" t="str">
        <f>"{"&amp;_xlfn.TEXTJOIN(", ",TRUE,F86:F88)&amp;"}"</f>
        <v>{"label_1": "Foreign direct investments (balance) $Bln", "label_2": "Trade credits received, $Bln", "label_3": "Foreign financial credits, $Bln"}</v>
      </c>
      <c r="F86" t="str">
        <f t="shared" si="14"/>
        <v>"label_1": "Foreign direct investments (balance) $Bln"</v>
      </c>
      <c r="H86" t="s">
        <v>684</v>
      </c>
      <c r="I86" t="s">
        <v>695</v>
      </c>
      <c r="J86" t="s">
        <v>337</v>
      </c>
      <c r="K86" t="s">
        <v>690</v>
      </c>
      <c r="L86" t="str" cm="1">
        <f t="array" ref="L86:L88">Чарти!J47:J49</f>
        <v>Foreign direct investments (balance) $Bln</v>
      </c>
    </row>
    <row r="87" spans="1:12" x14ac:dyDescent="0.35">
      <c r="F87" t="str">
        <f t="shared" si="14"/>
        <v>"label_2": "Trade credits received, $Bln"</v>
      </c>
      <c r="H87" t="s">
        <v>684</v>
      </c>
      <c r="I87" t="s">
        <v>695</v>
      </c>
      <c r="J87" t="s">
        <v>337</v>
      </c>
      <c r="K87" t="s">
        <v>691</v>
      </c>
      <c r="L87" t="str">
        <v>Trade credits received, $Bln</v>
      </c>
    </row>
    <row r="88" spans="1:12" x14ac:dyDescent="0.35">
      <c r="F88" t="str">
        <f t="shared" si="14"/>
        <v>"label_3": "Foreign financial credits, $Bln"</v>
      </c>
      <c r="H88" t="s">
        <v>684</v>
      </c>
      <c r="I88" t="s">
        <v>695</v>
      </c>
      <c r="J88" t="s">
        <v>337</v>
      </c>
      <c r="K88" t="s">
        <v>692</v>
      </c>
      <c r="L88" t="str">
        <v>Foreign financial credits, $Bln</v>
      </c>
    </row>
    <row r="90" spans="1:12" x14ac:dyDescent="0.35">
      <c r="B90" t="str">
        <f>CHAR(34)&amp;I90&amp;CHAR(34)&amp;": "&amp;C90</f>
        <v>"source": {"UKR": "Джерело: Національний банк України, розрахунки Ukraine Economic Outlook", "RU": "Источник: Национальный банк Украины, расчеты Ukraine Economic Outlook", "ENG": "Source: National Bank of Ukraine, Ukraine Economic Outlook"}</v>
      </c>
      <c r="C90" t="str">
        <f>"{"&amp;_xlfn.TEXTJOIN(", ",TRUE,F90:F92)&amp;"}"</f>
        <v>{"UKR": "Джерело: Національний банк України, розрахунки Ukraine Economic Outlook", "RU": "Источник: Национальный банк Украины, расчеты Ukraine Economic Outlook", "ENG": "Source: National Bank of Ukraine, Ukraine Economic Outlook"}</v>
      </c>
      <c r="F90" t="str">
        <f>CHAR(34)&amp;J90&amp;CHAR(34)&amp;": "&amp;CHAR(34)&amp;K90&amp;CHAR(34)</f>
        <v>"UKR": "Джерело: Національний банк України, розрахунки Ukraine Economic Outlook"</v>
      </c>
      <c r="H90" t="s">
        <v>684</v>
      </c>
      <c r="I90" t="s">
        <v>696</v>
      </c>
      <c r="J90" t="s">
        <v>334</v>
      </c>
      <c r="K90" t="str">
        <f>Чарти!H44</f>
        <v>Джерело: Національний банк України, розрахунки Ukraine Economic Outlook</v>
      </c>
    </row>
    <row r="91" spans="1:12" x14ac:dyDescent="0.35">
      <c r="F91" t="str">
        <f t="shared" ref="F91:F92" si="15">CHAR(34)&amp;J91&amp;CHAR(34)&amp;": "&amp;CHAR(34)&amp;K91&amp;CHAR(34)</f>
        <v>"RU": "Источник: Национальный банк Украины, расчеты Ukraine Economic Outlook"</v>
      </c>
      <c r="H91" t="s">
        <v>684</v>
      </c>
      <c r="I91" t="s">
        <v>696</v>
      </c>
      <c r="J91" t="s">
        <v>336</v>
      </c>
      <c r="K91" t="str">
        <f>Чарти!H42</f>
        <v>Источник: Национальный банк Украины, расчеты Ukraine Economic Outlook</v>
      </c>
    </row>
    <row r="92" spans="1:12" x14ac:dyDescent="0.35">
      <c r="F92" t="str">
        <f t="shared" si="15"/>
        <v>"ENG": "Source: National Bank of Ukraine, Ukraine Economic Outlook"</v>
      </c>
      <c r="H92" t="s">
        <v>684</v>
      </c>
      <c r="I92" t="s">
        <v>696</v>
      </c>
      <c r="J92" t="s">
        <v>337</v>
      </c>
      <c r="K92" t="str">
        <f>Чарти!H43</f>
        <v>Source: National Bank of Ukraine, Ukraine Economic Outlook</v>
      </c>
    </row>
    <row r="94" spans="1:12" x14ac:dyDescent="0.35">
      <c r="A94" s="1395"/>
      <c r="B94" s="1395"/>
      <c r="C94" s="1395"/>
      <c r="D94" s="1395"/>
      <c r="E94" s="1395"/>
      <c r="F94" s="1395"/>
      <c r="G94" s="1395"/>
    </row>
    <row r="95" spans="1:12" x14ac:dyDescent="0.35">
      <c r="A95" t="str">
        <f>"{"&amp;CHAR(34)&amp;H95&amp;CHAR(34)&amp;": "&amp;B95&amp;"}"</f>
        <v>{"Chart1": {"name": {"UKR": "Готівкова валюта поза банками, $ млрд", "RU": "Наличная валюта вне банков, $ млрд", "ENG": "Cash currency outside banks, $Bln"},"indexes": {"index_0": [2021, 2021, 2021, 2021, 2021, 2021, 2021, 2021, 2021, 2021, 2021, 2021, 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12, 1, 2, 3, 4, 5, 6, 7, 8, 9, 10, 11, 12]},"labels": {"label_1": [0.523, 0.57, 0.29, 0.169, 0.306, 0.196, 0.194, 0.647, 0.499, 0.536, 0.824, 0.367, 0.809, 0.943, 0.743, 0.868, 1.11, 0.768, 0.779, 0.774, 1.09, 0.876, 0.666, 0.861, 1.012, 1.044, 1.2, 1.04, 1.078, 0.751, 0.557, 0.655, 0.771, 1.09, 1.114, 1.2, 1.1, 1, 1.1, 0.9, 0.85, 0.85, 0.8, 0.7, 0.7, 0.75, 0.9, 0.9]},"label_names": {"UKR": {"label_1": "Готівкова валюта поза банками, $ млрд"}, "RU": {"label_1": "Наличная валюта вне банков, $ млрд"}, "ENG": {"label_1": "Cash currency outside banks, $Bln"}},"source": {"UKR": "Джерело: НБУ, розрахунки Ukraine Economic Outlook", "RU": "Источник: НБУ, расчеты Ukraine Economic Outlook", "ENG": "Source: NBU, Ukraine Economic Outlook calculations"}}}</v>
      </c>
      <c r="B95" t="str">
        <f>"{"&amp;_xlfn.TEXTJOIN(",",TRUE,B96:B111)&amp;"}"</f>
        <v>{"name": {"UKR": "Готівкова валюта поза банками, $ млрд", "RU": "Наличная валюта вне банков, $ млрд", "ENG": "Cash currency outside banks, $Bln"},"indexes": {"index_0": [2021, 2021, 2021, 2021, 2021, 2021, 2021, 2021, 2021, 2021, 2021, 2021, 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12, 1, 2, 3, 4, 5, 6, 7, 8, 9, 10, 11, 12]},"labels": {"label_1": [0.523, 0.57, 0.29, 0.169, 0.306, 0.196, 0.194, 0.647, 0.499, 0.536, 0.824, 0.367, 0.809, 0.943, 0.743, 0.868, 1.11, 0.768, 0.779, 0.774, 1.09, 0.876, 0.666, 0.861, 1.012, 1.044, 1.2, 1.04, 1.078, 0.751, 0.557, 0.655, 0.771, 1.09, 1.114, 1.2, 1.1, 1, 1.1, 0.9, 0.85, 0.85, 0.8, 0.7, 0.7, 0.75, 0.9, 0.9]},"label_names": {"UKR": {"label_1": "Готівкова валюта поза банками, $ млрд"}, "RU": {"label_1": "Наличная валюта вне банков, $ млрд"}, "ENG": {"label_1": "Cash currency outside banks, $Bln"}},"source": {"UKR": "Джерело: НБУ, розрахунки Ukraine Economic Outlook", "RU": "Источник: НБУ, расчеты Ukraine Economic Outlook", "ENG": "Source: NBU, Ukraine Economic Outlook calculations"}}</v>
      </c>
      <c r="H95" t="s">
        <v>684</v>
      </c>
    </row>
    <row r="96" spans="1:12" x14ac:dyDescent="0.35">
      <c r="B96" t="str">
        <f>CHAR(34)&amp;I96&amp;CHAR(34)&amp;": "&amp;C96</f>
        <v>"name": {"UKR": "Готівкова валюта поза банками, $ млрд", "RU": "Наличная валюта вне банков, $ млрд", "ENG": "Cash currency outside banks, $Bln"}</v>
      </c>
      <c r="C96" t="str">
        <f>"{"&amp;_xlfn.TEXTJOIN(", ",TRUE,F96:F98)&amp;"}"</f>
        <v>{"UKR": "Готівкова валюта поза банками, $ млрд", "RU": "Наличная валюта вне банков, $ млрд", "ENG": "Cash currency outside banks, $Bln"}</v>
      </c>
      <c r="F96" t="str">
        <f>CHAR(34)&amp;J96&amp;CHAR(34)&amp;": "&amp;CHAR(34)&amp;K96&amp;CHAR(34)</f>
        <v>"UKR": "Готівкова валюта поза банками, $ млрд"</v>
      </c>
      <c r="H96" t="s">
        <v>684</v>
      </c>
      <c r="I96" t="s">
        <v>685</v>
      </c>
      <c r="J96" t="s">
        <v>334</v>
      </c>
      <c r="K96" t="s">
        <v>708</v>
      </c>
    </row>
    <row r="97" spans="2:58" x14ac:dyDescent="0.35">
      <c r="F97" t="str">
        <f t="shared" ref="F97:F98" si="16">CHAR(34)&amp;J97&amp;CHAR(34)&amp;": "&amp;CHAR(34)&amp;K97&amp;CHAR(34)</f>
        <v>"RU": "Наличная валюта вне банков, $ млрд"</v>
      </c>
      <c r="H97" t="s">
        <v>684</v>
      </c>
      <c r="I97" t="s">
        <v>685</v>
      </c>
      <c r="J97" t="s">
        <v>336</v>
      </c>
      <c r="K97" t="s">
        <v>709</v>
      </c>
    </row>
    <row r="98" spans="2:58" x14ac:dyDescent="0.35">
      <c r="F98" t="str">
        <f t="shared" si="16"/>
        <v>"ENG": "Cash currency outside banks, $Bln"</v>
      </c>
      <c r="H98" t="s">
        <v>684</v>
      </c>
      <c r="I98" t="s">
        <v>685</v>
      </c>
      <c r="J98" t="s">
        <v>337</v>
      </c>
      <c r="K98" t="s">
        <v>710</v>
      </c>
    </row>
    <row r="100" spans="2:58" x14ac:dyDescent="0.35">
      <c r="B100" t="str">
        <f>CHAR(34)&amp;I100&amp;CHAR(34)&amp;": "&amp;C100</f>
        <v>"indexes": {"index_0": [2021, 2021, 2021, 2021, 2021, 2021, 2021, 2021, 2021, 2021, 2021, 2021, 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12, 1, 2, 3, 4, 5, 6, 7, 8, 9, 10, 11, 12]}</v>
      </c>
      <c r="C100" t="str">
        <f>"{"&amp;_xlfn.TEXTJOIN(", ",TRUE,E100:E101)&amp;"}"</f>
        <v>{"index_0": [2021, 2021, 2021, 2021, 2021, 2021, 2021, 2021, 2021, 2021, 2021, 2021, 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12, 1, 2, 3, 4, 5, 6, 7, 8, 9, 10, 11, 12]}</v>
      </c>
      <c r="E100" t="str">
        <f>CHAR(34)&amp;J100&amp;CHAR(34)&amp;": "&amp;F100</f>
        <v>"index_0": [2021, 2021, 2021, 2021, 2021, 2021, 2021, 2021, 2021, 2021, 2021, 2021, 2022, 2022, 2022, 2022, 2022, 2022, 2022, 2022, 2022, 2022, 2022, 2022, 2023, 2023, 2023, 2023, 2023, 2023, 2023, 2023, 2023, 2023, 2023, 2023, 2024, 2024, 2024, 2024, 2024, 2024, 2024, 2024, 2024, 2024, 2024, 2024]</v>
      </c>
      <c r="F100" s="1" t="str" cm="1">
        <f t="array" ref="F100">"["&amp;_xlfn.TEXTJOIN(", ",FALSE,SUBSTITUTE(K100:BF100,",","."))&amp;"]"</f>
        <v>[2021, 2021, 2021, 2021, 2021, 2021, 2021, 2021, 2021, 2021, 2021, 2021, 2022, 2022, 2022, 2022, 2022, 2022, 2022, 2022, 2022, 2022, 2022, 2022, 2023, 2023, 2023, 2023, 2023, 2023, 2023, 2023, 2023, 2023, 2023, 2023, 2024, 2024, 2024, 2024, 2024, 2024, 2024, 2024, 2024, 2024, 2024, 2024]</v>
      </c>
      <c r="H100" t="s">
        <v>684</v>
      </c>
      <c r="I100" t="s">
        <v>686</v>
      </c>
      <c r="J100" t="s">
        <v>687</v>
      </c>
      <c r="K100">
        <v>2021</v>
      </c>
      <c r="L100">
        <v>2021</v>
      </c>
      <c r="M100">
        <v>2021</v>
      </c>
      <c r="N100">
        <v>2021</v>
      </c>
      <c r="O100">
        <v>2021</v>
      </c>
      <c r="P100">
        <v>2021</v>
      </c>
      <c r="Q100">
        <v>2021</v>
      </c>
      <c r="R100">
        <v>2021</v>
      </c>
      <c r="S100">
        <v>2021</v>
      </c>
      <c r="T100">
        <v>2021</v>
      </c>
      <c r="U100">
        <v>2021</v>
      </c>
      <c r="V100">
        <v>2021</v>
      </c>
      <c r="W100">
        <f>K8</f>
        <v>2022</v>
      </c>
      <c r="X100">
        <f t="shared" ref="X100:AQ100" si="17">L8</f>
        <v>2022</v>
      </c>
      <c r="Y100">
        <f t="shared" si="17"/>
        <v>2022</v>
      </c>
      <c r="Z100">
        <f t="shared" si="17"/>
        <v>2022</v>
      </c>
      <c r="AA100">
        <f t="shared" si="17"/>
        <v>2022</v>
      </c>
      <c r="AB100">
        <f t="shared" si="17"/>
        <v>2022</v>
      </c>
      <c r="AC100">
        <f t="shared" si="17"/>
        <v>2022</v>
      </c>
      <c r="AD100">
        <f t="shared" si="17"/>
        <v>2022</v>
      </c>
      <c r="AE100">
        <f t="shared" si="17"/>
        <v>2022</v>
      </c>
      <c r="AF100">
        <f t="shared" si="17"/>
        <v>2022</v>
      </c>
      <c r="AG100">
        <f t="shared" si="17"/>
        <v>2022</v>
      </c>
      <c r="AH100">
        <f t="shared" si="17"/>
        <v>2022</v>
      </c>
      <c r="AI100">
        <f t="shared" si="17"/>
        <v>2023</v>
      </c>
      <c r="AJ100">
        <f t="shared" si="17"/>
        <v>2023</v>
      </c>
      <c r="AK100">
        <f t="shared" si="17"/>
        <v>2023</v>
      </c>
      <c r="AL100">
        <f t="shared" si="17"/>
        <v>2023</v>
      </c>
      <c r="AM100">
        <f t="shared" si="17"/>
        <v>2023</v>
      </c>
      <c r="AN100">
        <f t="shared" si="17"/>
        <v>2023</v>
      </c>
      <c r="AO100">
        <f t="shared" si="17"/>
        <v>2023</v>
      </c>
      <c r="AP100">
        <f t="shared" si="17"/>
        <v>2023</v>
      </c>
      <c r="AQ100">
        <f t="shared" si="17"/>
        <v>2023</v>
      </c>
      <c r="AR100">
        <f>AF8</f>
        <v>2023</v>
      </c>
      <c r="AS100">
        <f t="shared" ref="AS100:AU100" si="18">AG8</f>
        <v>2023</v>
      </c>
      <c r="AT100">
        <f t="shared" si="18"/>
        <v>2023</v>
      </c>
      <c r="AU100">
        <f t="shared" si="18"/>
        <v>2024</v>
      </c>
      <c r="AV100">
        <f>AJ8</f>
        <v>2024</v>
      </c>
      <c r="AW100">
        <f t="shared" ref="AW100:BD100" si="19">AK8</f>
        <v>2024</v>
      </c>
      <c r="AX100">
        <f t="shared" si="19"/>
        <v>2024</v>
      </c>
      <c r="AY100">
        <f t="shared" si="19"/>
        <v>2024</v>
      </c>
      <c r="AZ100">
        <f t="shared" si="19"/>
        <v>2024</v>
      </c>
      <c r="BA100">
        <f t="shared" si="19"/>
        <v>2024</v>
      </c>
      <c r="BB100">
        <f t="shared" si="19"/>
        <v>2024</v>
      </c>
      <c r="BC100">
        <f t="shared" si="19"/>
        <v>2024</v>
      </c>
      <c r="BD100">
        <f t="shared" si="19"/>
        <v>2024</v>
      </c>
      <c r="BE100">
        <f>AS8</f>
        <v>2024</v>
      </c>
      <c r="BF100">
        <f t="shared" ref="BF100" si="20">AT8</f>
        <v>2024</v>
      </c>
    </row>
    <row r="101" spans="2:58" x14ac:dyDescent="0.35">
      <c r="E101" t="str">
        <f>CHAR(34)&amp;J101&amp;CHAR(34)&amp;": "&amp;F101</f>
        <v>"index_1": [1, 2, 3, 4, 5, 6, 7, 8, 9, 10, 11, 12, 1, 2, 3, 4, 5, 6, 7, 8, 9, 10, 11, 12, 1, 2, 3, 4, 5, 6, 7, 8, 9, 10, 11, 12, 1, 2, 3, 4, 5, 6, 7, 8, 9, 10, 11, 12]</v>
      </c>
      <c r="F101" s="1" t="str" cm="1">
        <f t="array" ref="F101">"["&amp;_xlfn.TEXTJOIN(", ",FALSE,SUBSTITUTE(K101:BF101,",","."))&amp;"]"</f>
        <v>[1, 2, 3, 4, 5, 6, 7, 8, 9, 10, 11, 12, 1, 2, 3, 4, 5, 6, 7, 8, 9, 10, 11, 12, 1, 2, 3, 4, 5, 6, 7, 8, 9, 10, 11, 12, 1, 2, 3, 4, 5, 6, 7, 8, 9, 10, 11, 12]</v>
      </c>
      <c r="H101" t="s">
        <v>684</v>
      </c>
      <c r="I101" t="s">
        <v>686</v>
      </c>
      <c r="J101" t="s">
        <v>688</v>
      </c>
      <c r="K101">
        <v>1</v>
      </c>
      <c r="L101">
        <v>2</v>
      </c>
      <c r="M101">
        <v>3</v>
      </c>
      <c r="N101">
        <v>4</v>
      </c>
      <c r="O101">
        <v>5</v>
      </c>
      <c r="P101">
        <v>6</v>
      </c>
      <c r="Q101">
        <v>7</v>
      </c>
      <c r="R101">
        <v>8</v>
      </c>
      <c r="S101">
        <v>9</v>
      </c>
      <c r="T101">
        <v>10</v>
      </c>
      <c r="U101">
        <v>11</v>
      </c>
      <c r="V101">
        <v>12</v>
      </c>
      <c r="W101">
        <f>K9</f>
        <v>1</v>
      </c>
      <c r="X101">
        <f t="shared" ref="X101:AQ101" si="21">L9</f>
        <v>2</v>
      </c>
      <c r="Y101">
        <f t="shared" si="21"/>
        <v>3</v>
      </c>
      <c r="Z101">
        <f t="shared" si="21"/>
        <v>4</v>
      </c>
      <c r="AA101">
        <f t="shared" si="21"/>
        <v>5</v>
      </c>
      <c r="AB101">
        <f t="shared" si="21"/>
        <v>6</v>
      </c>
      <c r="AC101">
        <f t="shared" si="21"/>
        <v>7</v>
      </c>
      <c r="AD101">
        <f t="shared" si="21"/>
        <v>8</v>
      </c>
      <c r="AE101">
        <f t="shared" si="21"/>
        <v>9</v>
      </c>
      <c r="AF101">
        <f t="shared" si="21"/>
        <v>10</v>
      </c>
      <c r="AG101">
        <f t="shared" si="21"/>
        <v>11</v>
      </c>
      <c r="AH101">
        <f t="shared" si="21"/>
        <v>12</v>
      </c>
      <c r="AI101">
        <f t="shared" si="21"/>
        <v>1</v>
      </c>
      <c r="AJ101">
        <f t="shared" si="21"/>
        <v>2</v>
      </c>
      <c r="AK101">
        <f t="shared" si="21"/>
        <v>3</v>
      </c>
      <c r="AL101">
        <f t="shared" si="21"/>
        <v>4</v>
      </c>
      <c r="AM101">
        <f t="shared" si="21"/>
        <v>5</v>
      </c>
      <c r="AN101">
        <f t="shared" si="21"/>
        <v>6</v>
      </c>
      <c r="AO101">
        <f t="shared" si="21"/>
        <v>7</v>
      </c>
      <c r="AP101">
        <f t="shared" si="21"/>
        <v>8</v>
      </c>
      <c r="AQ101">
        <f t="shared" si="21"/>
        <v>9</v>
      </c>
      <c r="AR101">
        <f>AF9</f>
        <v>10</v>
      </c>
      <c r="AS101">
        <f t="shared" ref="AS101:AU101" si="22">AG9</f>
        <v>11</v>
      </c>
      <c r="AT101">
        <f t="shared" si="22"/>
        <v>12</v>
      </c>
      <c r="AU101">
        <f t="shared" si="22"/>
        <v>1</v>
      </c>
      <c r="AV101">
        <f>AJ9</f>
        <v>2</v>
      </c>
      <c r="AW101">
        <f t="shared" ref="AW101:BD101" si="23">AK9</f>
        <v>3</v>
      </c>
      <c r="AX101">
        <f t="shared" si="23"/>
        <v>4</v>
      </c>
      <c r="AY101">
        <f t="shared" si="23"/>
        <v>5</v>
      </c>
      <c r="AZ101">
        <f t="shared" si="23"/>
        <v>6</v>
      </c>
      <c r="BA101">
        <f t="shared" si="23"/>
        <v>7</v>
      </c>
      <c r="BB101">
        <f t="shared" si="23"/>
        <v>8</v>
      </c>
      <c r="BC101">
        <f t="shared" si="23"/>
        <v>9</v>
      </c>
      <c r="BD101">
        <f t="shared" si="23"/>
        <v>10</v>
      </c>
      <c r="BE101">
        <f>AS9</f>
        <v>11</v>
      </c>
      <c r="BF101">
        <f t="shared" ref="BF101" si="24">AT9</f>
        <v>12</v>
      </c>
    </row>
    <row r="102" spans="2:58" x14ac:dyDescent="0.35">
      <c r="F102" s="1"/>
    </row>
    <row r="103" spans="2:58" x14ac:dyDescent="0.35">
      <c r="B103" t="str">
        <f>CHAR(34)&amp;I103&amp;CHAR(34)&amp;": "&amp;C103</f>
        <v>"labels": {"label_1": [0.523, 0.57, 0.29, 0.169, 0.306, 0.196, 0.194, 0.647, 0.499, 0.536, 0.824, 0.367, 0.809, 0.943, 0.743, 0.868, 1.11, 0.768, 0.779, 0.774, 1.09, 0.876, 0.666, 0.861, 1.012, 1.044, 1.2, 1.04, 1.078, 0.751, 0.557, 0.655, 0.771, 1.09, 1.114, 1.2, 1.1, 1, 1.1, 0.9, 0.85, 0.85, 0.8, 0.7, 0.7, 0.75, 0.9, 0.9]}</v>
      </c>
      <c r="C103" t="str">
        <f>"{"&amp;_xlfn.TEXTJOIN(", ",TRUE,E103:E103)&amp;"}"</f>
        <v>{"label_1": [0.523, 0.57, 0.29, 0.169, 0.306, 0.196, 0.194, 0.647, 0.499, 0.536, 0.824, 0.367, 0.809, 0.943, 0.743, 0.868, 1.11, 0.768, 0.779, 0.774, 1.09, 0.876, 0.666, 0.861, 1.012, 1.044, 1.2, 1.04, 1.078, 0.751, 0.557, 0.655, 0.771, 1.09, 1.114, 1.2, 1.1, 1, 1.1, 0.9, 0.85, 0.85, 0.8, 0.7, 0.7, 0.75, 0.9, 0.9]}</v>
      </c>
      <c r="E103" t="str">
        <f>CHAR(34)&amp;J103&amp;CHAR(34)&amp;": "&amp;F103</f>
        <v>"label_1": [0.523, 0.57, 0.29, 0.169, 0.306, 0.196, 0.194, 0.647, 0.499, 0.536, 0.824, 0.367, 0.809, 0.943, 0.743, 0.868, 1.11, 0.768, 0.779, 0.774, 1.09, 0.876, 0.666, 0.861, 1.012, 1.044, 1.2, 1.04, 1.078, 0.751, 0.557, 0.655, 0.771, 1.09, 1.114, 1.2, 1.1, 1, 1.1, 0.9, 0.85, 0.85, 0.8, 0.7, 0.7, 0.75, 0.9, 0.9]</v>
      </c>
      <c r="F103" s="1" t="str" cm="1">
        <f t="array" ref="F103">"["&amp;_xlfn.TEXTJOIN(", ",FALSE,SUBSTITUTE(K103:BF103,",","."))&amp;"]"</f>
        <v>[0.523, 0.57, 0.29, 0.169, 0.306, 0.196, 0.194, 0.647, 0.499, 0.536, 0.824, 0.367, 0.809, 0.943, 0.743, 0.868, 1.11, 0.768, 0.779, 0.774, 1.09, 0.876, 0.666, 0.861, 1.012, 1.044, 1.2, 1.04, 1.078, 0.751, 0.557, 0.655, 0.771, 1.09, 1.114, 1.2, 1.1, 1, 1.1, 0.9, 0.85, 0.85, 0.8, 0.7, 0.7, 0.75, 0.9, 0.9]</v>
      </c>
      <c r="H103" t="s">
        <v>684</v>
      </c>
      <c r="I103" t="s">
        <v>689</v>
      </c>
      <c r="J103" t="s">
        <v>690</v>
      </c>
      <c r="K103" s="1397" cm="1">
        <f t="array" ref="K103:V103">'Готівкова валюта поза банками'!B3:M3</f>
        <v>0.52300000000000002</v>
      </c>
      <c r="L103">
        <v>0.56999999999999995</v>
      </c>
      <c r="M103">
        <v>0.28999999999999998</v>
      </c>
      <c r="N103">
        <v>0.16900000000000001</v>
      </c>
      <c r="O103">
        <v>0.30599999999999999</v>
      </c>
      <c r="P103">
        <v>0.19600000000000001</v>
      </c>
      <c r="Q103">
        <v>0.19400000000000001</v>
      </c>
      <c r="R103">
        <v>0.64700000000000002</v>
      </c>
      <c r="S103">
        <v>0.499</v>
      </c>
      <c r="T103">
        <v>0.53600000000000003</v>
      </c>
      <c r="U103">
        <v>0.82399999999999995</v>
      </c>
      <c r="V103">
        <v>0.36699999999999999</v>
      </c>
      <c r="W103" cm="1">
        <f t="array" ref="W103:AH103">'Готівкова валюта поза банками'!B4:M4</f>
        <v>0.80900000000000005</v>
      </c>
      <c r="X103">
        <v>0.94299999999999995</v>
      </c>
      <c r="Y103">
        <v>0.74299999999999999</v>
      </c>
      <c r="Z103">
        <v>0.86799999999999999</v>
      </c>
      <c r="AA103">
        <v>1.1100000000000001</v>
      </c>
      <c r="AB103">
        <v>0.76800000000000002</v>
      </c>
      <c r="AC103">
        <v>0.77900000000000003</v>
      </c>
      <c r="AD103">
        <v>0.77400000000000002</v>
      </c>
      <c r="AE103">
        <v>1.0900000000000001</v>
      </c>
      <c r="AF103">
        <v>0.876</v>
      </c>
      <c r="AG103">
        <v>0.66600000000000004</v>
      </c>
      <c r="AH103">
        <v>0.86099999999999999</v>
      </c>
      <c r="AI103" cm="1">
        <f t="array" ref="AI103:AT103">'Готівкова валюта поза банками'!B5:M5</f>
        <v>1.012</v>
      </c>
      <c r="AJ103">
        <v>1.044</v>
      </c>
      <c r="AK103">
        <v>1.2</v>
      </c>
      <c r="AL103">
        <v>1.04</v>
      </c>
      <c r="AM103">
        <v>1.0780000000000001</v>
      </c>
      <c r="AN103">
        <v>0.751</v>
      </c>
      <c r="AO103">
        <v>0.55700000000000005</v>
      </c>
      <c r="AP103">
        <v>0.65500000000000003</v>
      </c>
      <c r="AQ103">
        <v>0.77100000000000002</v>
      </c>
      <c r="AR103">
        <v>1.0900000000000001</v>
      </c>
      <c r="AS103">
        <v>1.1140000000000001</v>
      </c>
      <c r="AT103">
        <v>1.2</v>
      </c>
      <c r="AU103" cm="1">
        <f t="array" ref="AU103:BF103">'Готівкова валюта поза банками'!B6:M6</f>
        <v>1.1000000000000001</v>
      </c>
      <c r="AV103">
        <v>1</v>
      </c>
      <c r="AW103">
        <v>1.1000000000000001</v>
      </c>
      <c r="AX103">
        <v>0.9</v>
      </c>
      <c r="AY103">
        <v>0.85</v>
      </c>
      <c r="AZ103">
        <v>0.85</v>
      </c>
      <c r="BA103">
        <v>0.8</v>
      </c>
      <c r="BB103">
        <v>0.7</v>
      </c>
      <c r="BC103">
        <v>0.7</v>
      </c>
      <c r="BD103">
        <v>0.75</v>
      </c>
      <c r="BE103">
        <v>0.9</v>
      </c>
      <c r="BF103">
        <v>0.9</v>
      </c>
    </row>
    <row r="105" spans="2:58" x14ac:dyDescent="0.35">
      <c r="B105" t="str">
        <f>CHAR(34)&amp;I105&amp;CHAR(34)&amp;": "&amp;C105</f>
        <v>"label_names": {"UKR": {"label_1": "Готівкова валюта поза банками, $ млрд"}, "RU": {"label_1": "Наличная валюта вне банков, $ млрд"}, "ENG": {"label_1": "Cash currency outside banks, $Bln"}}</v>
      </c>
      <c r="C105" t="str">
        <f>"{"&amp;_xlfn.TEXTJOIN(", ",TRUE,D105:D107)&amp;"}"</f>
        <v>{"UKR": {"label_1": "Готівкова валюта поза банками, $ млрд"}, "RU": {"label_1": "Наличная валюта вне банков, $ млрд"}, "ENG": {"label_1": "Cash currency outside banks, $Bln"}}</v>
      </c>
      <c r="D105" t="str">
        <f>CHAR(34)&amp;J105&amp;CHAR(34)&amp;": "&amp;E105</f>
        <v>"UKR": {"label_1": "Готівкова валюта поза банками, $ млрд"}</v>
      </c>
      <c r="E105" t="str">
        <f>"{"&amp;_xlfn.TEXTJOIN(", ",TRUE,F105:F105)&amp;"}"</f>
        <v>{"label_1": "Готівкова валюта поза банками, $ млрд"}</v>
      </c>
      <c r="F105" t="str">
        <f>CHAR(34)&amp;K105&amp;CHAR(34)&amp;": "&amp;CHAR(34)&amp;L105&amp;CHAR(34)</f>
        <v>"label_1": "Готівкова валюта поза банками, $ млрд"</v>
      </c>
      <c r="H105" t="s">
        <v>684</v>
      </c>
      <c r="I105" t="s">
        <v>695</v>
      </c>
      <c r="J105" t="s">
        <v>334</v>
      </c>
      <c r="K105" t="s">
        <v>690</v>
      </c>
      <c r="L105" t="str">
        <f>K96</f>
        <v>Готівкова валюта поза банками, $ млрд</v>
      </c>
    </row>
    <row r="106" spans="2:58" x14ac:dyDescent="0.35">
      <c r="D106" t="str">
        <f>CHAR(34)&amp;J106&amp;CHAR(34)&amp;": "&amp;E106</f>
        <v>"RU": {"label_1": "Наличная валюта вне банков, $ млрд"}</v>
      </c>
      <c r="E106" t="str">
        <f>"{"&amp;_xlfn.TEXTJOIN(", ",TRUE,F106:F106)&amp;"}"</f>
        <v>{"label_1": "Наличная валюта вне банков, $ млрд"}</v>
      </c>
      <c r="F106" t="str">
        <f t="shared" ref="F106:F107" si="25">CHAR(34)&amp;K106&amp;CHAR(34)&amp;": "&amp;CHAR(34)&amp;L106&amp;CHAR(34)</f>
        <v>"label_1": "Наличная валюта вне банков, $ млрд"</v>
      </c>
      <c r="H106" t="s">
        <v>684</v>
      </c>
      <c r="I106" t="s">
        <v>695</v>
      </c>
      <c r="J106" t="s">
        <v>336</v>
      </c>
      <c r="K106" t="s">
        <v>690</v>
      </c>
      <c r="L106" t="str">
        <f>K97</f>
        <v>Наличная валюта вне банков, $ млрд</v>
      </c>
    </row>
    <row r="107" spans="2:58" x14ac:dyDescent="0.35">
      <c r="D107" t="str">
        <f>CHAR(34)&amp;J107&amp;CHAR(34)&amp;": "&amp;E107</f>
        <v>"ENG": {"label_1": "Cash currency outside banks, $Bln"}</v>
      </c>
      <c r="E107" t="str">
        <f>"{"&amp;_xlfn.TEXTJOIN(", ",TRUE,F107:F107)&amp;"}"</f>
        <v>{"label_1": "Cash currency outside banks, $Bln"}</v>
      </c>
      <c r="F107" t="str">
        <f t="shared" si="25"/>
        <v>"label_1": "Cash currency outside banks, $Bln"</v>
      </c>
      <c r="H107" t="s">
        <v>684</v>
      </c>
      <c r="I107" t="s">
        <v>695</v>
      </c>
      <c r="J107" t="s">
        <v>337</v>
      </c>
      <c r="K107" t="s">
        <v>690</v>
      </c>
      <c r="L107" t="str">
        <f>K98</f>
        <v>Cash currency outside banks, $Bln</v>
      </c>
    </row>
    <row r="109" spans="2:58" x14ac:dyDescent="0.35">
      <c r="B109" t="str">
        <f>CHAR(34)&amp;I109&amp;CHAR(34)&amp;": "&amp;C109</f>
        <v>"source": {"UKR": "Джерело: НБУ, розрахунки Ukraine Economic Outlook", "RU": "Источник: НБУ, расчеты Ukraine Economic Outlook", "ENG": "Source: NBU, Ukraine Economic Outlook calculations"}</v>
      </c>
      <c r="C109" t="str">
        <f>"{"&amp;_xlfn.TEXTJOIN(", ",TRUE,F109:F111)&amp;"}"</f>
        <v>{"UKR": "Джерело: НБУ, розрахунки Ukraine Economic Outlook", "RU": "Источник: НБУ, расчеты Ukraine Economic Outlook", "ENG": "Source: NBU, Ukraine Economic Outlook calculations"}</v>
      </c>
      <c r="F109" t="str">
        <f>CHAR(34)&amp;J109&amp;CHAR(34)&amp;": "&amp;CHAR(34)&amp;K109&amp;CHAR(34)</f>
        <v>"UKR": "Джерело: НБУ, розрахунки Ukraine Economic Outlook"</v>
      </c>
      <c r="H109" t="s">
        <v>684</v>
      </c>
      <c r="I109" t="s">
        <v>696</v>
      </c>
      <c r="J109" t="s">
        <v>334</v>
      </c>
      <c r="K109" t="str">
        <f>Чарти!H63</f>
        <v>Джерело: НБУ, розрахунки Ukraine Economic Outlook</v>
      </c>
    </row>
    <row r="110" spans="2:58" x14ac:dyDescent="0.35">
      <c r="F110" t="str">
        <f t="shared" ref="F110:F111" si="26">CHAR(34)&amp;J110&amp;CHAR(34)&amp;": "&amp;CHAR(34)&amp;K110&amp;CHAR(34)</f>
        <v>"RU": "Источник: НБУ, расчеты Ukraine Economic Outlook"</v>
      </c>
      <c r="H110" t="s">
        <v>684</v>
      </c>
      <c r="I110" t="s">
        <v>696</v>
      </c>
      <c r="J110" t="s">
        <v>336</v>
      </c>
      <c r="K110" t="str">
        <f>Чарти!H61</f>
        <v>Источник: НБУ, расчеты Ukraine Economic Outlook</v>
      </c>
    </row>
    <row r="111" spans="2:58" x14ac:dyDescent="0.35">
      <c r="F111" t="str">
        <f t="shared" si="26"/>
        <v>"ENG": "Source: NBU, Ukraine Economic Outlook calculations"</v>
      </c>
      <c r="H111" t="s">
        <v>684</v>
      </c>
      <c r="I111" t="s">
        <v>696</v>
      </c>
      <c r="J111" t="s">
        <v>337</v>
      </c>
      <c r="K111" t="str">
        <f>Чарти!H62</f>
        <v>Source: NBU, Ukraine Economic Outlook calculations</v>
      </c>
    </row>
    <row r="113" spans="1:13" x14ac:dyDescent="0.35">
      <c r="A113" s="1395"/>
      <c r="B113" s="1395"/>
      <c r="C113" s="1395"/>
      <c r="D113" s="1395"/>
      <c r="E113" s="1395"/>
      <c r="F113" s="1395"/>
      <c r="G113" s="1395"/>
    </row>
    <row r="114" spans="1:13" x14ac:dyDescent="0.35">
      <c r="A114" t="str">
        <f>"{"&amp;CHAR(34)&amp;H114&amp;CHAR(34)&amp;": "&amp;B114&amp;"}"</f>
        <v>{"Chart1": {"name": {"UKR": "Прогноз структури зовнішніх запозичень, $ млрд", "RU": "Прогноз структуры внешних заимствований, $ млрд", "ENG": "Forecast of external borrowing structure, $Bln"},"indexes": {"index_0": [2022, 2023, 2024]},"labels": {"label_1": [17.4486624349637, 31.4478192640068, 30.7], "label_2": [17.777, 11.583, 13], "label_3": [3.04676035, 4.4906, 4.1944428604]},"label_names": {"UKR": {"label_1": "Зовнішнє фінансування", "label_2": "Гранти", "label_3": "Валютні ОВДП"}, "RU": {"label_1": "Внешнее финансирование", "label_2": "Гранты", "label_3": "Валютные ОВГЗ"}, "ENG": {"label_1": "External financing", "label_2": "Grants", "label_3": "FC OVDP"}},"source": {"UKR": "Джерело: НБУ, розрахунки Ukraine Economic Outlook", "RU": "Источник: НБУ, расчеты Ukraine Economic Outlook", "ENG": "Source: NBU, Ukraine Economic Outlook calculations"}}}</v>
      </c>
      <c r="B114" t="str">
        <f>"{"&amp;_xlfn.TEXTJOIN(",",TRUE,B115:B137)&amp;"}"</f>
        <v>{"name": {"UKR": "Прогноз структури зовнішніх запозичень, $ млрд", "RU": "Прогноз структуры внешних заимствований, $ млрд", "ENG": "Forecast of external borrowing structure, $Bln"},"indexes": {"index_0": [2022, 2023, 2024]},"labels": {"label_1": [17.4486624349637, 31.4478192640068, 30.7], "label_2": [17.777, 11.583, 13], "label_3": [3.04676035, 4.4906, 4.1944428604]},"label_names": {"UKR": {"label_1": "Зовнішнє фінансування", "label_2": "Гранти", "label_3": "Валютні ОВДП"}, "RU": {"label_1": "Внешнее финансирование", "label_2": "Гранты", "label_3": "Валютные ОВГЗ"}, "ENG": {"label_1": "External financing", "label_2": "Grants", "label_3": "FC OVDP"}},"source": {"UKR": "Джерело: НБУ, розрахунки Ukraine Economic Outlook", "RU": "Источник: НБУ, расчеты Ukraine Economic Outlook", "ENG": "Source: NBU, Ukraine Economic Outlook calculations"}}</v>
      </c>
      <c r="H114" t="s">
        <v>684</v>
      </c>
    </row>
    <row r="115" spans="1:13" x14ac:dyDescent="0.35">
      <c r="B115" t="str">
        <f>CHAR(34)&amp;I115&amp;CHAR(34)&amp;": "&amp;C115</f>
        <v>"name": {"UKR": "Прогноз структури зовнішніх запозичень, $ млрд", "RU": "Прогноз структуры внешних заимствований, $ млрд", "ENG": "Forecast of external borrowing structure, $Bln"}</v>
      </c>
      <c r="C115" t="str">
        <f>"{"&amp;_xlfn.TEXTJOIN(", ",TRUE,F115:F117)&amp;"}"</f>
        <v>{"UKR": "Прогноз структури зовнішніх запозичень, $ млрд", "RU": "Прогноз структуры внешних заимствований, $ млрд", "ENG": "Forecast of external borrowing structure, $Bln"}</v>
      </c>
      <c r="F115" t="str">
        <f>CHAR(34)&amp;J115&amp;CHAR(34)&amp;": "&amp;CHAR(34)&amp;K115&amp;CHAR(34)</f>
        <v>"UKR": "Прогноз структури зовнішніх запозичень, $ млрд"</v>
      </c>
      <c r="H115" t="s">
        <v>684</v>
      </c>
      <c r="I115" t="s">
        <v>685</v>
      </c>
      <c r="J115" t="s">
        <v>334</v>
      </c>
      <c r="K115" t="s">
        <v>711</v>
      </c>
    </row>
    <row r="116" spans="1:13" x14ac:dyDescent="0.35">
      <c r="F116" t="str">
        <f t="shared" ref="F116:F117" si="27">CHAR(34)&amp;J116&amp;CHAR(34)&amp;": "&amp;CHAR(34)&amp;K116&amp;CHAR(34)</f>
        <v>"RU": "Прогноз структуры внешних заимствований, $ млрд"</v>
      </c>
      <c r="H116" t="s">
        <v>684</v>
      </c>
      <c r="I116" t="s">
        <v>685</v>
      </c>
      <c r="J116" t="s">
        <v>336</v>
      </c>
      <c r="K116" t="s">
        <v>712</v>
      </c>
    </row>
    <row r="117" spans="1:13" x14ac:dyDescent="0.35">
      <c r="F117" t="str">
        <f t="shared" si="27"/>
        <v>"ENG": "Forecast of external borrowing structure, $Bln"</v>
      </c>
      <c r="H117" t="s">
        <v>684</v>
      </c>
      <c r="I117" t="s">
        <v>685</v>
      </c>
      <c r="J117" t="s">
        <v>337</v>
      </c>
      <c r="K117" t="s">
        <v>713</v>
      </c>
    </row>
    <row r="119" spans="1:13" x14ac:dyDescent="0.35">
      <c r="B119" t="str">
        <f>CHAR(34)&amp;I119&amp;CHAR(34)&amp;": "&amp;C119</f>
        <v>"indexes": {"index_0": [2022, 2023, 2024]}</v>
      </c>
      <c r="C119" t="str">
        <f>"{"&amp;_xlfn.TEXTJOIN(", ",TRUE,E119:E119)&amp;"}"</f>
        <v>{"index_0": [2022, 2023, 2024]}</v>
      </c>
      <c r="E119" t="str">
        <f>CHAR(34)&amp;J119&amp;CHAR(34)&amp;": "&amp;F119</f>
        <v>"index_0": [2022, 2023, 2024]</v>
      </c>
      <c r="F119" s="1" t="str" cm="1">
        <f t="array" ref="F119">"["&amp;_xlfn.TEXTJOIN(", ",FALSE,SUBSTITUTE(K119:M119,",","."))&amp;"]"</f>
        <v>[2022, 2023, 2024]</v>
      </c>
      <c r="H119" t="s">
        <v>684</v>
      </c>
      <c r="I119" t="s">
        <v>686</v>
      </c>
      <c r="J119" t="s">
        <v>687</v>
      </c>
      <c r="K119">
        <v>2022</v>
      </c>
      <c r="L119">
        <v>2023</v>
      </c>
      <c r="M119">
        <v>2024</v>
      </c>
    </row>
    <row r="120" spans="1:13" x14ac:dyDescent="0.35">
      <c r="F120" s="1"/>
    </row>
    <row r="121" spans="1:13" x14ac:dyDescent="0.35">
      <c r="B121" t="str">
        <f>CHAR(34)&amp;I121&amp;CHAR(34)&amp;": "&amp;C121</f>
        <v>"labels": {"label_1": [17.4486624349637, 31.4478192640068, 30.7], "label_2": [17.777, 11.583, 13], "label_3": [3.04676035, 4.4906, 4.1944428604]}</v>
      </c>
      <c r="C121" t="str">
        <f>"{"&amp;_xlfn.TEXTJOIN(", ",TRUE,E121:E123)&amp;"}"</f>
        <v>{"label_1": [17.4486624349637, 31.4478192640068, 30.7], "label_2": [17.777, 11.583, 13], "label_3": [3.04676035, 4.4906, 4.1944428604]}</v>
      </c>
      <c r="E121" t="str">
        <f>CHAR(34)&amp;J121&amp;CHAR(34)&amp;": "&amp;F121</f>
        <v>"label_1": [17.4486624349637, 31.4478192640068, 30.7]</v>
      </c>
      <c r="F121" s="1" t="str" cm="1">
        <f t="array" ref="F121">"["&amp;_xlfn.TEXTJOIN(", ",FALSE,SUBSTITUTE(K121:M121,",","."))&amp;"]"</f>
        <v>[17.4486624349637, 31.4478192640068, 30.7]</v>
      </c>
      <c r="H121" t="s">
        <v>684</v>
      </c>
      <c r="I121" t="s">
        <v>689</v>
      </c>
      <c r="J121" t="s">
        <v>690</v>
      </c>
      <c r="K121" s="609">
        <f>'ПБ V-1 (fin min)'!BX54/1000</f>
        <v>17.448662434963719</v>
      </c>
      <c r="L121" s="609">
        <f>'ПБ V-1 (fin min)'!BW54/1000</f>
        <v>31.447819264006835</v>
      </c>
      <c r="M121" s="609">
        <f>'ПБ V-1 (fin min)'!BV54/1000</f>
        <v>30.699999999999996</v>
      </c>
    </row>
    <row r="122" spans="1:13" x14ac:dyDescent="0.35">
      <c r="E122" t="str">
        <f t="shared" ref="E122:E123" si="28">CHAR(34)&amp;J122&amp;CHAR(34)&amp;": "&amp;F122</f>
        <v>"label_2": [17.777, 11.583, 13]</v>
      </c>
      <c r="F122" s="1" t="str" cm="1">
        <f t="array" ref="F122">"["&amp;_xlfn.TEXTJOIN(", ",FALSE,SUBSTITUTE(K122:M122,",","."))&amp;"]"</f>
        <v>[17.777, 11.583, 13]</v>
      </c>
      <c r="H122" t="s">
        <v>684</v>
      </c>
      <c r="I122" t="s">
        <v>689</v>
      </c>
      <c r="J122" t="s">
        <v>691</v>
      </c>
      <c r="K122" s="609">
        <f>'ПБ V-1 (fin min)'!BX55/1000</f>
        <v>17.777000000000001</v>
      </c>
      <c r="L122" s="609">
        <f>'ПБ V-1 (fin min)'!BW55/1000</f>
        <v>11.583</v>
      </c>
      <c r="M122" s="609">
        <f>'ПБ V-1 (fin min)'!BV55/1000</f>
        <v>13</v>
      </c>
    </row>
    <row r="123" spans="1:13" x14ac:dyDescent="0.35">
      <c r="E123" t="str">
        <f t="shared" si="28"/>
        <v>"label_3": [3.04676035, 4.4906, 4.1944428604]</v>
      </c>
      <c r="F123" s="1" t="str" cm="1">
        <f t="array" ref="F123">"["&amp;_xlfn.TEXTJOIN(", ",FALSE,SUBSTITUTE(K123:M123,",","."))&amp;"]"</f>
        <v>[3.04676035, 4.4906, 4.1944428604]</v>
      </c>
      <c r="H123" t="s">
        <v>684</v>
      </c>
      <c r="I123" t="s">
        <v>689</v>
      </c>
      <c r="J123" t="s">
        <v>692</v>
      </c>
      <c r="K123" s="609">
        <f>'ПБ V-1 (fin min)'!BX53/1000</f>
        <v>3.0467603499999996</v>
      </c>
      <c r="L123" s="609">
        <f>'ПБ V-1 (fin min)'!BW53/1000</f>
        <v>4.4906000000000006</v>
      </c>
      <c r="M123" s="609">
        <f>'ПБ V-1 (fin min)'!BV53/1000</f>
        <v>4.1944428604000006</v>
      </c>
    </row>
    <row r="124" spans="1:13" x14ac:dyDescent="0.35">
      <c r="K124" s="1"/>
      <c r="L124" s="1"/>
      <c r="M124" s="1"/>
    </row>
    <row r="125" spans="1:13" x14ac:dyDescent="0.35">
      <c r="B125" t="str">
        <f>CHAR(34)&amp;I125&amp;CHAR(34)&amp;": "&amp;C125</f>
        <v>"label_names": {"UKR": {"label_1": "Зовнішнє фінансування", "label_2": "Гранти", "label_3": "Валютні ОВДП"}, "RU": {"label_1": "Внешнее финансирование", "label_2": "Гранты", "label_3": "Валютные ОВГЗ"}, "ENG": {"label_1": "External financing", "label_2": "Grants", "label_3": "FC OVDP"}}</v>
      </c>
      <c r="C125" t="str">
        <f>"{"&amp;_xlfn.TEXTJOIN(", ",TRUE,D125:D133)&amp;"}"</f>
        <v>{"UKR": {"label_1": "Зовнішнє фінансування", "label_2": "Гранти", "label_3": "Валютні ОВДП"}, "RU": {"label_1": "Внешнее финансирование", "label_2": "Гранты", "label_3": "Валютные ОВГЗ"}, "ENG": {"label_1": "External financing", "label_2": "Grants", "label_3": "FC OVDP"}}</v>
      </c>
      <c r="D125" t="str">
        <f>CHAR(34)&amp;J125&amp;CHAR(34)&amp;": "&amp;E125</f>
        <v>"UKR": {"label_1": "Зовнішнє фінансування", "label_2": "Гранти", "label_3": "Валютні ОВДП"}</v>
      </c>
      <c r="E125" t="str">
        <f>"{"&amp;_xlfn.TEXTJOIN(", ",TRUE,F125:F127)&amp;"}"</f>
        <v>{"label_1": "Зовнішнє фінансування", "label_2": "Гранти", "label_3": "Валютні ОВДП"}</v>
      </c>
      <c r="F125" t="str">
        <f>CHAR(34)&amp;K125&amp;CHAR(34)&amp;": "&amp;CHAR(34)&amp;L125&amp;CHAR(34)</f>
        <v>"label_1": "Зовнішнє фінансування"</v>
      </c>
      <c r="H125" t="s">
        <v>684</v>
      </c>
      <c r="I125" t="s">
        <v>695</v>
      </c>
      <c r="J125" t="s">
        <v>334</v>
      </c>
      <c r="K125" t="s">
        <v>690</v>
      </c>
      <c r="L125" t="str">
        <f>'залучення кругові'!J3</f>
        <v>Зовнішнє фінансування</v>
      </c>
    </row>
    <row r="126" spans="1:13" x14ac:dyDescent="0.35">
      <c r="F126" t="str">
        <f t="shared" ref="F126:F133" si="29">CHAR(34)&amp;K126&amp;CHAR(34)&amp;": "&amp;CHAR(34)&amp;L126&amp;CHAR(34)</f>
        <v>"label_2": "Гранти"</v>
      </c>
      <c r="H126" t="s">
        <v>684</v>
      </c>
      <c r="I126" t="s">
        <v>695</v>
      </c>
      <c r="J126" t="s">
        <v>334</v>
      </c>
      <c r="K126" t="s">
        <v>691</v>
      </c>
      <c r="L126" t="str">
        <f>'залучення кругові'!J4</f>
        <v>Гранти</v>
      </c>
    </row>
    <row r="127" spans="1:13" x14ac:dyDescent="0.35">
      <c r="F127" t="str">
        <f t="shared" si="29"/>
        <v>"label_3": "Валютні ОВДП"</v>
      </c>
      <c r="H127" t="s">
        <v>684</v>
      </c>
      <c r="I127" t="s">
        <v>695</v>
      </c>
      <c r="J127" t="s">
        <v>334</v>
      </c>
      <c r="K127" t="s">
        <v>692</v>
      </c>
      <c r="L127" t="str">
        <f>'залучення кругові'!J5</f>
        <v>Валютні ОВДП</v>
      </c>
    </row>
    <row r="128" spans="1:13" x14ac:dyDescent="0.35">
      <c r="D128" t="str">
        <f>CHAR(34)&amp;J128&amp;CHAR(34)&amp;": "&amp;E128</f>
        <v>"RU": {"label_1": "Внешнее финансирование", "label_2": "Гранты", "label_3": "Валютные ОВГЗ"}</v>
      </c>
      <c r="E128" t="str">
        <f>"{"&amp;_xlfn.TEXTJOIN(", ",TRUE,F128:F130)&amp;"}"</f>
        <v>{"label_1": "Внешнее финансирование", "label_2": "Гранты", "label_3": "Валютные ОВГЗ"}</v>
      </c>
      <c r="F128" t="str">
        <f t="shared" si="29"/>
        <v>"label_1": "Внешнее финансирование"</v>
      </c>
      <c r="H128" t="s">
        <v>684</v>
      </c>
      <c r="I128" t="s">
        <v>695</v>
      </c>
      <c r="J128" t="s">
        <v>336</v>
      </c>
      <c r="K128" t="s">
        <v>690</v>
      </c>
      <c r="L128" t="str">
        <f>'залучення кругові'!H3</f>
        <v>Внешнее финансирование</v>
      </c>
    </row>
    <row r="129" spans="1:12" x14ac:dyDescent="0.35">
      <c r="F129" t="str">
        <f t="shared" si="29"/>
        <v>"label_2": "Гранты"</v>
      </c>
      <c r="H129" t="s">
        <v>684</v>
      </c>
      <c r="I129" t="s">
        <v>695</v>
      </c>
      <c r="J129" t="s">
        <v>336</v>
      </c>
      <c r="K129" t="s">
        <v>691</v>
      </c>
      <c r="L129" t="str">
        <f>'залучення кругові'!H4</f>
        <v>Гранты</v>
      </c>
    </row>
    <row r="130" spans="1:12" x14ac:dyDescent="0.35">
      <c r="F130" t="str">
        <f t="shared" si="29"/>
        <v>"label_3": "Валютные ОВГЗ"</v>
      </c>
      <c r="H130" t="s">
        <v>684</v>
      </c>
      <c r="I130" t="s">
        <v>695</v>
      </c>
      <c r="J130" t="s">
        <v>336</v>
      </c>
      <c r="K130" t="s">
        <v>692</v>
      </c>
      <c r="L130" t="str">
        <f>'залучення кругові'!H5</f>
        <v>Валютные ОВГЗ</v>
      </c>
    </row>
    <row r="131" spans="1:12" x14ac:dyDescent="0.35">
      <c r="D131" t="str">
        <f>CHAR(34)&amp;J131&amp;CHAR(34)&amp;": "&amp;E131</f>
        <v>"ENG": {"label_1": "External financing", "label_2": "Grants", "label_3": "FC OVDP"}</v>
      </c>
      <c r="E131" t="str">
        <f>"{"&amp;_xlfn.TEXTJOIN(", ",TRUE,F131:F133)&amp;"}"</f>
        <v>{"label_1": "External financing", "label_2": "Grants", "label_3": "FC OVDP"}</v>
      </c>
      <c r="F131" t="str">
        <f t="shared" si="29"/>
        <v>"label_1": "External financing"</v>
      </c>
      <c r="H131" t="s">
        <v>684</v>
      </c>
      <c r="I131" t="s">
        <v>695</v>
      </c>
      <c r="J131" t="s">
        <v>337</v>
      </c>
      <c r="K131" t="s">
        <v>690</v>
      </c>
      <c r="L131" t="str">
        <f>'залучення кругові'!I3</f>
        <v>External financing</v>
      </c>
    </row>
    <row r="132" spans="1:12" x14ac:dyDescent="0.35">
      <c r="F132" t="str">
        <f t="shared" si="29"/>
        <v>"label_2": "Grants"</v>
      </c>
      <c r="H132" t="s">
        <v>684</v>
      </c>
      <c r="I132" t="s">
        <v>695</v>
      </c>
      <c r="J132" t="s">
        <v>337</v>
      </c>
      <c r="K132" t="s">
        <v>691</v>
      </c>
      <c r="L132" t="str">
        <f>'залучення кругові'!I4</f>
        <v>Grants</v>
      </c>
    </row>
    <row r="133" spans="1:12" x14ac:dyDescent="0.35">
      <c r="F133" t="str">
        <f t="shared" si="29"/>
        <v>"label_3": "FC OVDP"</v>
      </c>
      <c r="H133" t="s">
        <v>684</v>
      </c>
      <c r="I133" t="s">
        <v>695</v>
      </c>
      <c r="J133" t="s">
        <v>337</v>
      </c>
      <c r="K133" t="s">
        <v>692</v>
      </c>
      <c r="L133" t="str">
        <f>'залучення кругові'!I5</f>
        <v>FC OVDP</v>
      </c>
    </row>
    <row r="135" spans="1:12" x14ac:dyDescent="0.35">
      <c r="B135" t="str">
        <f>CHAR(34)&amp;I135&amp;CHAR(34)&amp;": "&amp;C135</f>
        <v>"source": {"UKR": "Джерело: НБУ, розрахунки Ukraine Economic Outlook", "RU": "Источник: НБУ, расчеты Ukraine Economic Outlook", "ENG": "Source: NBU, Ukraine Economic Outlook calculations"}</v>
      </c>
      <c r="C135" t="str">
        <f>"{"&amp;_xlfn.TEXTJOIN(", ",TRUE,F135:F137)&amp;"}"</f>
        <v>{"UKR": "Джерело: НБУ, розрахунки Ukraine Economic Outlook", "RU": "Источник: НБУ, расчеты Ukraine Economic Outlook", "ENG": "Source: NBU, Ukraine Economic Outlook calculations"}</v>
      </c>
      <c r="F135" t="str">
        <f>CHAR(34)&amp;J135&amp;CHAR(34)&amp;": "&amp;CHAR(34)&amp;K135&amp;CHAR(34)</f>
        <v>"UKR": "Джерело: НБУ, розрахунки Ukraine Economic Outlook"</v>
      </c>
      <c r="H135" t="s">
        <v>684</v>
      </c>
      <c r="I135" t="s">
        <v>696</v>
      </c>
      <c r="J135" t="s">
        <v>334</v>
      </c>
      <c r="K135" t="str">
        <f>Чарти!H79</f>
        <v>Джерело: НБУ, розрахунки Ukraine Economic Outlook</v>
      </c>
    </row>
    <row r="136" spans="1:12" x14ac:dyDescent="0.35">
      <c r="F136" t="str">
        <f t="shared" ref="F136:F137" si="30">CHAR(34)&amp;J136&amp;CHAR(34)&amp;": "&amp;CHAR(34)&amp;K136&amp;CHAR(34)</f>
        <v>"RU": "Источник: НБУ, расчеты Ukraine Economic Outlook"</v>
      </c>
      <c r="H136" t="s">
        <v>684</v>
      </c>
      <c r="I136" t="s">
        <v>696</v>
      </c>
      <c r="J136" t="s">
        <v>336</v>
      </c>
      <c r="K136" t="str">
        <f>Чарти!H77</f>
        <v>Источник: НБУ, расчеты Ukraine Economic Outlook</v>
      </c>
    </row>
    <row r="137" spans="1:12" x14ac:dyDescent="0.35">
      <c r="F137" t="str">
        <f t="shared" si="30"/>
        <v>"ENG": "Source: NBU, Ukraine Economic Outlook calculations"</v>
      </c>
      <c r="H137" t="s">
        <v>684</v>
      </c>
      <c r="I137" t="s">
        <v>696</v>
      </c>
      <c r="J137" t="s">
        <v>337</v>
      </c>
      <c r="K137" t="str">
        <f>Чарти!H78</f>
        <v>Source: NBU, Ukraine Economic Outlook calculations</v>
      </c>
    </row>
    <row r="139" spans="1:12" x14ac:dyDescent="0.35">
      <c r="A139" s="1395"/>
      <c r="B139" s="1395"/>
      <c r="C139" s="1395"/>
      <c r="D139" s="1395"/>
      <c r="E139" s="1395"/>
      <c r="F139" s="1395"/>
      <c r="G139" s="1395"/>
    </row>
    <row r="140" spans="1:12" x14ac:dyDescent="0.35">
      <c r="A140" t="str">
        <f>"{"&amp;CHAR(34)&amp;H140&amp;CHAR(34)&amp;": "&amp;B140&amp;"}"</f>
        <v>{"Chart1": {"name": {"UKR": "Платіжний баланс України на, $ млрд", "RU": "Платежный баланс Украины, $ млрд", "ENG": "Ukraine’s balance of payments, $Bln"},"indexes":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12]},"labels": {"label_1": [-1358.54, -1534.1, 554.59, -1162.45, -1843, -2300, -415, 3052, -1507, 1314, 2709, 539, 1434.21, -1058.57, 3017.09, 4065.79, 1368.91, 1705.12, 2711, -1332.35000000001, -682.419999999998, -735.580000000002, -191.149999999994, 1711.82999999999, -31.8403385106576, -360.463923166397, 600.155023380983, 469.62927834814, 423.630008780696, 1758.46961961827, 979.652586556964, 1657.83268313199, 2072.95001508866, 1211.46313988423, 1355.28281056541, 2798.64237221739], "label_2": [-1762, -1658, 679, -867, -1921, -2220, -299, 3105, -1375, 1251, 2437, 362, 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2708.96067029323], "label_3": [609, 21, 1387, 1203, -203, -198, 1406, 1948, 1688, -537, 375, 273, -1135, -705, -11, 131, -226, -162, -998, -2391, -1030, -912, -1513, -2061.906470489, -968.905967458695, -1031.2846644641, -1141.85436994723, -635.272434728705, -949.282532985395, -1037.94113305301, -1275.21053132952, -408.970789849093, -699.924393748072, -399.595369172996, -261.902832542054, -415.989666488097], "label_4": [1886, 1104, 3349, 2864, 2677, 3762, 1532, 282, 2897, 2115, 454, 1284, 1052, 396, -55, 254, 129, 692, -370, 280, 361, 1402, 724, 1687.17360691116, 1042.66938442102, 946.656195243838, 1312.21881600363, 395.079032312624, 690.063977589016, 405.534277835076, 123.076133940455, -532.727296466898, -50.3231205868139, -156.04013729351, 111.747246161276, 195.826190176773], "label_5": [-501, -616, 2640, 791, 956, 1730, -196, 1424, -172, 3900, 2502, 1325, 3383, 219, 2709, 4122, 1879, 2534, 3194, 1367, 776, 1458, 1873, 4895.56912985047, 1778.57747818109, 1301.50103238893, 2690.63907255494, 1389.37226294649, 1921.91828473547, 3070.68035087104, 2248.93400947254, 1481.17309275416, 2630.98031550094, 1383.74970107884, 1651.15947624266, 3320.7765269581], "label_6": [27.9812709677419, 28.4136642857143, 29.2549, 29.2549, 29.2549, 29.2549, 31.8500838709678, 36.5686, 36.5686, 36.5686, 36.5686, 36.5686, 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41.4026148261922], "label_7": [27.9812709677419, 28.4136642857143, 29.2549, 29.2549, 29.2549, 29.2549, 31.8500838709678, 36.5686, 36.5686, 36.5686, 36.5686, 36.5686, 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41.4026148261922]},"label_names": {"UKR": {"label_1": "Динаміка резервів, $ млрд", "label_2": "Загальний приток валюти, $ млрд", "label_3": "Рахунок поточних операцій, $ млрд", "label_4": "Сальдо інвестицій приватного сектору, $ млрд", "label_5": "Чисті державні залучення, $ млрд", "label_6": "Обмінний курс", "label_7": "Обмінний курс"}, "RU": {"label_1": "Динамика резервов, $ млрд", "label_2": "Общий приток валюты, $ млрд", "label_3": "Счет текущих операций, $ млрд", "label_4": "Сальдо инвестиций частного сектора, $ млрд", "label_5": "Чистые государственные привлечения, $ млрд", "label_6": "Обменный курс", "label_7": "Обменный курс"}, "ENG": {"label_1": "Reserves trend, $Bln", "label_2": "Total payment account balance, $Bln", "label_3": "Current operations account, $Bln", "label_4": "Balance of private sector investments, $Bln", "label_5": "Purely state attracted funds, $Bln", "label_6": "Exchange rate", "label_7": "Exchange rate"}},"source": {"UKR": "Джерело: НБУ, розрахунки Ukraine Economic Outlook", "RU": "Источник: НБУ, расчеты Ukraine Economic Outlook", "ENG": "Source: NBU, Ukraine Economic Outlook calculations"}}}</v>
      </c>
      <c r="B140" t="str">
        <f>"{"&amp;_xlfn.TEXTJOIN(",",TRUE,B141:B180)&amp;"}"</f>
        <v>{"name": {"UKR": "Платіжний баланс України на, $ млрд", "RU": "Платежный баланс Украины, $ млрд", "ENG": "Ukraine’s balance of payments, $Bln"},"indexes":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12]},"labels": {"label_1": [-1358.54, -1534.1, 554.59, -1162.45, -1843, -2300, -415, 3052, -1507, 1314, 2709, 539, 1434.21, -1058.57, 3017.09, 4065.79, 1368.91, 1705.12, 2711, -1332.35000000001, -682.419999999998, -735.580000000002, -191.149999999994, 1711.82999999999, -31.8403385106576, -360.463923166397, 600.155023380983, 469.62927834814, 423.630008780696, 1758.46961961827, 979.652586556964, 1657.83268313199, 2072.95001508866, 1211.46313988423, 1355.28281056541, 2798.64237221739], "label_2": [-1762, -1658, 679, -867, -1921, -2220, -299, 3105, -1375, 1251, 2437, 362, 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2708.96067029323], "label_3": [609, 21, 1387, 1203, -203, -198, 1406, 1948, 1688, -537, 375, 273, -1135, -705, -11, 131, -226, -162, -998, -2391, -1030, -912, -1513, -2061.906470489, -968.905967458695, -1031.2846644641, -1141.85436994723, -635.272434728705, -949.282532985395, -1037.94113305301, -1275.21053132952, -408.970789849093, -699.924393748072, -399.595369172996, -261.902832542054, -415.989666488097], "label_4": [1886, 1104, 3349, 2864, 2677, 3762, 1532, 282, 2897, 2115, 454, 1284, 1052, 396, -55, 254, 129, 692, -370, 280, 361, 1402, 724, 1687.17360691116, 1042.66938442102, 946.656195243838, 1312.21881600363, 395.079032312624, 690.063977589016, 405.534277835076, 123.076133940455, -532.727296466898, -50.3231205868139, -156.04013729351, 111.747246161276, 195.826190176773], "label_5": [-501, -616, 2640, 791, 956, 1730, -196, 1424, -172, 3900, 2502, 1325, 3383, 219, 2709, 4122, 1879, 2534, 3194, 1367, 776, 1458, 1873, 4895.56912985047, 1778.57747818109, 1301.50103238893, 2690.63907255494, 1389.37226294649, 1921.91828473547, 3070.68035087104, 2248.93400947254, 1481.17309275416, 2630.98031550094, 1383.74970107884, 1651.15947624266, 3320.7765269581], "label_6": [27.9812709677419, 28.4136642857143, 29.2549, 29.2549, 29.2549, 29.2549, 31.8500838709678, 36.5686, 36.5686, 36.5686, 36.5686, 36.5686, 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41.4026148261922], "label_7": [27.9812709677419, 28.4136642857143, 29.2549, 29.2549, 29.2549, 29.2549, 31.8500838709678, 36.5686, 36.5686, 36.5686, 36.5686, 36.5686, 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41.4026148261922]},"label_names": {"UKR": {"label_1": "Динаміка резервів, $ млрд", "label_2": "Загальний приток валюти, $ млрд", "label_3": "Рахунок поточних операцій, $ млрд", "label_4": "Сальдо інвестицій приватного сектору, $ млрд", "label_5": "Чисті державні залучення, $ млрд", "label_6": "Обмінний курс", "label_7": "Обмінний курс"}, "RU": {"label_1": "Динамика резервов, $ млрд", "label_2": "Общий приток валюты, $ млрд", "label_3": "Счет текущих операций, $ млрд", "label_4": "Сальдо инвестиций частного сектора, $ млрд", "label_5": "Чистые государственные привлечения, $ млрд", "label_6": "Обменный курс", "label_7": "Обменный курс"}, "ENG": {"label_1": "Reserves trend, $Bln", "label_2": "Total payment account balance, $Bln", "label_3": "Current operations account, $Bln", "label_4": "Balance of private sector investments, $Bln", "label_5": "Purely state attracted funds, $Bln", "label_6": "Exchange rate", "label_7": "Exchange rate"}},"source": {"UKR": "Джерело: НБУ, розрахунки Ukraine Economic Outlook", "RU": "Источник: НБУ, расчеты Ukraine Economic Outlook", "ENG": "Source: NBU, Ukraine Economic Outlook calculations"}}</v>
      </c>
      <c r="H140" t="s">
        <v>684</v>
      </c>
    </row>
    <row r="141" spans="1:12" x14ac:dyDescent="0.35">
      <c r="B141" t="str">
        <f>CHAR(34)&amp;I141&amp;CHAR(34)&amp;": "&amp;C141</f>
        <v>"name": {"UKR": "Платіжний баланс України на, $ млрд", "RU": "Платежный баланс Украины, $ млрд", "ENG": "Ukraine’s balance of payments, $Bln"}</v>
      </c>
      <c r="C141" t="str">
        <f>"{"&amp;_xlfn.TEXTJOIN(", ",TRUE,F141:F143)&amp;"}"</f>
        <v>{"UKR": "Платіжний баланс України на, $ млрд", "RU": "Платежный баланс Украины, $ млрд", "ENG": "Ukraine’s balance of payments, $Bln"}</v>
      </c>
      <c r="F141" t="str">
        <f>CHAR(34)&amp;J141&amp;CHAR(34)&amp;": "&amp;CHAR(34)&amp;K141&amp;CHAR(34)</f>
        <v>"UKR": "Платіжний баланс України на, $ млрд"</v>
      </c>
      <c r="H141" t="s">
        <v>684</v>
      </c>
      <c r="I141" t="s">
        <v>685</v>
      </c>
      <c r="J141" t="s">
        <v>334</v>
      </c>
      <c r="K141" t="s">
        <v>718</v>
      </c>
    </row>
    <row r="142" spans="1:12" x14ac:dyDescent="0.35">
      <c r="F142" t="str">
        <f t="shared" ref="F142:F143" si="31">CHAR(34)&amp;J142&amp;CHAR(34)&amp;": "&amp;CHAR(34)&amp;K142&amp;CHAR(34)</f>
        <v>"RU": "Платежный баланс Украины, $ млрд"</v>
      </c>
      <c r="H142" t="s">
        <v>684</v>
      </c>
      <c r="I142" t="s">
        <v>685</v>
      </c>
      <c r="J142" t="s">
        <v>336</v>
      </c>
      <c r="K142" t="s">
        <v>716</v>
      </c>
    </row>
    <row r="143" spans="1:12" x14ac:dyDescent="0.35">
      <c r="F143" t="str">
        <f t="shared" si="31"/>
        <v>"ENG": "Ukraine’s balance of payments, $Bln"</v>
      </c>
      <c r="H143" t="s">
        <v>684</v>
      </c>
      <c r="I143" t="s">
        <v>685</v>
      </c>
      <c r="J143" t="s">
        <v>337</v>
      </c>
      <c r="K143" t="s">
        <v>717</v>
      </c>
    </row>
    <row r="145" spans="2:46" x14ac:dyDescent="0.35">
      <c r="B145" t="str">
        <f>CHAR(34)&amp;I145&amp;CHAR(34)&amp;": "&amp;C145</f>
        <v>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</v>
      </c>
      <c r="C145" t="str">
        <f>"{"&amp;_xlfn.TEXTJOIN(", ",TRUE,E145:E146)&amp;"}"</f>
        <v>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</v>
      </c>
      <c r="E145" t="str">
        <f>CHAR(34)&amp;J145&amp;CHAR(34)&amp;": "&amp;F145</f>
        <v>"index_0": [2022, 2022, 2022, 2022, 2022, 2022, 2022, 2022, 2022, 2022, 2022, 2022, 2023, 2023, 2023, 2023, 2023, 2023, 2023, 2023, 2023, 2023, 2023, 2023, 2024, 2024, 2024, 2024, 2024, 2024, 2024, 2024, 2024, 2024, 2024, 2024]</v>
      </c>
      <c r="F145" s="1" t="str" cm="1">
        <f t="array" ref="F145">"["&amp;_xlfn.TEXTJOIN(", ",FALSE,SUBSTITUTE(K145:AT145,",","."))&amp;"]"</f>
        <v>[2022, 2022, 2022, 2022, 2022, 2022, 2022, 2022, 2022, 2022, 2022, 2022, 2023, 2023, 2023, 2023, 2023, 2023, 2023, 2023, 2023, 2023, 2023, 2023, 2024, 2024, 2024, 2024, 2024, 2024, 2024, 2024, 2024, 2024, 2024, 2024]</v>
      </c>
      <c r="H145" t="s">
        <v>684</v>
      </c>
      <c r="I145" t="s">
        <v>686</v>
      </c>
      <c r="J145" t="s">
        <v>687</v>
      </c>
      <c r="K145">
        <f>K8</f>
        <v>2022</v>
      </c>
      <c r="L145">
        <f t="shared" ref="L145:Z145" si="32">L8</f>
        <v>2022</v>
      </c>
      <c r="M145">
        <f t="shared" si="32"/>
        <v>2022</v>
      </c>
      <c r="N145">
        <f t="shared" si="32"/>
        <v>2022</v>
      </c>
      <c r="O145">
        <f t="shared" si="32"/>
        <v>2022</v>
      </c>
      <c r="P145">
        <f t="shared" si="32"/>
        <v>2022</v>
      </c>
      <c r="Q145">
        <f t="shared" si="32"/>
        <v>2022</v>
      </c>
      <c r="R145">
        <f t="shared" si="32"/>
        <v>2022</v>
      </c>
      <c r="S145">
        <f t="shared" si="32"/>
        <v>2022</v>
      </c>
      <c r="T145">
        <f t="shared" si="32"/>
        <v>2022</v>
      </c>
      <c r="U145">
        <f t="shared" si="32"/>
        <v>2022</v>
      </c>
      <c r="V145">
        <f t="shared" si="32"/>
        <v>2022</v>
      </c>
      <c r="W145">
        <f t="shared" si="32"/>
        <v>2023</v>
      </c>
      <c r="X145">
        <f t="shared" si="32"/>
        <v>2023</v>
      </c>
      <c r="Y145">
        <f t="shared" si="32"/>
        <v>2023</v>
      </c>
      <c r="Z145">
        <f t="shared" si="32"/>
        <v>2023</v>
      </c>
      <c r="AA145">
        <f>AA8</f>
        <v>2023</v>
      </c>
      <c r="AB145">
        <f t="shared" ref="AB145:AL145" si="33">AB8</f>
        <v>2023</v>
      </c>
      <c r="AC145">
        <f t="shared" si="33"/>
        <v>2023</v>
      </c>
      <c r="AD145">
        <f t="shared" si="33"/>
        <v>2023</v>
      </c>
      <c r="AE145">
        <f t="shared" si="33"/>
        <v>2023</v>
      </c>
      <c r="AF145">
        <f t="shared" si="33"/>
        <v>2023</v>
      </c>
      <c r="AG145">
        <f t="shared" si="33"/>
        <v>2023</v>
      </c>
      <c r="AH145">
        <f t="shared" si="33"/>
        <v>2023</v>
      </c>
      <c r="AI145">
        <f t="shared" si="33"/>
        <v>2024</v>
      </c>
      <c r="AJ145">
        <f t="shared" si="33"/>
        <v>2024</v>
      </c>
      <c r="AK145">
        <f t="shared" si="33"/>
        <v>2024</v>
      </c>
      <c r="AL145">
        <f t="shared" si="33"/>
        <v>2024</v>
      </c>
      <c r="AM145">
        <f>AM8</f>
        <v>2024</v>
      </c>
      <c r="AN145">
        <f t="shared" ref="AN145:AQ145" si="34">AN8</f>
        <v>2024</v>
      </c>
      <c r="AO145">
        <f t="shared" si="34"/>
        <v>2024</v>
      </c>
      <c r="AP145">
        <f t="shared" si="34"/>
        <v>2024</v>
      </c>
      <c r="AQ145">
        <f t="shared" si="34"/>
        <v>2024</v>
      </c>
      <c r="AR145">
        <f>AR8</f>
        <v>2024</v>
      </c>
      <c r="AS145">
        <f t="shared" ref="AS145:AT145" si="35">AS8</f>
        <v>2024</v>
      </c>
      <c r="AT145">
        <f t="shared" si="35"/>
        <v>2024</v>
      </c>
    </row>
    <row r="146" spans="2:46" x14ac:dyDescent="0.35">
      <c r="E146" t="str">
        <f>CHAR(34)&amp;J146&amp;CHAR(34)&amp;": "&amp;F146</f>
        <v>"index_1": [1, 2, 3, 4, 5, 6, 7, 8, 9, 10, 11, 12, 1, 2, 3, 4, 5, 6, 7, 8, 9, 10, 11, 12, 1, 2, 3, 4, 5, 6, 7, 8, 9, 10, 11, 12]</v>
      </c>
      <c r="F146" s="1" t="str" cm="1">
        <f t="array" ref="F146">"["&amp;_xlfn.TEXTJOIN(", ",FALSE,SUBSTITUTE(K146:AT146,",","."))&amp;"]"</f>
        <v>[1, 2, 3, 4, 5, 6, 7, 8, 9, 10, 11, 12, 1, 2, 3, 4, 5, 6, 7, 8, 9, 10, 11, 12, 1, 2, 3, 4, 5, 6, 7, 8, 9, 10, 11, 12]</v>
      </c>
      <c r="H146" t="s">
        <v>684</v>
      </c>
      <c r="I146" t="s">
        <v>686</v>
      </c>
      <c r="J146" t="s">
        <v>688</v>
      </c>
      <c r="K146">
        <f>K9</f>
        <v>1</v>
      </c>
      <c r="L146">
        <f t="shared" ref="L146:Z146" si="36">L9</f>
        <v>2</v>
      </c>
      <c r="M146">
        <f t="shared" si="36"/>
        <v>3</v>
      </c>
      <c r="N146">
        <f t="shared" si="36"/>
        <v>4</v>
      </c>
      <c r="O146">
        <f t="shared" si="36"/>
        <v>5</v>
      </c>
      <c r="P146">
        <f t="shared" si="36"/>
        <v>6</v>
      </c>
      <c r="Q146">
        <f t="shared" si="36"/>
        <v>7</v>
      </c>
      <c r="R146">
        <f t="shared" si="36"/>
        <v>8</v>
      </c>
      <c r="S146">
        <f t="shared" si="36"/>
        <v>9</v>
      </c>
      <c r="T146">
        <f t="shared" si="36"/>
        <v>10</v>
      </c>
      <c r="U146">
        <f t="shared" si="36"/>
        <v>11</v>
      </c>
      <c r="V146">
        <f t="shared" si="36"/>
        <v>12</v>
      </c>
      <c r="W146">
        <f t="shared" si="36"/>
        <v>1</v>
      </c>
      <c r="X146">
        <f t="shared" si="36"/>
        <v>2</v>
      </c>
      <c r="Y146">
        <f t="shared" si="36"/>
        <v>3</v>
      </c>
      <c r="Z146">
        <f t="shared" si="36"/>
        <v>4</v>
      </c>
      <c r="AA146">
        <f>AA9</f>
        <v>5</v>
      </c>
      <c r="AB146">
        <f t="shared" ref="AB146:AL146" si="37">AB9</f>
        <v>6</v>
      </c>
      <c r="AC146">
        <f t="shared" si="37"/>
        <v>7</v>
      </c>
      <c r="AD146">
        <f t="shared" si="37"/>
        <v>8</v>
      </c>
      <c r="AE146">
        <f t="shared" si="37"/>
        <v>9</v>
      </c>
      <c r="AF146">
        <f t="shared" si="37"/>
        <v>10</v>
      </c>
      <c r="AG146">
        <f t="shared" si="37"/>
        <v>11</v>
      </c>
      <c r="AH146">
        <f t="shared" si="37"/>
        <v>12</v>
      </c>
      <c r="AI146">
        <f t="shared" si="37"/>
        <v>1</v>
      </c>
      <c r="AJ146">
        <f t="shared" si="37"/>
        <v>2</v>
      </c>
      <c r="AK146">
        <f t="shared" si="37"/>
        <v>3</v>
      </c>
      <c r="AL146">
        <f t="shared" si="37"/>
        <v>4</v>
      </c>
      <c r="AM146">
        <f>AM9</f>
        <v>5</v>
      </c>
      <c r="AN146">
        <f t="shared" ref="AN146:AQ146" si="38">AN9</f>
        <v>6</v>
      </c>
      <c r="AO146">
        <f t="shared" si="38"/>
        <v>7</v>
      </c>
      <c r="AP146">
        <f t="shared" si="38"/>
        <v>8</v>
      </c>
      <c r="AQ146">
        <f t="shared" si="38"/>
        <v>9</v>
      </c>
      <c r="AR146">
        <f>AR9</f>
        <v>10</v>
      </c>
      <c r="AS146">
        <f t="shared" ref="AS146:AT146" si="39">AS9</f>
        <v>11</v>
      </c>
      <c r="AT146">
        <f t="shared" si="39"/>
        <v>12</v>
      </c>
    </row>
    <row r="147" spans="2:46" x14ac:dyDescent="0.35">
      <c r="F147" s="1"/>
    </row>
    <row r="148" spans="2:46" x14ac:dyDescent="0.35">
      <c r="B148" t="str">
        <f>CHAR(34)&amp;I148&amp;CHAR(34)&amp;": "&amp;C148</f>
        <v>"labels": {"label_1": [-1358.54, -1534.1, 554.59, -1162.45, -1843, -2300, -415, 3052, -1507, 1314, 2709, 539, 1434.21, -1058.57, 3017.09, 4065.79, 1368.91, 1705.12, 2711, -1332.35000000001, -682.419999999998, -735.580000000002, -191.149999999994, 1711.82999999999, -31.8403385106576, -360.463923166397, 600.155023380983, 469.62927834814, 423.630008780696, 1758.46961961827, 979.652586556964, 1657.83268313199, 2072.95001508866, 1211.46313988423, 1355.28281056541, 2798.64237221739], "label_2": [-1762, -1658, 679, -867, -1921, -2220, -299, 3105, -1375, 1251, 2437, 362, 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2708.96067029323], "label_3": [609, 21, 1387, 1203, -203, -198, 1406, 1948, 1688, -537, 375, 273, -1135, -705, -11, 131, -226, -162, -998, -2391, -1030, -912, -1513, -2061.906470489, -968.905967458695, -1031.2846644641, -1141.85436994723, -635.272434728705, -949.282532985395, -1037.94113305301, -1275.21053132952, -408.970789849093, -699.924393748072, -399.595369172996, -261.902832542054, -415.989666488097], "label_4": [1886, 1104, 3349, 2864, 2677, 3762, 1532, 282, 2897, 2115, 454, 1284, 1052, 396, -55, 254, 129, 692, -370, 280, 361, 1402, 724, 1687.17360691116, 1042.66938442102, 946.656195243838, 1312.21881600363, 395.079032312624, 690.063977589016, 405.534277835076, 123.076133940455, -532.727296466898, -50.3231205868139, -156.04013729351, 111.747246161276, 195.826190176773], "label_5": [-501, -616, 2640, 791, 956, 1730, -196, 1424, -172, 3900, 2502, 1325, 3383, 219, 2709, 4122, 1879, 2534, 3194, 1367, 776, 1458, 1873, 4895.56912985047, 1778.57747818109, 1301.50103238893, 2690.63907255494, 1389.37226294649, 1921.91828473547, 3070.68035087104, 2248.93400947254, 1481.17309275416, 2630.98031550094, 1383.74970107884, 1651.15947624266, 3320.7765269581], "label_6": [27.9812709677419, 28.4136642857143, 29.2549, 29.2549, 29.2549, 29.2549, 31.8500838709678, 36.5686, 36.5686, 36.5686, 36.5686, 36.5686, 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41.4026148261922], "label_7": [27.9812709677419, 28.4136642857143, 29.2549, 29.2549, 29.2549, 29.2549, 31.8500838709678, 36.5686, 36.5686, 36.5686, 36.5686, 36.5686, 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41.4026148261922]}</v>
      </c>
      <c r="C148" t="str">
        <f>"{"&amp;_xlfn.TEXTJOIN(", ",TRUE,E148:E154)&amp;"}"</f>
        <v>{"label_1": [-1358.54, -1534.1, 554.59, -1162.45, -1843, -2300, -415, 3052, -1507, 1314, 2709, 539, 1434.21, -1058.57, 3017.09, 4065.79, 1368.91, 1705.12, 2711, -1332.35000000001, -682.419999999998, -735.580000000002, -191.149999999994, 1711.82999999999, -31.8403385106576, -360.463923166397, 600.155023380983, 469.62927834814, 423.630008780696, 1758.46961961827, 979.652586556964, 1657.83268313199, 2072.95001508866, 1211.46313988423, 1355.28281056541, 2798.64237221739], "label_2": [-1762, -1658, 679, -867, -1921, -2220, -299, 3105, -1375, 1251, 2437, 362, 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2708.96067029323], "label_3": [609, 21, 1387, 1203, -203, -198, 1406, 1948, 1688, -537, 375, 273, -1135, -705, -11, 131, -226, -162, -998, -2391, -1030, -912, -1513, -2061.906470489, -968.905967458695, -1031.2846644641, -1141.85436994723, -635.272434728705, -949.282532985395, -1037.94113305301, -1275.21053132952, -408.970789849093, -699.924393748072, -399.595369172996, -261.902832542054, -415.989666488097], "label_4": [1886, 1104, 3349, 2864, 2677, 3762, 1532, 282, 2897, 2115, 454, 1284, 1052, 396, -55, 254, 129, 692, -370, 280, 361, 1402, 724, 1687.17360691116, 1042.66938442102, 946.656195243838, 1312.21881600363, 395.079032312624, 690.063977589016, 405.534277835076, 123.076133940455, -532.727296466898, -50.3231205868139, -156.04013729351, 111.747246161276, 195.826190176773], "label_5": [-501, -616, 2640, 791, 956, 1730, -196, 1424, -172, 3900, 2502, 1325, 3383, 219, 2709, 4122, 1879, 2534, 3194, 1367, 776, 1458, 1873, 4895.56912985047, 1778.57747818109, 1301.50103238893, 2690.63907255494, 1389.37226294649, 1921.91828473547, 3070.68035087104, 2248.93400947254, 1481.17309275416, 2630.98031550094, 1383.74970107884, 1651.15947624266, 3320.7765269581], "label_6": [27.9812709677419, 28.4136642857143, 29.2549, 29.2549, 29.2549, 29.2549, 31.8500838709678, 36.5686, 36.5686, 36.5686, 36.5686, 36.5686, 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41.4026148261922], "label_7": [27.9812709677419, 28.4136642857143, 29.2549, 29.2549, 29.2549, 29.2549, 31.8500838709678, 36.5686, 36.5686, 36.5686, 36.5686, 36.5686, 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41.4026148261922]}</v>
      </c>
      <c r="E148" t="str">
        <f>CHAR(34)&amp;J148&amp;CHAR(34)&amp;": "&amp;F148</f>
        <v>"label_1": [-1358.54, -1534.1, 554.59, -1162.45, -1843, -2300, -415, 3052, -1507, 1314, 2709, 539, 1434.21, -1058.57, 3017.09, 4065.79, 1368.91, 1705.12, 2711, -1332.35000000001, -682.419999999998, -735.580000000002, -191.149999999994, 1711.82999999999, -31.8403385106576, -360.463923166397, 600.155023380983, 469.62927834814, 423.630008780696, 1758.46961961827, 979.652586556964, 1657.83268313199, 2072.95001508866, 1211.46313988423, 1355.28281056541, 2798.64237221739]</v>
      </c>
      <c r="F148" s="1" t="str" cm="1">
        <f t="array" ref="F148">"["&amp;_xlfn.TEXTJOIN(", ",FALSE,SUBSTITUTE(K148:AT148,",","."))&amp;"]"</f>
        <v>[-1358.54, -1534.1, 554.59, -1162.45, -1843, -2300, -415, 3052, -1507, 1314, 2709, 539, 1434.21, -1058.57, 3017.09, 4065.79, 1368.91, 1705.12, 2711, -1332.35000000001, -682.419999999998, -735.580000000002, -191.149999999994, 1711.82999999999, -31.8403385106576, -360.463923166397, 600.155023380983, 469.62927834814, 423.630008780696, 1758.46961961827, 979.652586556964, 1657.83268313199, 2072.95001508866, 1211.46313988423, 1355.28281056541, 2798.64237221739]</v>
      </c>
      <c r="H148" t="s">
        <v>684</v>
      </c>
      <c r="I148" t="s">
        <v>689</v>
      </c>
      <c r="J148" t="s">
        <v>690</v>
      </c>
      <c r="K148" s="94">
        <f>('ПБ V-1 (fin min)'!AL71-'ПБ V-1 (fin min)'!AK71)</f>
        <v>-1358.5400000000009</v>
      </c>
      <c r="L148" s="94">
        <f>('ПБ V-1 (fin min)'!AM71-'ПБ V-1 (fin min)'!AL71)</f>
        <v>-1534.0999999999985</v>
      </c>
      <c r="M148" s="94">
        <f>('ПБ V-1 (fin min)'!AN71-'ПБ V-1 (fin min)'!AM71)</f>
        <v>554.59000000000015</v>
      </c>
      <c r="N148" s="94">
        <f>('ПБ V-1 (fin min)'!AO71-'ПБ V-1 (fin min)'!AN71)</f>
        <v>-1162.4500000000007</v>
      </c>
      <c r="O148" s="94">
        <f>('ПБ V-1 (fin min)'!AP71-'ПБ V-1 (fin min)'!AO71)</f>
        <v>-1843</v>
      </c>
      <c r="P148" s="94">
        <f>('ПБ V-1 (fin min)'!AQ71-'ПБ V-1 (fin min)'!AP71)</f>
        <v>-2300</v>
      </c>
      <c r="Q148" s="94">
        <f>('ПБ V-1 (fin min)'!AR71-'ПБ V-1 (fin min)'!AQ71)</f>
        <v>-415</v>
      </c>
      <c r="R148" s="94">
        <f>('ПБ V-1 (fin min)'!AS71-'ПБ V-1 (fin min)'!AR71)</f>
        <v>3052</v>
      </c>
      <c r="S148" s="94">
        <f>('ПБ V-1 (fin min)'!AT71-'ПБ V-1 (fin min)'!AS71)</f>
        <v>-1507</v>
      </c>
      <c r="T148" s="94">
        <f>('ПБ V-1 (fin min)'!AU71-'ПБ V-1 (fin min)'!AT71)</f>
        <v>1314</v>
      </c>
      <c r="U148" s="94">
        <f>('ПБ V-1 (fin min)'!AV71-'ПБ V-1 (fin min)'!AU71)</f>
        <v>2709</v>
      </c>
      <c r="V148" s="94">
        <f>('ПБ V-1 (fin min)'!AW71-'ПБ V-1 (fin min)'!AV71)</f>
        <v>539</v>
      </c>
      <c r="W148" s="94">
        <f>('ПБ V-1 (fin min)'!AX71-'ПБ V-1 (fin min)'!AW71)</f>
        <v>1434.2099999999991</v>
      </c>
      <c r="X148" s="94">
        <f>('ПБ V-1 (fin min)'!AY71-'ПБ V-1 (fin min)'!AX71)</f>
        <v>-1058.5699999999997</v>
      </c>
      <c r="Y148" s="94">
        <f>('ПБ V-1 (fin min)'!AZ71-'ПБ V-1 (fin min)'!AY71)</f>
        <v>3017.09</v>
      </c>
      <c r="Z148" s="94">
        <f>('ПБ V-1 (fin min)'!BA71-'ПБ V-1 (fin min)'!AZ71)</f>
        <v>4065.7899999999972</v>
      </c>
      <c r="AA148" s="94">
        <f>('ПБ V-1 (fin min)'!BB71-'ПБ V-1 (fin min)'!BA71)</f>
        <v>1368.9100000000035</v>
      </c>
      <c r="AB148" s="94">
        <f>('ПБ V-1 (fin min)'!BC71-'ПБ V-1 (fin min)'!BB71)</f>
        <v>1705.1200000000026</v>
      </c>
      <c r="AC148" s="94">
        <f>('ПБ V-1 (fin min)'!BD71-'ПБ V-1 (fin min)'!BC71)</f>
        <v>2711</v>
      </c>
      <c r="AD148" s="94">
        <f>('ПБ V-1 (fin min)'!BE71-'ПБ V-1 (fin min)'!BD71)</f>
        <v>-1332.3500000000058</v>
      </c>
      <c r="AE148" s="94">
        <f>('ПБ V-1 (fin min)'!BF71-'ПБ V-1 (fin min)'!BE71)</f>
        <v>-682.41999999999825</v>
      </c>
      <c r="AF148" s="94">
        <f>('ПБ V-1 (fin min)'!BG71-'ПБ V-1 (fin min)'!BF71)</f>
        <v>-735.58000000000175</v>
      </c>
      <c r="AG148" s="94">
        <f>('ПБ V-1 (fin min)'!BH71-'ПБ V-1 (fin min)'!BG71)</f>
        <v>-191.14999999999418</v>
      </c>
      <c r="AH148" s="94">
        <f>('ПБ V-1 (fin min)'!BI71-'ПБ V-1 (fin min)'!BH71)</f>
        <v>1711.8299999999945</v>
      </c>
      <c r="AI148" s="94">
        <f>('ПБ V-1 (fin min)'!BJ71-'ПБ V-1 (fin min)'!BI71)</f>
        <v>-31.840338510657602</v>
      </c>
      <c r="AJ148" s="94">
        <f>('ПБ V-1 (fin min)'!BK71-'ПБ V-1 (fin min)'!BJ71)</f>
        <v>-360.46392316639685</v>
      </c>
      <c r="AK148" s="94">
        <f>('ПБ V-1 (fin min)'!BL71-'ПБ V-1 (fin min)'!BK71)</f>
        <v>600.15502338098304</v>
      </c>
      <c r="AL148" s="94">
        <f>('ПБ V-1 (fin min)'!BM71-'ПБ V-1 (fin min)'!BL71)</f>
        <v>469.62927834814036</v>
      </c>
      <c r="AM148" s="94">
        <f>('ПБ V-1 (fin min)'!BN71-'ПБ V-1 (fin min)'!BM71)</f>
        <v>423.63000878069579</v>
      </c>
      <c r="AN148" s="94">
        <f>('ПБ V-1 (fin min)'!BO71-'ПБ V-1 (fin min)'!BN71)</f>
        <v>1758.4696196182704</v>
      </c>
      <c r="AO148" s="94">
        <f>('ПБ V-1 (fin min)'!BP71-'ПБ V-1 (fin min)'!BO71)</f>
        <v>979.6525865569638</v>
      </c>
      <c r="AP148" s="94">
        <f>('ПБ V-1 (fin min)'!BQ71-'ПБ V-1 (fin min)'!BP71)</f>
        <v>1657.8326831319864</v>
      </c>
      <c r="AQ148" s="94">
        <f>('ПБ V-1 (fin min)'!BR71-'ПБ V-1 (fin min)'!BQ71)</f>
        <v>2072.9500150886597</v>
      </c>
      <c r="AR148" s="94">
        <f>('ПБ V-1 (fin min)'!BS71-'ПБ V-1 (fin min)'!BR71)</f>
        <v>1211.4631398842321</v>
      </c>
      <c r="AS148" s="94">
        <f>('ПБ V-1 (fin min)'!BT71-'ПБ V-1 (fin min)'!BS71)</f>
        <v>1355.2828105654116</v>
      </c>
      <c r="AT148" s="94">
        <f>('ПБ V-1 (fin min)'!BU71-'ПБ V-1 (fin min)'!BT71)</f>
        <v>2798.6423722173859</v>
      </c>
    </row>
    <row r="149" spans="2:46" x14ac:dyDescent="0.35">
      <c r="E149" t="str">
        <f t="shared" ref="E149:E154" si="40">CHAR(34)&amp;J149&amp;CHAR(34)&amp;": "&amp;F149</f>
        <v>"label_2": [-1762, -1658, 679, -867, -1921, -2220, -299, 3105, -1375, 1251, 2437, 362, 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2708.96067029323]</v>
      </c>
      <c r="F149" s="1" t="str" cm="1">
        <f t="array" ref="F149">"["&amp;_xlfn.TEXTJOIN(", ",FALSE,SUBSTITUTE(K149:AT149,",","."))&amp;"]"</f>
        <v>[-1762, -1658, 679, -867, -1921, -2220, -299, 3105, -1375, 1251, 2437, 362, 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2708.96067029323]</v>
      </c>
      <c r="H149" t="s">
        <v>684</v>
      </c>
      <c r="I149" t="s">
        <v>689</v>
      </c>
      <c r="J149" t="s">
        <v>691</v>
      </c>
      <c r="K149" s="94">
        <f>'ПБ V-1 (fin min)'!AL62</f>
        <v>-1762</v>
      </c>
      <c r="L149" s="94">
        <f>'ПБ V-1 (fin min)'!AM62</f>
        <v>-1658</v>
      </c>
      <c r="M149" s="94">
        <f>'ПБ V-1 (fin min)'!AN62</f>
        <v>679</v>
      </c>
      <c r="N149" s="94">
        <f>'ПБ V-1 (fin min)'!AO62</f>
        <v>-867</v>
      </c>
      <c r="O149" s="94">
        <f>'ПБ V-1 (fin min)'!AP62</f>
        <v>-1921</v>
      </c>
      <c r="P149" s="94">
        <f>'ПБ V-1 (fin min)'!AQ62</f>
        <v>-2220</v>
      </c>
      <c r="Q149" s="94">
        <f>'ПБ V-1 (fin min)'!AR62</f>
        <v>-299</v>
      </c>
      <c r="R149" s="94">
        <f>'ПБ V-1 (fin min)'!AS62</f>
        <v>3105</v>
      </c>
      <c r="S149" s="94">
        <f>'ПБ V-1 (fin min)'!AT62</f>
        <v>-1375</v>
      </c>
      <c r="T149" s="94">
        <f>'ПБ V-1 (fin min)'!AU62</f>
        <v>1251</v>
      </c>
      <c r="U149" s="94">
        <f>'ПБ V-1 (fin min)'!AV62</f>
        <v>2437</v>
      </c>
      <c r="V149" s="94">
        <f>'ПБ V-1 (fin min)'!AW62</f>
        <v>362</v>
      </c>
      <c r="W149" s="94">
        <f>'ПБ V-1 (fin min)'!AX62</f>
        <v>1208</v>
      </c>
      <c r="X149" s="94">
        <f>'ПБ V-1 (fin min)'!AY62</f>
        <v>-856</v>
      </c>
      <c r="Y149" s="94">
        <f>'ПБ V-1 (fin min)'!AZ62</f>
        <v>2765</v>
      </c>
      <c r="Z149" s="94">
        <f>'ПБ V-1 (fin min)'!BA62</f>
        <v>4021</v>
      </c>
      <c r="AA149" s="94">
        <f>'ПБ V-1 (fin min)'!BB62</f>
        <v>1533</v>
      </c>
      <c r="AB149" s="94">
        <f>'ПБ V-1 (fin min)'!BC62</f>
        <v>1688</v>
      </c>
      <c r="AC149" s="94">
        <f>'ПБ V-1 (fin min)'!BD62</f>
        <v>2579</v>
      </c>
      <c r="AD149" s="94">
        <f>'ПБ V-1 (fin min)'!BE62</f>
        <v>-1297</v>
      </c>
      <c r="AE149" s="94">
        <f>'ПБ V-1 (fin min)'!BF62</f>
        <v>-609</v>
      </c>
      <c r="AF149" s="94">
        <f>'ПБ V-1 (fin min)'!BG62</f>
        <v>-847</v>
      </c>
      <c r="AG149" s="94">
        <f>'ПБ V-1 (fin min)'!BH62</f>
        <v>-355</v>
      </c>
      <c r="AH149" s="94">
        <f>'ПБ V-1 (fin min)'!BI62</f>
        <v>1146.4890524503166</v>
      </c>
      <c r="AI149" s="94">
        <f>'ПБ V-1 (fin min)'!BJ62</f>
        <v>-232.99787369862486</v>
      </c>
      <c r="AJ149" s="94">
        <f>'ПБ V-1 (fin min)'!BK62</f>
        <v>-676.43982731900735</v>
      </c>
      <c r="AK149" s="94">
        <f>'ПБ V-1 (fin min)'!BL62</f>
        <v>236.56588660407374</v>
      </c>
      <c r="AL149" s="94">
        <f>'ПБ V-1 (fin min)'!BM62</f>
        <v>359.02079590516234</v>
      </c>
      <c r="AM149" s="94">
        <f>'ПБ V-1 (fin min)'!BN62</f>
        <v>282.57177416106219</v>
      </c>
      <c r="AN149" s="94">
        <f>'ПБ V-1 (fin min)'!BO62</f>
        <v>1627.2049399829514</v>
      </c>
      <c r="AO149" s="94">
        <f>'ПБ V-1 (fin min)'!BP62</f>
        <v>850.64734420255854</v>
      </c>
      <c r="AP149" s="94">
        <f>'ПБ V-1 (fin min)'!BQ62</f>
        <v>1604.9295993719618</v>
      </c>
      <c r="AQ149" s="94">
        <f>'ПБ V-1 (fin min)'!BR62</f>
        <v>1981.3790423396867</v>
      </c>
      <c r="AR149" s="94">
        <f>'ПБ V-1 (fin min)'!BS62</f>
        <v>1140.1944691993506</v>
      </c>
      <c r="AS149" s="94">
        <f>'ПБ V-1 (fin min)'!BT62</f>
        <v>1277.5093975393313</v>
      </c>
      <c r="AT149" s="94">
        <f>'ПБ V-1 (fin min)'!BU62</f>
        <v>2708.9606702932301</v>
      </c>
    </row>
    <row r="150" spans="2:46" x14ac:dyDescent="0.35">
      <c r="E150" t="str">
        <f t="shared" si="40"/>
        <v>"label_3": [609, 21, 1387, 1203, -203, -198, 1406, 1948, 1688, -537, 375, 273, -1135, -705, -11, 131, -226, -162, -998, -2391, -1030, -912, -1513, -2061.906470489, -968.905967458695, -1031.2846644641, -1141.85436994723, -635.272434728705, -949.282532985395, -1037.94113305301, -1275.21053132952, -408.970789849093, -699.924393748072, -399.595369172996, -261.902832542054, -415.989666488097]</v>
      </c>
      <c r="F150" s="1" t="str" cm="1">
        <f t="array" ref="F150">"["&amp;_xlfn.TEXTJOIN(", ",FALSE,SUBSTITUTE(K150:AT150,",","."))&amp;"]"</f>
        <v>[609, 21, 1387, 1203, -203, -198, 1406, 1948, 1688, -537, 375, 273, -1135, -705, -11, 131, -226, -162, -998, -2391, -1030, -912, -1513, -2061.906470489, -968.905967458695, -1031.2846644641, -1141.85436994723, -635.272434728705, -949.282532985395, -1037.94113305301, -1275.21053132952, -408.970789849093, -699.924393748072, -399.595369172996, -261.902832542054, -415.989666488097]</v>
      </c>
      <c r="H150" t="s">
        <v>684</v>
      </c>
      <c r="I150" t="s">
        <v>689</v>
      </c>
      <c r="J150" t="s">
        <v>692</v>
      </c>
      <c r="K150" s="1" cm="1">
        <f t="array" ref="K150:AT150">'ПБ V-1 (fin min)'!AL4:BU4</f>
        <v>609</v>
      </c>
      <c r="L150">
        <v>21</v>
      </c>
      <c r="M150">
        <v>1387</v>
      </c>
      <c r="N150">
        <v>1203</v>
      </c>
      <c r="O150">
        <v>-203</v>
      </c>
      <c r="P150">
        <v>-198</v>
      </c>
      <c r="Q150">
        <v>1406</v>
      </c>
      <c r="R150">
        <v>1948</v>
      </c>
      <c r="S150">
        <v>1688</v>
      </c>
      <c r="T150">
        <v>-537</v>
      </c>
      <c r="U150">
        <v>375</v>
      </c>
      <c r="V150">
        <v>273</v>
      </c>
      <c r="W150">
        <v>-1135</v>
      </c>
      <c r="X150">
        <v>-705</v>
      </c>
      <c r="Y150">
        <v>-11</v>
      </c>
      <c r="Z150">
        <v>131</v>
      </c>
      <c r="AA150">
        <v>-226</v>
      </c>
      <c r="AB150">
        <v>-162</v>
      </c>
      <c r="AC150">
        <v>-998</v>
      </c>
      <c r="AD150">
        <v>-2391</v>
      </c>
      <c r="AE150">
        <v>-1030</v>
      </c>
      <c r="AF150">
        <v>-912</v>
      </c>
      <c r="AG150">
        <v>-1513</v>
      </c>
      <c r="AH150">
        <v>-2061.9064704889984</v>
      </c>
      <c r="AI150">
        <v>-968.90596745869527</v>
      </c>
      <c r="AJ150">
        <v>-1031.284664464099</v>
      </c>
      <c r="AK150">
        <v>-1141.8543699472345</v>
      </c>
      <c r="AL150">
        <v>-635.27243472870487</v>
      </c>
      <c r="AM150">
        <v>-949.28253298539471</v>
      </c>
      <c r="AN150">
        <v>-1037.9411330530136</v>
      </c>
      <c r="AO150">
        <v>-1275.2105313295233</v>
      </c>
      <c r="AP150">
        <v>-408.97078984909263</v>
      </c>
      <c r="AQ150">
        <v>-699.92439374807191</v>
      </c>
      <c r="AR150">
        <v>-399.59536917299579</v>
      </c>
      <c r="AS150">
        <v>-261.9028325420536</v>
      </c>
      <c r="AT150">
        <v>-415.98966648809665</v>
      </c>
    </row>
    <row r="151" spans="2:46" x14ac:dyDescent="0.35">
      <c r="E151" t="str">
        <f t="shared" si="40"/>
        <v>"label_4": [1886, 1104, 3349, 2864, 2677, 3762, 1532, 282, 2897, 2115, 454, 1284, 1052, 396, -55, 254, 129, 692, -370, 280, 361, 1402, 724, 1687.17360691116, 1042.66938442102, 946.656195243838, 1312.21881600363, 395.079032312624, 690.063977589016, 405.534277835076, 123.076133940455, -532.727296466898, -50.3231205868139, -156.04013729351, 111.747246161276, 195.826190176773]</v>
      </c>
      <c r="F151" s="1" t="str" cm="1">
        <f t="array" ref="F151">"["&amp;_xlfn.TEXTJOIN(", ",FALSE,SUBSTITUTE(K151:AT151,",","."))&amp;"]"</f>
        <v>[1886, 1104, 3349, 2864, 2677, 3762, 1532, 282, 2897, 2115, 454, 1284, 1052, 396, -55, 254, 129, 692, -370, 280, 361, 1402, 724, 1687.17360691116, 1042.66938442102, 946.656195243838, 1312.21881600363, 395.079032312624, 690.063977589016, 405.534277835076, 123.076133940455, -532.727296466898, -50.3231205868139, -156.04013729351, 111.747246161276, 195.826190176773]</v>
      </c>
      <c r="H151" t="s">
        <v>684</v>
      </c>
      <c r="I151" t="s">
        <v>689</v>
      </c>
      <c r="J151" t="s">
        <v>693</v>
      </c>
      <c r="K151" s="1" cm="1">
        <f t="array" ref="K151:AT151">'ПБ V-1 (fin min)'!AL23:BU23</f>
        <v>1886</v>
      </c>
      <c r="L151">
        <v>1104</v>
      </c>
      <c r="M151">
        <v>3349</v>
      </c>
      <c r="N151">
        <v>2864</v>
      </c>
      <c r="O151">
        <v>2677</v>
      </c>
      <c r="P151">
        <v>3762</v>
      </c>
      <c r="Q151">
        <v>1532</v>
      </c>
      <c r="R151">
        <v>282</v>
      </c>
      <c r="S151">
        <v>2897</v>
      </c>
      <c r="T151">
        <v>2115</v>
      </c>
      <c r="U151">
        <v>454</v>
      </c>
      <c r="V151">
        <v>1284</v>
      </c>
      <c r="W151">
        <v>1052</v>
      </c>
      <c r="X151">
        <v>396</v>
      </c>
      <c r="Y151">
        <v>-55</v>
      </c>
      <c r="Z151">
        <v>254</v>
      </c>
      <c r="AA151">
        <v>129</v>
      </c>
      <c r="AB151">
        <v>692</v>
      </c>
      <c r="AC151">
        <v>-370</v>
      </c>
      <c r="AD151">
        <v>280</v>
      </c>
      <c r="AE151">
        <v>361</v>
      </c>
      <c r="AF151">
        <v>1402</v>
      </c>
      <c r="AG151">
        <v>724</v>
      </c>
      <c r="AH151">
        <v>1687.1736069111566</v>
      </c>
      <c r="AI151">
        <v>1042.6693844210224</v>
      </c>
      <c r="AJ151">
        <v>946.65619524383817</v>
      </c>
      <c r="AK151">
        <v>1312.2188160036326</v>
      </c>
      <c r="AL151">
        <v>395.07903231262355</v>
      </c>
      <c r="AM151">
        <v>690.06397758901574</v>
      </c>
      <c r="AN151">
        <v>405.53427783507573</v>
      </c>
      <c r="AO151">
        <v>123.07613394045495</v>
      </c>
      <c r="AP151">
        <v>-532.72729646689811</v>
      </c>
      <c r="AQ151">
        <v>-50.3231205868139</v>
      </c>
      <c r="AR151">
        <v>-156.04013729351013</v>
      </c>
      <c r="AS151">
        <v>111.747246161276</v>
      </c>
      <c r="AT151">
        <v>195.8261901767728</v>
      </c>
    </row>
    <row r="152" spans="2:46" x14ac:dyDescent="0.35">
      <c r="E152" t="str">
        <f t="shared" si="40"/>
        <v>"label_5": [-501, -616, 2640, 791, 956, 1730, -196, 1424, -172, 3900, 2502, 1325, 3383, 219, 2709, 4122, 1879, 2534, 3194, 1367, 776, 1458, 1873, 4895.56912985047, 1778.57747818109, 1301.50103238893, 2690.63907255494, 1389.37226294649, 1921.91828473547, 3070.68035087104, 2248.93400947254, 1481.17309275416, 2630.98031550094, 1383.74970107884, 1651.15947624266, 3320.7765269581]</v>
      </c>
      <c r="F152" s="1" t="str" cm="1">
        <f t="array" ref="F152">"["&amp;_xlfn.TEXTJOIN(", ",FALSE,SUBSTITUTE(K152:AT152,",","."))&amp;"]"</f>
        <v>[-501, -616, 2640, 791, 956, 1730, -196, 1424, -172, 3900, 2502, 1325, 3383, 219, 2709, 4122, 1879, 2534, 3194, 1367, 776, 1458, 1873, 4895.56912985047, 1778.57747818109, 1301.50103238893, 2690.63907255494, 1389.37226294649, 1921.91828473547, 3070.68035087104, 2248.93400947254, 1481.17309275416, 2630.98031550094, 1383.74970107884, 1651.15947624266, 3320.7765269581]</v>
      </c>
      <c r="H152" t="s">
        <v>684</v>
      </c>
      <c r="I152" t="s">
        <v>689</v>
      </c>
      <c r="J152" t="s">
        <v>694</v>
      </c>
      <c r="K152" s="1" cm="1">
        <f t="array" ref="K152:AT152">'ПБ V-1 (fin min)'!AL58:BU58</f>
        <v>-501</v>
      </c>
      <c r="L152">
        <v>-616</v>
      </c>
      <c r="M152">
        <v>2640</v>
      </c>
      <c r="N152">
        <v>791</v>
      </c>
      <c r="O152">
        <v>956</v>
      </c>
      <c r="P152">
        <v>1730</v>
      </c>
      <c r="Q152">
        <v>-196</v>
      </c>
      <c r="R152">
        <v>1424</v>
      </c>
      <c r="S152">
        <v>-172</v>
      </c>
      <c r="T152">
        <v>3900</v>
      </c>
      <c r="U152">
        <v>2502</v>
      </c>
      <c r="V152">
        <v>1325</v>
      </c>
      <c r="W152">
        <v>3383</v>
      </c>
      <c r="X152">
        <v>219</v>
      </c>
      <c r="Y152">
        <v>2709</v>
      </c>
      <c r="Z152">
        <v>4122</v>
      </c>
      <c r="AA152">
        <v>1879</v>
      </c>
      <c r="AB152">
        <v>2534</v>
      </c>
      <c r="AC152">
        <v>3194</v>
      </c>
      <c r="AD152">
        <v>1367</v>
      </c>
      <c r="AE152">
        <v>776</v>
      </c>
      <c r="AF152">
        <v>1458</v>
      </c>
      <c r="AG152">
        <v>1873</v>
      </c>
      <c r="AH152">
        <v>4895.5691298504717</v>
      </c>
      <c r="AI152">
        <v>1778.5774781810928</v>
      </c>
      <c r="AJ152">
        <v>1301.5010323889298</v>
      </c>
      <c r="AK152">
        <v>2690.6390725549409</v>
      </c>
      <c r="AL152">
        <v>1389.3722629464908</v>
      </c>
      <c r="AM152">
        <v>1921.9182847354725</v>
      </c>
      <c r="AN152">
        <v>3070.6803508710409</v>
      </c>
      <c r="AO152">
        <v>2248.9340094725367</v>
      </c>
      <c r="AP152">
        <v>1481.1730927541564</v>
      </c>
      <c r="AQ152">
        <v>2630.9803155009449</v>
      </c>
      <c r="AR152">
        <v>1383.7497010788363</v>
      </c>
      <c r="AS152">
        <v>1651.159476242661</v>
      </c>
      <c r="AT152">
        <v>3320.7765269580996</v>
      </c>
    </row>
    <row r="153" spans="2:46" x14ac:dyDescent="0.35">
      <c r="E153" t="str">
        <f>CHAR(34)&amp;J153&amp;CHAR(34)&amp;": "&amp;F153</f>
        <v>"label_6": [27.9812709677419, 28.4136642857143, 29.2549, 29.2549, 29.2549, 29.2549, 31.8500838709678, 36.5686, 36.5686, 36.5686, 36.5686, 36.5686, 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41.4026148261922]</v>
      </c>
      <c r="F153" s="1" t="str" cm="1">
        <f t="array" ref="F153">"["&amp;_xlfn.TEXTJOIN(", ",FALSE,SUBSTITUTE(K153:AT153,",","."))&amp;"]"</f>
        <v>[27.9812709677419, 28.4136642857143, 29.2549, 29.2549, 29.2549, 29.2549, 31.8500838709678, 36.5686, 36.5686, 36.5686, 36.5686, 36.5686, 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41.4026148261922]</v>
      </c>
      <c r="H153" t="s">
        <v>684</v>
      </c>
      <c r="I153" t="s">
        <v>689</v>
      </c>
      <c r="J153" t="s">
        <v>714</v>
      </c>
      <c r="K153" s="557" cm="1">
        <f t="array" ref="K153:AT153">'ПБ V-1 (fin min)'!AL83:BU83</f>
        <v>27.981270967741931</v>
      </c>
      <c r="L153">
        <v>28.413664285714287</v>
      </c>
      <c r="M153">
        <v>29.254900000000013</v>
      </c>
      <c r="N153">
        <v>29.254900000000013</v>
      </c>
      <c r="O153">
        <v>29.254900000000013</v>
      </c>
      <c r="P153">
        <v>29.254900000000013</v>
      </c>
      <c r="Q153">
        <v>31.850083870967769</v>
      </c>
      <c r="R153">
        <v>36.568600000000032</v>
      </c>
      <c r="S153">
        <v>36.568600000000032</v>
      </c>
      <c r="T153">
        <v>36.568600000000032</v>
      </c>
      <c r="U153">
        <v>36.568600000000032</v>
      </c>
      <c r="V153">
        <v>36.568600000000032</v>
      </c>
      <c r="W153">
        <v>36.568600000000032</v>
      </c>
      <c r="X153">
        <v>36.568600000000025</v>
      </c>
      <c r="Y153">
        <v>36.568600000000032</v>
      </c>
      <c r="Z153">
        <v>36.568600000000032</v>
      </c>
      <c r="AA153">
        <v>36.568600000000032</v>
      </c>
      <c r="AB153">
        <v>36.568600000000032</v>
      </c>
      <c r="AC153">
        <v>36.568600000000032</v>
      </c>
      <c r="AD153">
        <v>36.568600000000032</v>
      </c>
      <c r="AE153">
        <v>36.568600000000032</v>
      </c>
      <c r="AF153">
        <v>36.51895161290323</v>
      </c>
      <c r="AG153">
        <v>36.155420000000007</v>
      </c>
      <c r="AH153">
        <v>37.093925806451622</v>
      </c>
      <c r="AI153">
        <v>37.572233277496139</v>
      </c>
      <c r="AJ153">
        <v>38.27478587846511</v>
      </c>
      <c r="AK153">
        <v>39.105806424374762</v>
      </c>
      <c r="AL153">
        <v>39.395705147134706</v>
      </c>
      <c r="AM153">
        <v>39.781047044824604</v>
      </c>
      <c r="AN153">
        <v>40.158399481375852</v>
      </c>
      <c r="AO153">
        <v>40.515635176768157</v>
      </c>
      <c r="AP153">
        <v>40.64772687713463</v>
      </c>
      <c r="AQ153">
        <v>40.86685760056217</v>
      </c>
      <c r="AR153">
        <v>41.027007871865493</v>
      </c>
      <c r="AS153">
        <v>41.200074709472133</v>
      </c>
      <c r="AT153">
        <v>41.402614826192249</v>
      </c>
    </row>
    <row r="154" spans="2:46" x14ac:dyDescent="0.35">
      <c r="E154" t="str">
        <f t="shared" si="40"/>
        <v>"label_7": [27.9812709677419, 28.4136642857143, 29.2549, 29.2549, 29.2549, 29.2549, 31.8500838709678, 36.5686, 36.5686, 36.5686, 36.5686, 36.5686, 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41.4026148261922]</v>
      </c>
      <c r="F154" s="1" t="str" cm="1">
        <f t="array" ref="F154">"["&amp;_xlfn.TEXTJOIN(", ",FALSE,SUBSTITUTE(K154:AT154,",","."))&amp;"]"</f>
        <v>[27.9812709677419, 28.4136642857143, 29.2549, 29.2549, 29.2549, 29.2549, 31.8500838709678, 36.5686, 36.5686, 36.5686, 36.5686, 36.5686, 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41.4026148261922]</v>
      </c>
      <c r="H154" t="s">
        <v>684</v>
      </c>
      <c r="I154" t="s">
        <v>689</v>
      </c>
      <c r="J154" t="s">
        <v>715</v>
      </c>
      <c r="K154" s="557" cm="1">
        <f t="array" ref="K154:AT154">'ПБ V-1 (fin min)'!AL86:BU86</f>
        <v>27.981270967741931</v>
      </c>
      <c r="L154">
        <v>28.413664285714287</v>
      </c>
      <c r="M154">
        <v>29.254900000000013</v>
      </c>
      <c r="N154">
        <v>29.254900000000013</v>
      </c>
      <c r="O154">
        <v>29.254900000000013</v>
      </c>
      <c r="P154">
        <v>29.254900000000013</v>
      </c>
      <c r="Q154">
        <v>31.850083870967769</v>
      </c>
      <c r="R154">
        <v>36.568600000000032</v>
      </c>
      <c r="S154">
        <v>36.568600000000032</v>
      </c>
      <c r="T154">
        <v>36.568600000000032</v>
      </c>
      <c r="U154">
        <v>36.568600000000032</v>
      </c>
      <c r="V154">
        <v>36.568600000000032</v>
      </c>
      <c r="W154">
        <v>36.568600000000032</v>
      </c>
      <c r="X154">
        <v>36.568600000000025</v>
      </c>
      <c r="Y154">
        <v>36.568600000000032</v>
      </c>
      <c r="Z154">
        <v>36.568600000000032</v>
      </c>
      <c r="AA154">
        <v>36.568600000000032</v>
      </c>
      <c r="AB154">
        <v>36.568600000000032</v>
      </c>
      <c r="AC154">
        <v>36.568600000000032</v>
      </c>
      <c r="AD154">
        <v>36.568600000000032</v>
      </c>
      <c r="AE154">
        <v>36.568600000000032</v>
      </c>
      <c r="AF154">
        <v>36.51895161290323</v>
      </c>
      <c r="AG154">
        <v>36.155420000000007</v>
      </c>
      <c r="AH154">
        <v>37.093925806451622</v>
      </c>
      <c r="AI154">
        <v>37.572233277496139</v>
      </c>
      <c r="AJ154">
        <v>38.27478587846511</v>
      </c>
      <c r="AK154">
        <v>39.105806424374762</v>
      </c>
      <c r="AL154">
        <v>39.395705147134706</v>
      </c>
      <c r="AM154">
        <v>39.781047044824604</v>
      </c>
      <c r="AN154">
        <v>40.158399481375852</v>
      </c>
      <c r="AO154">
        <v>40.515635176768157</v>
      </c>
      <c r="AP154">
        <v>40.64772687713463</v>
      </c>
      <c r="AQ154">
        <v>40.86685760056217</v>
      </c>
      <c r="AR154">
        <v>41.027007871865493</v>
      </c>
      <c r="AS154">
        <v>41.200074709472133</v>
      </c>
      <c r="AT154">
        <v>41.402614826192249</v>
      </c>
    </row>
    <row r="156" spans="2:46" x14ac:dyDescent="0.35">
      <c r="B156" t="str">
        <f>CHAR(34)&amp;I156&amp;CHAR(34)&amp;": "&amp;C156</f>
        <v>"label_names": {"UKR": {"label_1": "Динаміка резервів, $ млрд", "label_2": "Загальний приток валюти, $ млрд", "label_3": "Рахунок поточних операцій, $ млрд", "label_4": "Сальдо інвестицій приватного сектору, $ млрд", "label_5": "Чисті державні залучення, $ млрд", "label_6": "Обмінний курс", "label_7": "Обмінний курс"}, "RU": {"label_1": "Динамика резервов, $ млрд", "label_2": "Общий приток валюты, $ млрд", "label_3": "Счет текущих операций, $ млрд", "label_4": "Сальдо инвестиций частного сектора, $ млрд", "label_5": "Чистые государственные привлечения, $ млрд", "label_6": "Обменный курс", "label_7": "Обменный курс"}, "ENG": {"label_1": "Reserves trend, $Bln", "label_2": "Total payment account balance, $Bln", "label_3": "Current operations account, $Bln", "label_4": "Balance of private sector investments, $Bln", "label_5": "Purely state attracted funds, $Bln", "label_6": "Exchange rate", "label_7": "Exchange rate"}}</v>
      </c>
      <c r="C156" t="str">
        <f>"{"&amp;_xlfn.TEXTJOIN(", ",TRUE,D156:D176)&amp;"}"</f>
        <v>{"UKR": {"label_1": "Динаміка резервів, $ млрд", "label_2": "Загальний приток валюти, $ млрд", "label_3": "Рахунок поточних операцій, $ млрд", "label_4": "Сальдо інвестицій приватного сектору, $ млрд", "label_5": "Чисті державні залучення, $ млрд", "label_6": "Обмінний курс", "label_7": "Обмінний курс"}, "RU": {"label_1": "Динамика резервов, $ млрд", "label_2": "Общий приток валюты, $ млрд", "label_3": "Счет текущих операций, $ млрд", "label_4": "Сальдо инвестиций частного сектора, $ млрд", "label_5": "Чистые государственные привлечения, $ млрд", "label_6": "Обменный курс", "label_7": "Обменный курс"}, "ENG": {"label_1": "Reserves trend, $Bln", "label_2": "Total payment account balance, $Bln", "label_3": "Current operations account, $Bln", "label_4": "Balance of private sector investments, $Bln", "label_5": "Purely state attracted funds, $Bln", "label_6": "Exchange rate", "label_7": "Exchange rate"}}</v>
      </c>
      <c r="D156" t="str">
        <f>CHAR(34)&amp;J156&amp;CHAR(34)&amp;": "&amp;E156</f>
        <v>"UKR": {"label_1": "Динаміка резервів, $ млрд", "label_2": "Загальний приток валюти, $ млрд", "label_3": "Рахунок поточних операцій, $ млрд", "label_4": "Сальдо інвестицій приватного сектору, $ млрд", "label_5": "Чисті державні залучення, $ млрд", "label_6": "Обмінний курс", "label_7": "Обмінний курс"}</v>
      </c>
      <c r="E156" t="str">
        <f>"{"&amp;_xlfn.TEXTJOIN(", ",TRUE,F156:F162)&amp;"}"</f>
        <v>{"label_1": "Динаміка резервів, $ млрд", "label_2": "Загальний приток валюти, $ млрд", "label_3": "Рахунок поточних операцій, $ млрд", "label_4": "Сальдо інвестицій приватного сектору, $ млрд", "label_5": "Чисті державні залучення, $ млрд", "label_6": "Обмінний курс", "label_7": "Обмінний курс"}</v>
      </c>
      <c r="F156" t="str">
        <f>CHAR(34)&amp;K156&amp;CHAR(34)&amp;": "&amp;CHAR(34)&amp;L156&amp;CHAR(34)</f>
        <v>"label_1": "Динаміка резервів, $ млрд"</v>
      </c>
      <c r="H156" t="s">
        <v>684</v>
      </c>
      <c r="I156" t="s">
        <v>695</v>
      </c>
      <c r="J156" t="s">
        <v>334</v>
      </c>
      <c r="K156" t="s">
        <v>690</v>
      </c>
      <c r="L156" t="str">
        <f>'Чарт ПБ 2022-2023'!AE4</f>
        <v>Динаміка резервів, $ млрд</v>
      </c>
    </row>
    <row r="157" spans="2:46" x14ac:dyDescent="0.35">
      <c r="F157" t="str">
        <f t="shared" ref="F157:F176" si="41">CHAR(34)&amp;K157&amp;CHAR(34)&amp;": "&amp;CHAR(34)&amp;L157&amp;CHAR(34)</f>
        <v>"label_2": "Загальний приток валюти, $ млрд"</v>
      </c>
      <c r="H157" t="s">
        <v>684</v>
      </c>
      <c r="I157" t="s">
        <v>695</v>
      </c>
      <c r="J157" t="s">
        <v>334</v>
      </c>
      <c r="K157" t="s">
        <v>691</v>
      </c>
      <c r="L157" t="str">
        <f>'Чарт ПБ 2022-2023'!AE5</f>
        <v>Загальний приток валюти, $ млрд</v>
      </c>
    </row>
    <row r="158" spans="2:46" x14ac:dyDescent="0.35">
      <c r="F158" t="str">
        <f t="shared" si="41"/>
        <v>"label_3": "Рахунок поточних операцій, $ млрд"</v>
      </c>
      <c r="H158" t="s">
        <v>684</v>
      </c>
      <c r="I158" t="s">
        <v>695</v>
      </c>
      <c r="J158" t="s">
        <v>334</v>
      </c>
      <c r="K158" t="s">
        <v>692</v>
      </c>
      <c r="L158" t="str">
        <f>'Чарт ПБ 2022-2023'!AE6</f>
        <v>Рахунок поточних операцій, $ млрд</v>
      </c>
    </row>
    <row r="159" spans="2:46" x14ac:dyDescent="0.35">
      <c r="F159" t="str">
        <f t="shared" si="41"/>
        <v>"label_4": "Сальдо інвестицій приватного сектору, $ млрд"</v>
      </c>
      <c r="H159" t="s">
        <v>684</v>
      </c>
      <c r="I159" t="s">
        <v>695</v>
      </c>
      <c r="J159" t="s">
        <v>334</v>
      </c>
      <c r="K159" t="s">
        <v>693</v>
      </c>
      <c r="L159" t="str">
        <f>'Чарт ПБ 2022-2023'!AE7</f>
        <v>Сальдо інвестицій приватного сектору, $ млрд</v>
      </c>
    </row>
    <row r="160" spans="2:46" x14ac:dyDescent="0.35">
      <c r="F160" t="str">
        <f t="shared" si="41"/>
        <v>"label_5": "Чисті державні залучення, $ млрд"</v>
      </c>
      <c r="H160" t="s">
        <v>684</v>
      </c>
      <c r="I160" t="s">
        <v>695</v>
      </c>
      <c r="J160" t="s">
        <v>334</v>
      </c>
      <c r="K160" t="s">
        <v>694</v>
      </c>
      <c r="L160" t="str">
        <f>'Чарт ПБ 2022-2023'!AE8</f>
        <v>Чисті державні залучення, $ млрд</v>
      </c>
    </row>
    <row r="161" spans="4:12" x14ac:dyDescent="0.35">
      <c r="F161" t="str">
        <f t="shared" si="41"/>
        <v>"label_6": "Обмінний курс"</v>
      </c>
      <c r="H161" t="s">
        <v>684</v>
      </c>
      <c r="I161" t="s">
        <v>695</v>
      </c>
      <c r="J161" t="s">
        <v>334</v>
      </c>
      <c r="K161" t="s">
        <v>714</v>
      </c>
      <c r="L161" t="str">
        <f>'Чарт ПБ 2022-2023'!AE10</f>
        <v>Обмінний курс</v>
      </c>
    </row>
    <row r="162" spans="4:12" x14ac:dyDescent="0.35">
      <c r="F162" t="str">
        <f t="shared" si="41"/>
        <v>"label_7": "Обмінний курс"</v>
      </c>
      <c r="H162" t="s">
        <v>684</v>
      </c>
      <c r="I162" t="s">
        <v>695</v>
      </c>
      <c r="J162" t="s">
        <v>334</v>
      </c>
      <c r="K162" t="s">
        <v>715</v>
      </c>
      <c r="L162" t="str">
        <f>'Чарт ПБ 2022-2023'!AE11</f>
        <v>Обмінний курс</v>
      </c>
    </row>
    <row r="163" spans="4:12" x14ac:dyDescent="0.35">
      <c r="D163" t="str">
        <f>CHAR(34)&amp;J163&amp;CHAR(34)&amp;": "&amp;E163</f>
        <v>"RU": {"label_1": "Динамика резервов, $ млрд", "label_2": "Общий приток валюты, $ млрд", "label_3": "Счет текущих операций, $ млрд", "label_4": "Сальдо инвестиций частного сектора, $ млрд", "label_5": "Чистые государственные привлечения, $ млрд", "label_6": "Обменный курс", "label_7": "Обменный курс"}</v>
      </c>
      <c r="E163" t="str">
        <f>"{"&amp;_xlfn.TEXTJOIN(", ",TRUE,F163:F169)&amp;"}"</f>
        <v>{"label_1": "Динамика резервов, $ млрд", "label_2": "Общий приток валюты, $ млрд", "label_3": "Счет текущих операций, $ млрд", "label_4": "Сальдо инвестиций частного сектора, $ млрд", "label_5": "Чистые государственные привлечения, $ млрд", "label_6": "Обменный курс", "label_7": "Обменный курс"}</v>
      </c>
      <c r="F163" t="str">
        <f t="shared" si="41"/>
        <v>"label_1": "Динамика резервов, $ млрд"</v>
      </c>
      <c r="H163" t="s">
        <v>684</v>
      </c>
      <c r="I163" t="s">
        <v>695</v>
      </c>
      <c r="J163" t="s">
        <v>336</v>
      </c>
      <c r="K163" t="s">
        <v>690</v>
      </c>
      <c r="L163" t="str">
        <f>'Чарт ПБ 2022-2023'!AC4</f>
        <v>Динамика резервов, $ млрд</v>
      </c>
    </row>
    <row r="164" spans="4:12" x14ac:dyDescent="0.35">
      <c r="F164" t="str">
        <f t="shared" si="41"/>
        <v>"label_2": "Общий приток валюты, $ млрд"</v>
      </c>
      <c r="H164" t="s">
        <v>684</v>
      </c>
      <c r="I164" t="s">
        <v>695</v>
      </c>
      <c r="J164" t="s">
        <v>336</v>
      </c>
      <c r="K164" t="s">
        <v>691</v>
      </c>
      <c r="L164" t="str">
        <f>'Чарт ПБ 2022-2023'!AC5</f>
        <v>Общий приток валюты, $ млрд</v>
      </c>
    </row>
    <row r="165" spans="4:12" x14ac:dyDescent="0.35">
      <c r="F165" t="str">
        <f t="shared" si="41"/>
        <v>"label_3": "Счет текущих операций, $ млрд"</v>
      </c>
      <c r="H165" t="s">
        <v>684</v>
      </c>
      <c r="I165" t="s">
        <v>695</v>
      </c>
      <c r="J165" t="s">
        <v>336</v>
      </c>
      <c r="K165" t="s">
        <v>692</v>
      </c>
      <c r="L165" t="str">
        <f>'Чарт ПБ 2022-2023'!AC6</f>
        <v>Счет текущих операций, $ млрд</v>
      </c>
    </row>
    <row r="166" spans="4:12" x14ac:dyDescent="0.35">
      <c r="F166" t="str">
        <f t="shared" si="41"/>
        <v>"label_4": "Сальдо инвестиций частного сектора, $ млрд"</v>
      </c>
      <c r="H166" t="s">
        <v>684</v>
      </c>
      <c r="I166" t="s">
        <v>695</v>
      </c>
      <c r="J166" t="s">
        <v>336</v>
      </c>
      <c r="K166" t="s">
        <v>693</v>
      </c>
      <c r="L166" t="str">
        <f>'Чарт ПБ 2022-2023'!AC7</f>
        <v>Сальдо инвестиций частного сектора, $ млрд</v>
      </c>
    </row>
    <row r="167" spans="4:12" x14ac:dyDescent="0.35">
      <c r="F167" t="str">
        <f t="shared" si="41"/>
        <v>"label_5": "Чистые государственные привлечения, $ млрд"</v>
      </c>
      <c r="H167" t="s">
        <v>684</v>
      </c>
      <c r="I167" t="s">
        <v>695</v>
      </c>
      <c r="J167" t="s">
        <v>336</v>
      </c>
      <c r="K167" t="s">
        <v>694</v>
      </c>
      <c r="L167" t="str">
        <f>'Чарт ПБ 2022-2023'!AC8</f>
        <v>Чистые государственные привлечения, $ млрд</v>
      </c>
    </row>
    <row r="168" spans="4:12" x14ac:dyDescent="0.35">
      <c r="F168" t="str">
        <f t="shared" si="41"/>
        <v>"label_6": "Обменный курс"</v>
      </c>
      <c r="H168" t="s">
        <v>684</v>
      </c>
      <c r="I168" t="s">
        <v>695</v>
      </c>
      <c r="J168" t="s">
        <v>336</v>
      </c>
      <c r="K168" t="s">
        <v>714</v>
      </c>
      <c r="L168" t="str">
        <f>'Чарт ПБ 2022-2023'!AC10</f>
        <v>Обменный курс</v>
      </c>
    </row>
    <row r="169" spans="4:12" x14ac:dyDescent="0.35">
      <c r="F169" t="str">
        <f t="shared" si="41"/>
        <v>"label_7": "Обменный курс"</v>
      </c>
      <c r="H169" t="s">
        <v>684</v>
      </c>
      <c r="I169" t="s">
        <v>695</v>
      </c>
      <c r="J169" t="s">
        <v>336</v>
      </c>
      <c r="K169" t="s">
        <v>715</v>
      </c>
      <c r="L169" t="str">
        <f>'Чарт ПБ 2022-2023'!AC11</f>
        <v>Обменный курс</v>
      </c>
    </row>
    <row r="170" spans="4:12" x14ac:dyDescent="0.35">
      <c r="D170" t="str">
        <f>CHAR(34)&amp;J170&amp;CHAR(34)&amp;": "&amp;E170</f>
        <v>"ENG": {"label_1": "Reserves trend, $Bln", "label_2": "Total payment account balance, $Bln", "label_3": "Current operations account, $Bln", "label_4": "Balance of private sector investments, $Bln", "label_5": "Purely state attracted funds, $Bln", "label_6": "Exchange rate", "label_7": "Exchange rate"}</v>
      </c>
      <c r="E170" t="str">
        <f>"{"&amp;_xlfn.TEXTJOIN(", ",TRUE,F170:F176)&amp;"}"</f>
        <v>{"label_1": "Reserves trend, $Bln", "label_2": "Total payment account balance, $Bln", "label_3": "Current operations account, $Bln", "label_4": "Balance of private sector investments, $Bln", "label_5": "Purely state attracted funds, $Bln", "label_6": "Exchange rate", "label_7": "Exchange rate"}</v>
      </c>
      <c r="F170" t="str">
        <f t="shared" si="41"/>
        <v>"label_1": "Reserves trend, $Bln"</v>
      </c>
      <c r="H170" t="s">
        <v>684</v>
      </c>
      <c r="I170" t="s">
        <v>695</v>
      </c>
      <c r="J170" t="s">
        <v>337</v>
      </c>
      <c r="K170" t="s">
        <v>690</v>
      </c>
      <c r="L170" t="str">
        <f>'Чарт ПБ 2022-2023'!AD4</f>
        <v>Reserves trend, $Bln</v>
      </c>
    </row>
    <row r="171" spans="4:12" x14ac:dyDescent="0.35">
      <c r="F171" t="str">
        <f t="shared" si="41"/>
        <v>"label_2": "Total payment account balance, $Bln"</v>
      </c>
      <c r="H171" t="s">
        <v>684</v>
      </c>
      <c r="I171" t="s">
        <v>695</v>
      </c>
      <c r="J171" t="s">
        <v>337</v>
      </c>
      <c r="K171" t="s">
        <v>691</v>
      </c>
      <c r="L171" t="str">
        <f>'Чарт ПБ 2022-2023'!AD5</f>
        <v>Total payment account balance, $Bln</v>
      </c>
    </row>
    <row r="172" spans="4:12" x14ac:dyDescent="0.35">
      <c r="F172" t="str">
        <f t="shared" si="41"/>
        <v>"label_3": "Current operations account, $Bln"</v>
      </c>
      <c r="H172" t="s">
        <v>684</v>
      </c>
      <c r="I172" t="s">
        <v>695</v>
      </c>
      <c r="J172" t="s">
        <v>337</v>
      </c>
      <c r="K172" t="s">
        <v>692</v>
      </c>
      <c r="L172" t="str">
        <f>'Чарт ПБ 2022-2023'!AD6</f>
        <v>Current operations account, $Bln</v>
      </c>
    </row>
    <row r="173" spans="4:12" x14ac:dyDescent="0.35">
      <c r="F173" t="str">
        <f t="shared" si="41"/>
        <v>"label_4": "Balance of private sector investments, $Bln"</v>
      </c>
      <c r="H173" t="s">
        <v>684</v>
      </c>
      <c r="I173" t="s">
        <v>695</v>
      </c>
      <c r="J173" t="s">
        <v>337</v>
      </c>
      <c r="K173" t="s">
        <v>693</v>
      </c>
      <c r="L173" t="str">
        <f>'Чарт ПБ 2022-2023'!AD7</f>
        <v>Balance of private sector investments, $Bln</v>
      </c>
    </row>
    <row r="174" spans="4:12" x14ac:dyDescent="0.35">
      <c r="F174" t="str">
        <f t="shared" si="41"/>
        <v>"label_5": "Purely state attracted funds, $Bln"</v>
      </c>
      <c r="H174" t="s">
        <v>684</v>
      </c>
      <c r="I174" t="s">
        <v>695</v>
      </c>
      <c r="J174" t="s">
        <v>337</v>
      </c>
      <c r="K174" t="s">
        <v>694</v>
      </c>
      <c r="L174" t="str">
        <f>'Чарт ПБ 2022-2023'!AD8</f>
        <v>Purely state attracted funds, $Bln</v>
      </c>
    </row>
    <row r="175" spans="4:12" x14ac:dyDescent="0.35">
      <c r="F175" t="str">
        <f t="shared" si="41"/>
        <v>"label_6": "Exchange rate"</v>
      </c>
      <c r="H175" t="s">
        <v>684</v>
      </c>
      <c r="I175" t="s">
        <v>695</v>
      </c>
      <c r="J175" t="s">
        <v>337</v>
      </c>
      <c r="K175" t="s">
        <v>714</v>
      </c>
      <c r="L175" t="str">
        <f>'Чарт ПБ 2022-2023'!AD10</f>
        <v>Exchange rate</v>
      </c>
    </row>
    <row r="176" spans="4:12" x14ac:dyDescent="0.35">
      <c r="F176" t="str">
        <f t="shared" si="41"/>
        <v>"label_7": "Exchange rate"</v>
      </c>
      <c r="H176" t="s">
        <v>684</v>
      </c>
      <c r="I176" t="s">
        <v>695</v>
      </c>
      <c r="J176" t="s">
        <v>337</v>
      </c>
      <c r="K176" t="s">
        <v>715</v>
      </c>
      <c r="L176" t="str">
        <f>'Чарт ПБ 2022-2023'!AD11</f>
        <v>Exchange rate</v>
      </c>
    </row>
    <row r="178" spans="1:46" x14ac:dyDescent="0.35">
      <c r="B178" t="str">
        <f>CHAR(34)&amp;I178&amp;CHAR(34)&amp;": "&amp;C178</f>
        <v>"source": {"UKR": "Джерело: НБУ, розрахунки Ukraine Economic Outlook", "RU": "Источник: НБУ, расчеты Ukraine Economic Outlook", "ENG": "Source: NBU, Ukraine Economic Outlook calculations"}</v>
      </c>
      <c r="C178" t="str">
        <f>"{"&amp;_xlfn.TEXTJOIN(", ",TRUE,F178:F180)&amp;"}"</f>
        <v>{"UKR": "Джерело: НБУ, розрахунки Ukraine Economic Outlook", "RU": "Источник: НБУ, расчеты Ukraine Economic Outlook", "ENG": "Source: NBU, Ukraine Economic Outlook calculations"}</v>
      </c>
      <c r="F178" t="str">
        <f>CHAR(34)&amp;J178&amp;CHAR(34)&amp;": "&amp;CHAR(34)&amp;K178&amp;CHAR(34)</f>
        <v>"UKR": "Джерело: НБУ, розрахунки Ukraine Economic Outlook"</v>
      </c>
      <c r="H178" t="s">
        <v>684</v>
      </c>
      <c r="I178" t="s">
        <v>696</v>
      </c>
      <c r="J178" t="s">
        <v>334</v>
      </c>
      <c r="K178" t="str">
        <f>Чарти!M95</f>
        <v>Джерело: НБУ, розрахунки Ukraine Economic Outlook</v>
      </c>
    </row>
    <row r="179" spans="1:46" x14ac:dyDescent="0.35">
      <c r="F179" t="str">
        <f t="shared" ref="F179:F180" si="42">CHAR(34)&amp;J179&amp;CHAR(34)&amp;": "&amp;CHAR(34)&amp;K179&amp;CHAR(34)</f>
        <v>"RU": "Источник: НБУ, расчеты Ukraine Economic Outlook"</v>
      </c>
      <c r="H179" t="s">
        <v>684</v>
      </c>
      <c r="I179" t="s">
        <v>696</v>
      </c>
      <c r="J179" t="s">
        <v>336</v>
      </c>
      <c r="K179" t="str">
        <f>Чарти!M93</f>
        <v>Источник: НБУ, расчеты Ukraine Economic Outlook</v>
      </c>
    </row>
    <row r="180" spans="1:46" x14ac:dyDescent="0.35">
      <c r="F180" t="str">
        <f t="shared" si="42"/>
        <v>"ENG": "Source: NBU, Ukraine Economic Outlook calculations"</v>
      </c>
      <c r="H180" t="s">
        <v>684</v>
      </c>
      <c r="I180" t="s">
        <v>696</v>
      </c>
      <c r="J180" t="s">
        <v>337</v>
      </c>
      <c r="K180" t="str">
        <f>Чарти!M94</f>
        <v>Source: NBU, Ukraine Economic Outlook calculations</v>
      </c>
    </row>
    <row r="182" spans="1:46" x14ac:dyDescent="0.35">
      <c r="A182" s="1395"/>
      <c r="B182" s="1395"/>
      <c r="C182" s="1395"/>
      <c r="D182" s="1395"/>
      <c r="E182" s="1395"/>
      <c r="F182" s="1395"/>
      <c r="G182" s="1395"/>
    </row>
    <row r="183" spans="1:46" x14ac:dyDescent="0.35">
      <c r="A183" t="str">
        <f>"{"&amp;CHAR(34)&amp;H183&amp;CHAR(34)&amp;": "&amp;B183&amp;"}"</f>
        <v>{"Chart1": {"name": {"UKR": "Обсяги ЗВР, інтервенцій, сальдо операцій приватного сектору та платіжний баланс по місяцях, $ млрд", "RU": "Объемы ЗВР, интервенций, сальдо операций частного сектора и платежный баланс по месяцам, $ млрд", "ENG": "Volume of foreign reserves, interventions, balance of private sector transactions and balance of payments by month, $Bln "},"indexes":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12]},"labels": {"label_1": [-1313.5, -357.8, -1728, -2201, -3354.2, -3956.3, -1195, -1329.7, -2737.7, -2046.9, -1568.8, -3163.5, -3082.13, -2431, -1668.97, -1370.38, -1927.61, -1797.88, -1932.92, -2364.23, -2691.4, -3337.47, -2452.86, -3553.04, -1810.41781669175, -2843.78313737351, -3272.30223099214, -2101.56116641653, -2680.10645777296, -2494.02891307096, -2451.09960473375, -1005.15859144036, -1739.84848223047, -1354.10474301278, -1477.69484749544, -1703.9523365589], "label_2": [-1762, -1658, 679, -867, -1921, -2220, -299, 3105, -1375, 1251, 2437, 362, 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2708.96067029323], "label_3": [-1277, -1083, -1962, -1661, -2880, -3960, -126, 1666, -1209, -2652, -1979, -3694, -3351, -2698, -1363, -1373, -1605, -2068.7, -1928.3, -2671, -2641, -3464, -2237, -3749.08007740016, -2011.57535187972, -3159.75904152612, -3635.89136776905, -2212.16964885951, -2821.16469239259, -2625.29359270627, -2580.10484708816, -1058.06167520038, -1831.41945497944, -1425.37341369767, -1555.46826052151, -1793.63403848305], "label_4": [29086.96, 27552.86, 28107.45, 26945, 25102, 22802, 22387, 25439, 23932, 25246, 27955, 28494, 29928.21, 28869.64, 31886.73, 35952.52, 37321.43, 39026.55, 41737.55, 40405.2, 39722.78, 38987.2, 38796.05, 40507.88, 40476.0396614893, 40115.5757383229, 40715.7307617039, 41185.3600400521, 41608.9900488328, 43367.459668451, 44347.112255008, 46004.94493814, 48077.8949532286, 49289.3580931129, 50644.6409036783, 53443.2832758957]},"label_names": {"UKR": {"label_1": "Обсяги інтервенцій за місяцями", "label_2": "Сальдо платіжного балансу", "label_3": "Сальдо операцій приватного сект.", "label_4": "Зміна резервів"}, "RU": {"label_1": "Объемы интервенций по месяцам", "label_2": "Сальдо платежного баланса", "label_3": "Сальдо операций частного сект.", "label_4": "Изменение резервов"}, "ENG": {"label_1": "Interventions by month", "label_2": "Balance of payments", "label_3": "Balance of private sector ops.", "label_4": "Change of foreign reserves"}},"source": {"UKR": "Джерело: НБУ, розрахунки Ukraine Economic Outlook", "RU": "Источник: НБУ, расчеты Ukraine Economic Outlook", "ENG": "Source: NBU, Ukraine Economic Outlook calculations"}}}</v>
      </c>
      <c r="B183" t="str">
        <f>"{"&amp;_xlfn.TEXTJOIN(",",TRUE,B184:B211)&amp;"}"</f>
        <v>{"name": {"UKR": "Обсяги ЗВР, інтервенцій, сальдо операцій приватного сектору та платіжний баланс по місяцях, $ млрд", "RU": "Объемы ЗВР, интервенций, сальдо операций частного сектора и платежный баланс по месяцам, $ млрд", "ENG": "Volume of foreign reserves, interventions, balance of private sector transactions and balance of payments by month, $Bln "},"indexes":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12]},"labels": {"label_1": [-1313.5, -357.8, -1728, -2201, -3354.2, -3956.3, -1195, -1329.7, -2737.7, -2046.9, -1568.8, -3163.5, -3082.13, -2431, -1668.97, -1370.38, -1927.61, -1797.88, -1932.92, -2364.23, -2691.4, -3337.47, -2452.86, -3553.04, -1810.41781669175, -2843.78313737351, -3272.30223099214, -2101.56116641653, -2680.10645777296, -2494.02891307096, -2451.09960473375, -1005.15859144036, -1739.84848223047, -1354.10474301278, -1477.69484749544, -1703.9523365589], "label_2": [-1762, -1658, 679, -867, -1921, -2220, -299, 3105, -1375, 1251, 2437, 362, 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2708.96067029323], "label_3": [-1277, -1083, -1962, -1661, -2880, -3960, -126, 1666, -1209, -2652, -1979, -3694, -3351, -2698, -1363, -1373, -1605, -2068.7, -1928.3, -2671, -2641, -3464, -2237, -3749.08007740016, -2011.57535187972, -3159.75904152612, -3635.89136776905, -2212.16964885951, -2821.16469239259, -2625.29359270627, -2580.10484708816, -1058.06167520038, -1831.41945497944, -1425.37341369767, -1555.46826052151, -1793.63403848305], "label_4": [29086.96, 27552.86, 28107.45, 26945, 25102, 22802, 22387, 25439, 23932, 25246, 27955, 28494, 29928.21, 28869.64, 31886.73, 35952.52, 37321.43, 39026.55, 41737.55, 40405.2, 39722.78, 38987.2, 38796.05, 40507.88, 40476.0396614893, 40115.5757383229, 40715.7307617039, 41185.3600400521, 41608.9900488328, 43367.459668451, 44347.112255008, 46004.94493814, 48077.8949532286, 49289.3580931129, 50644.6409036783, 53443.2832758957]},"label_names": {"UKR": {"label_1": "Обсяги інтервенцій за місяцями", "label_2": "Сальдо платіжного балансу", "label_3": "Сальдо операцій приватного сект.", "label_4": "Зміна резервів"}, "RU": {"label_1": "Объемы интервенций по месяцам", "label_2": "Сальдо платежного баланса", "label_3": "Сальдо операций частного сект.", "label_4": "Изменение резервов"}, "ENG": {"label_1": "Interventions by month", "label_2": "Balance of payments", "label_3": "Balance of private sector ops.", "label_4": "Change of foreign reserves"}},"source": {"UKR": "Джерело: НБУ, розрахунки Ukraine Economic Outlook", "RU": "Источник: НБУ, расчеты Ukraine Economic Outlook", "ENG": "Source: NBU, Ukraine Economic Outlook calculations"}}</v>
      </c>
      <c r="H183" t="s">
        <v>684</v>
      </c>
    </row>
    <row r="184" spans="1:46" x14ac:dyDescent="0.35">
      <c r="B184" t="str">
        <f>CHAR(34)&amp;I184&amp;CHAR(34)&amp;": "&amp;C184</f>
        <v>"name": {"UKR": "Обсяги ЗВР, інтервенцій, сальдо операцій приватного сектору та платіжний баланс по місяцях, $ млрд", "RU": "Объемы ЗВР, интервенций, сальдо операций частного сектора и платежный баланс по месяцам, $ млрд", "ENG": "Volume of foreign reserves, interventions, balance of private sector transactions and balance of payments by month, $Bln "}</v>
      </c>
      <c r="C184" t="str">
        <f>"{"&amp;_xlfn.TEXTJOIN(", ",TRUE,F184:F186)&amp;"}"</f>
        <v>{"UKR": "Обсяги ЗВР, інтервенцій, сальдо операцій приватного сектору та платіжний баланс по місяцях, $ млрд", "RU": "Объемы ЗВР, интервенций, сальдо операций частного сектора и платежный баланс по месяцам, $ млрд", "ENG": "Volume of foreign reserves, interventions, balance of private sector transactions and balance of payments by month, $Bln "}</v>
      </c>
      <c r="F184" t="str">
        <f>CHAR(34)&amp;J184&amp;CHAR(34)&amp;": "&amp;CHAR(34)&amp;K184&amp;CHAR(34)</f>
        <v>"UKR": "Обсяги ЗВР, інтервенцій, сальдо операцій приватного сектору та платіжний баланс по місяцях, $ млрд"</v>
      </c>
      <c r="H184" t="s">
        <v>684</v>
      </c>
      <c r="I184" t="s">
        <v>685</v>
      </c>
      <c r="J184" t="s">
        <v>334</v>
      </c>
      <c r="K184" t="s">
        <v>719</v>
      </c>
    </row>
    <row r="185" spans="1:46" x14ac:dyDescent="0.35">
      <c r="F185" t="str">
        <f t="shared" ref="F185:F186" si="43">CHAR(34)&amp;J185&amp;CHAR(34)&amp;": "&amp;CHAR(34)&amp;K185&amp;CHAR(34)</f>
        <v>"RU": "Объемы ЗВР, интервенций, сальдо операций частного сектора и платежный баланс по месяцам, $ млрд"</v>
      </c>
      <c r="H185" t="s">
        <v>684</v>
      </c>
      <c r="I185" t="s">
        <v>685</v>
      </c>
      <c r="J185" t="s">
        <v>336</v>
      </c>
      <c r="K185" t="s">
        <v>720</v>
      </c>
    </row>
    <row r="186" spans="1:46" x14ac:dyDescent="0.35">
      <c r="F186" t="str">
        <f t="shared" si="43"/>
        <v>"ENG": "Volume of foreign reserves, interventions, balance of private sector transactions and balance of payments by month, $Bln "</v>
      </c>
      <c r="H186" t="s">
        <v>684</v>
      </c>
      <c r="I186" t="s">
        <v>685</v>
      </c>
      <c r="J186" t="s">
        <v>337</v>
      </c>
      <c r="K186" t="s">
        <v>721</v>
      </c>
    </row>
    <row r="188" spans="1:46" x14ac:dyDescent="0.35">
      <c r="B188" t="str">
        <f>CHAR(34)&amp;I188&amp;CHAR(34)&amp;": "&amp;C188</f>
        <v>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</v>
      </c>
      <c r="C188" t="str">
        <f>"{"&amp;_xlfn.TEXTJOIN(", ",TRUE,E188:E189)&amp;"}"</f>
        <v>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</v>
      </c>
      <c r="E188" t="str">
        <f>CHAR(34)&amp;J188&amp;CHAR(34)&amp;": "&amp;F188</f>
        <v>"index_0": [2022, 2022, 2022, 2022, 2022, 2022, 2022, 2022, 2022, 2022, 2022, 2022, 2023, 2023, 2023, 2023, 2023, 2023, 2023, 2023, 2023, 2023, 2023, 2023, 2024, 2024, 2024, 2024, 2024, 2024, 2024, 2024, 2024, 2024, 2024, 2024]</v>
      </c>
      <c r="F188" s="1" t="str" cm="1">
        <f t="array" ref="F188">"["&amp;_xlfn.TEXTJOIN(", ",FALSE,SUBSTITUTE(K188:AT188,",","."))&amp;"]"</f>
        <v>[2022, 2022, 2022, 2022, 2022, 2022, 2022, 2022, 2022, 2022, 2022, 2022, 2023, 2023, 2023, 2023, 2023, 2023, 2023, 2023, 2023, 2023, 2023, 2023, 2024, 2024, 2024, 2024, 2024, 2024, 2024, 2024, 2024, 2024, 2024, 2024]</v>
      </c>
      <c r="H188" t="s">
        <v>684</v>
      </c>
      <c r="I188" t="s">
        <v>686</v>
      </c>
      <c r="J188" t="s">
        <v>687</v>
      </c>
      <c r="K188">
        <f>K8</f>
        <v>2022</v>
      </c>
      <c r="L188">
        <f t="shared" ref="L188:AI188" si="44">L8</f>
        <v>2022</v>
      </c>
      <c r="M188">
        <f t="shared" si="44"/>
        <v>2022</v>
      </c>
      <c r="N188">
        <f t="shared" si="44"/>
        <v>2022</v>
      </c>
      <c r="O188">
        <f t="shared" si="44"/>
        <v>2022</v>
      </c>
      <c r="P188">
        <f t="shared" si="44"/>
        <v>2022</v>
      </c>
      <c r="Q188">
        <f t="shared" si="44"/>
        <v>2022</v>
      </c>
      <c r="R188">
        <f t="shared" si="44"/>
        <v>2022</v>
      </c>
      <c r="S188">
        <f t="shared" si="44"/>
        <v>2022</v>
      </c>
      <c r="T188">
        <f t="shared" si="44"/>
        <v>2022</v>
      </c>
      <c r="U188">
        <f t="shared" si="44"/>
        <v>2022</v>
      </c>
      <c r="V188">
        <f t="shared" si="44"/>
        <v>2022</v>
      </c>
      <c r="W188">
        <f t="shared" si="44"/>
        <v>2023</v>
      </c>
      <c r="X188">
        <f t="shared" si="44"/>
        <v>2023</v>
      </c>
      <c r="Y188">
        <f t="shared" si="44"/>
        <v>2023</v>
      </c>
      <c r="Z188">
        <f t="shared" si="44"/>
        <v>2023</v>
      </c>
      <c r="AA188">
        <f t="shared" si="44"/>
        <v>2023</v>
      </c>
      <c r="AB188">
        <f t="shared" si="44"/>
        <v>2023</v>
      </c>
      <c r="AC188">
        <f t="shared" si="44"/>
        <v>2023</v>
      </c>
      <c r="AD188">
        <f t="shared" si="44"/>
        <v>2023</v>
      </c>
      <c r="AE188">
        <f t="shared" si="44"/>
        <v>2023</v>
      </c>
      <c r="AF188">
        <f t="shared" si="44"/>
        <v>2023</v>
      </c>
      <c r="AG188">
        <f t="shared" si="44"/>
        <v>2023</v>
      </c>
      <c r="AH188">
        <f t="shared" si="44"/>
        <v>2023</v>
      </c>
      <c r="AI188">
        <f t="shared" si="44"/>
        <v>2024</v>
      </c>
      <c r="AJ188">
        <f>AJ8</f>
        <v>2024</v>
      </c>
      <c r="AK188">
        <f t="shared" ref="AK188:AT188" si="45">AK8</f>
        <v>2024</v>
      </c>
      <c r="AL188">
        <f t="shared" si="45"/>
        <v>2024</v>
      </c>
      <c r="AM188">
        <f t="shared" si="45"/>
        <v>2024</v>
      </c>
      <c r="AN188">
        <f t="shared" si="45"/>
        <v>2024</v>
      </c>
      <c r="AO188">
        <f t="shared" si="45"/>
        <v>2024</v>
      </c>
      <c r="AP188">
        <f t="shared" si="45"/>
        <v>2024</v>
      </c>
      <c r="AQ188">
        <f t="shared" si="45"/>
        <v>2024</v>
      </c>
      <c r="AR188">
        <f t="shared" si="45"/>
        <v>2024</v>
      </c>
      <c r="AS188">
        <f t="shared" si="45"/>
        <v>2024</v>
      </c>
      <c r="AT188">
        <f t="shared" si="45"/>
        <v>2024</v>
      </c>
    </row>
    <row r="189" spans="1:46" x14ac:dyDescent="0.35">
      <c r="E189" t="str">
        <f>CHAR(34)&amp;J189&amp;CHAR(34)&amp;": "&amp;F189</f>
        <v>"index_1": [1, 2, 3, 4, 5, 6, 7, 8, 9, 10, 11, 12, 1, 2, 3, 4, 5, 6, 7, 8, 9, 10, 11, 12, 1, 2, 3, 4, 5, 6, 7, 8, 9, 10, 11, 12]</v>
      </c>
      <c r="F189" s="1" t="str" cm="1">
        <f t="array" ref="F189">"["&amp;_xlfn.TEXTJOIN(", ",FALSE,SUBSTITUTE(K189:AT189,",","."))&amp;"]"</f>
        <v>[1, 2, 3, 4, 5, 6, 7, 8, 9, 10, 11, 12, 1, 2, 3, 4, 5, 6, 7, 8, 9, 10, 11, 12, 1, 2, 3, 4, 5, 6, 7, 8, 9, 10, 11, 12]</v>
      </c>
      <c r="H189" t="s">
        <v>684</v>
      </c>
      <c r="I189" t="s">
        <v>686</v>
      </c>
      <c r="J189" t="s">
        <v>688</v>
      </c>
      <c r="K189">
        <f>K9</f>
        <v>1</v>
      </c>
      <c r="L189">
        <f t="shared" ref="L189:AI189" si="46">L9</f>
        <v>2</v>
      </c>
      <c r="M189">
        <f t="shared" si="46"/>
        <v>3</v>
      </c>
      <c r="N189">
        <f t="shared" si="46"/>
        <v>4</v>
      </c>
      <c r="O189">
        <f t="shared" si="46"/>
        <v>5</v>
      </c>
      <c r="P189">
        <f t="shared" si="46"/>
        <v>6</v>
      </c>
      <c r="Q189">
        <f t="shared" si="46"/>
        <v>7</v>
      </c>
      <c r="R189">
        <f t="shared" si="46"/>
        <v>8</v>
      </c>
      <c r="S189">
        <f t="shared" si="46"/>
        <v>9</v>
      </c>
      <c r="T189">
        <f t="shared" si="46"/>
        <v>10</v>
      </c>
      <c r="U189">
        <f t="shared" si="46"/>
        <v>11</v>
      </c>
      <c r="V189">
        <f t="shared" si="46"/>
        <v>12</v>
      </c>
      <c r="W189">
        <f t="shared" si="46"/>
        <v>1</v>
      </c>
      <c r="X189">
        <f t="shared" si="46"/>
        <v>2</v>
      </c>
      <c r="Y189">
        <f t="shared" si="46"/>
        <v>3</v>
      </c>
      <c r="Z189">
        <f t="shared" si="46"/>
        <v>4</v>
      </c>
      <c r="AA189">
        <f t="shared" si="46"/>
        <v>5</v>
      </c>
      <c r="AB189">
        <f t="shared" si="46"/>
        <v>6</v>
      </c>
      <c r="AC189">
        <f t="shared" si="46"/>
        <v>7</v>
      </c>
      <c r="AD189">
        <f t="shared" si="46"/>
        <v>8</v>
      </c>
      <c r="AE189">
        <f t="shared" si="46"/>
        <v>9</v>
      </c>
      <c r="AF189">
        <f t="shared" si="46"/>
        <v>10</v>
      </c>
      <c r="AG189">
        <f t="shared" si="46"/>
        <v>11</v>
      </c>
      <c r="AH189">
        <f t="shared" si="46"/>
        <v>12</v>
      </c>
      <c r="AI189">
        <f t="shared" si="46"/>
        <v>1</v>
      </c>
      <c r="AJ189">
        <f>AJ9</f>
        <v>2</v>
      </c>
      <c r="AK189">
        <f t="shared" ref="AK189:AT189" si="47">AK9</f>
        <v>3</v>
      </c>
      <c r="AL189">
        <f t="shared" si="47"/>
        <v>4</v>
      </c>
      <c r="AM189">
        <f t="shared" si="47"/>
        <v>5</v>
      </c>
      <c r="AN189">
        <f t="shared" si="47"/>
        <v>6</v>
      </c>
      <c r="AO189">
        <f t="shared" si="47"/>
        <v>7</v>
      </c>
      <c r="AP189">
        <f t="shared" si="47"/>
        <v>8</v>
      </c>
      <c r="AQ189">
        <f t="shared" si="47"/>
        <v>9</v>
      </c>
      <c r="AR189">
        <f t="shared" si="47"/>
        <v>10</v>
      </c>
      <c r="AS189">
        <f t="shared" si="47"/>
        <v>11</v>
      </c>
      <c r="AT189">
        <f t="shared" si="47"/>
        <v>12</v>
      </c>
    </row>
    <row r="190" spans="1:46" x14ac:dyDescent="0.35">
      <c r="F190" s="1"/>
    </row>
    <row r="191" spans="1:46" x14ac:dyDescent="0.35">
      <c r="B191" t="str">
        <f>CHAR(34)&amp;I191&amp;CHAR(34)&amp;": "&amp;C191</f>
        <v>"labels": {"label_1": [-1313.5, -357.8, -1728, -2201, -3354.2, -3956.3, -1195, -1329.7, -2737.7, -2046.9, -1568.8, -3163.5, -3082.13, -2431, -1668.97, -1370.38, -1927.61, -1797.88, -1932.92, -2364.23, -2691.4, -3337.47, -2452.86, -3553.04, -1810.41781669175, -2843.78313737351, -3272.30223099214, -2101.56116641653, -2680.10645777296, -2494.02891307096, -2451.09960473375, -1005.15859144036, -1739.84848223047, -1354.10474301278, -1477.69484749544, -1703.9523365589], "label_2": [-1762, -1658, 679, -867, -1921, -2220, -299, 3105, -1375, 1251, 2437, 362, 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2708.96067029323], "label_3": [-1277, -1083, -1962, -1661, -2880, -3960, -126, 1666, -1209, -2652, -1979, -3694, -3351, -2698, -1363, -1373, -1605, -2068.7, -1928.3, -2671, -2641, -3464, -2237, -3749.08007740016, -2011.57535187972, -3159.75904152612, -3635.89136776905, -2212.16964885951, -2821.16469239259, -2625.29359270627, -2580.10484708816, -1058.06167520038, -1831.41945497944, -1425.37341369767, -1555.46826052151, -1793.63403848305], "label_4": [29086.96, 27552.86, 28107.45, 26945, 25102, 22802, 22387, 25439, 23932, 25246, 27955, 28494, 29928.21, 28869.64, 31886.73, 35952.52, 37321.43, 39026.55, 41737.55, 40405.2, 39722.78, 38987.2, 38796.05, 40507.88, 40476.0396614893, 40115.5757383229, 40715.7307617039, 41185.3600400521, 41608.9900488328, 43367.459668451, 44347.112255008, 46004.94493814, 48077.8949532286, 49289.3580931129, 50644.6409036783, 53443.2832758957]}</v>
      </c>
      <c r="C191" t="str">
        <f>"{"&amp;_xlfn.TEXTJOIN(", ",TRUE,E191:E194)&amp;"}"</f>
        <v>{"label_1": [-1313.5, -357.8, -1728, -2201, -3354.2, -3956.3, -1195, -1329.7, -2737.7, -2046.9, -1568.8, -3163.5, -3082.13, -2431, -1668.97, -1370.38, -1927.61, -1797.88, -1932.92, -2364.23, -2691.4, -3337.47, -2452.86, -3553.04, -1810.41781669175, -2843.78313737351, -3272.30223099214, -2101.56116641653, -2680.10645777296, -2494.02891307096, -2451.09960473375, -1005.15859144036, -1739.84848223047, -1354.10474301278, -1477.69484749544, -1703.9523365589], "label_2": [-1762, -1658, 679, -867, -1921, -2220, -299, 3105, -1375, 1251, 2437, 362, 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2708.96067029323], "label_3": [-1277, -1083, -1962, -1661, -2880, -3960, -126, 1666, -1209, -2652, -1979, -3694, -3351, -2698, -1363, -1373, -1605, -2068.7, -1928.3, -2671, -2641, -3464, -2237, -3749.08007740016, -2011.57535187972, -3159.75904152612, -3635.89136776905, -2212.16964885951, -2821.16469239259, -2625.29359270627, -2580.10484708816, -1058.06167520038, -1831.41945497944, -1425.37341369767, -1555.46826052151, -1793.63403848305], "label_4": [29086.96, 27552.86, 28107.45, 26945, 25102, 22802, 22387, 25439, 23932, 25246, 27955, 28494, 29928.21, 28869.64, 31886.73, 35952.52, 37321.43, 39026.55, 41737.55, 40405.2, 39722.78, 38987.2, 38796.05, 40507.88, 40476.0396614893, 40115.5757383229, 40715.7307617039, 41185.3600400521, 41608.9900488328, 43367.459668451, 44347.112255008, 46004.94493814, 48077.8949532286, 49289.3580931129, 50644.6409036783, 53443.2832758957]}</v>
      </c>
      <c r="E191" t="str">
        <f>CHAR(34)&amp;J191&amp;CHAR(34)&amp;": "&amp;F191</f>
        <v>"label_1": [-1313.5, -357.8, -1728, -2201, -3354.2, -3956.3, -1195, -1329.7, -2737.7, -2046.9, -1568.8, -3163.5, -3082.13, -2431, -1668.97, -1370.38, -1927.61, -1797.88, -1932.92, -2364.23, -2691.4, -3337.47, -2452.86, -3553.04, -1810.41781669175, -2843.78313737351, -3272.30223099214, -2101.56116641653, -2680.10645777296, -2494.02891307096, -2451.09960473375, -1005.15859144036, -1739.84848223047, -1354.10474301278, -1477.69484749544, -1703.9523365589]</v>
      </c>
      <c r="F191" s="1" t="str" cm="1">
        <f t="array" ref="F191">"["&amp;_xlfn.TEXTJOIN(", ",FALSE,SUBSTITUTE(K191:AT191,",","."))&amp;"]"</f>
        <v>[-1313.5, -357.8, -1728, -2201, -3354.2, -3956.3, -1195, -1329.7, -2737.7, -2046.9, -1568.8, -3163.5, -3082.13, -2431, -1668.97, -1370.38, -1927.61, -1797.88, -1932.92, -2364.23, -2691.4, -3337.47, -2452.86, -3553.04, -1810.41781669175, -2843.78313737351, -3272.30223099214, -2101.56116641653, -2680.10645777296, -2494.02891307096, -2451.09960473375, -1005.15859144036, -1739.84848223047, -1354.10474301278, -1477.69484749544, -1703.9523365589]</v>
      </c>
      <c r="H191" t="s">
        <v>684</v>
      </c>
      <c r="I191" t="s">
        <v>689</v>
      </c>
      <c r="J191" t="s">
        <v>690</v>
      </c>
      <c r="K191" s="94" cm="1">
        <f t="array" ref="K191:AT191">'ПБ V-1 (fin min)'!AL64:BU64</f>
        <v>-1313.5</v>
      </c>
      <c r="L191">
        <v>-357.8</v>
      </c>
      <c r="M191">
        <v>-1728</v>
      </c>
      <c r="N191">
        <v>-2201</v>
      </c>
      <c r="O191">
        <v>-3354.2</v>
      </c>
      <c r="P191">
        <v>-3956.3</v>
      </c>
      <c r="Q191">
        <v>-1195</v>
      </c>
      <c r="R191">
        <v>-1329.7</v>
      </c>
      <c r="S191">
        <v>-2737.7</v>
      </c>
      <c r="T191">
        <v>-2046.9</v>
      </c>
      <c r="U191">
        <v>-1568.8</v>
      </c>
      <c r="V191">
        <v>-3163.5</v>
      </c>
      <c r="W191">
        <v>-3082.1299999999997</v>
      </c>
      <c r="X191">
        <v>-2431</v>
      </c>
      <c r="Y191">
        <v>-1668.97</v>
      </c>
      <c r="Z191">
        <v>-1370.3799999999999</v>
      </c>
      <c r="AA191">
        <v>-1927.6100000000001</v>
      </c>
      <c r="AB191">
        <v>-1797.8799999999999</v>
      </c>
      <c r="AC191">
        <v>-1932.92</v>
      </c>
      <c r="AD191">
        <v>-2364.23</v>
      </c>
      <c r="AE191">
        <v>-2691.4</v>
      </c>
      <c r="AF191">
        <v>-3337.4700000000003</v>
      </c>
      <c r="AG191">
        <v>-2452.8599999999997</v>
      </c>
      <c r="AH191">
        <v>-3553.0400000000004</v>
      </c>
      <c r="AI191">
        <v>-1810.4178166917461</v>
      </c>
      <c r="AJ191">
        <v>-2843.7831373735075</v>
      </c>
      <c r="AK191">
        <v>-3272.3022309921439</v>
      </c>
      <c r="AL191">
        <v>-2101.5611664165344</v>
      </c>
      <c r="AM191">
        <v>-2680.1064577729621</v>
      </c>
      <c r="AN191">
        <v>-2494.0289130709571</v>
      </c>
      <c r="AO191">
        <v>-2451.0996047337517</v>
      </c>
      <c r="AP191">
        <v>-1005.1585914403573</v>
      </c>
      <c r="AQ191">
        <v>-1739.8484822304677</v>
      </c>
      <c r="AR191">
        <v>-1354.104743012784</v>
      </c>
      <c r="AS191">
        <v>-1477.6948474954359</v>
      </c>
      <c r="AT191">
        <v>-1703.9523365588987</v>
      </c>
    </row>
    <row r="192" spans="1:46" x14ac:dyDescent="0.35">
      <c r="E192" t="str">
        <f t="shared" ref="E192:E194" si="48">CHAR(34)&amp;J192&amp;CHAR(34)&amp;": "&amp;F192</f>
        <v>"label_2": [-1762, -1658, 679, -867, -1921, -2220, -299, 3105, -1375, 1251, 2437, 362, 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2708.96067029323]</v>
      </c>
      <c r="F192" s="1" t="str" cm="1">
        <f t="array" ref="F192">"["&amp;_xlfn.TEXTJOIN(", ",FALSE,SUBSTITUTE(K192:AT192,",","."))&amp;"]"</f>
        <v>[-1762, -1658, 679, -867, -1921, -2220, -299, 3105, -1375, 1251, 2437, 362, 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2708.96067029323]</v>
      </c>
      <c r="H192" t="s">
        <v>684</v>
      </c>
      <c r="I192" t="s">
        <v>689</v>
      </c>
      <c r="J192" t="s">
        <v>691</v>
      </c>
      <c r="K192" s="1" cm="1">
        <f t="array" ref="K192:AT192">'ПБ V-1 (fin min)'!AL62:BU62</f>
        <v>-1762</v>
      </c>
      <c r="L192">
        <v>-1658</v>
      </c>
      <c r="M192">
        <v>679</v>
      </c>
      <c r="N192">
        <v>-867</v>
      </c>
      <c r="O192">
        <v>-1921</v>
      </c>
      <c r="P192">
        <v>-2220</v>
      </c>
      <c r="Q192">
        <v>-299</v>
      </c>
      <c r="R192">
        <v>3105</v>
      </c>
      <c r="S192">
        <v>-1375</v>
      </c>
      <c r="T192">
        <v>1251</v>
      </c>
      <c r="U192">
        <v>2437</v>
      </c>
      <c r="V192">
        <v>362</v>
      </c>
      <c r="W192">
        <v>1208</v>
      </c>
      <c r="X192">
        <v>-856</v>
      </c>
      <c r="Y192">
        <v>2765</v>
      </c>
      <c r="Z192">
        <v>4021</v>
      </c>
      <c r="AA192">
        <v>1533</v>
      </c>
      <c r="AB192">
        <v>1688</v>
      </c>
      <c r="AC192">
        <v>2579</v>
      </c>
      <c r="AD192">
        <v>-1297</v>
      </c>
      <c r="AE192">
        <v>-609</v>
      </c>
      <c r="AF192">
        <v>-847</v>
      </c>
      <c r="AG192">
        <v>-355</v>
      </c>
      <c r="AH192">
        <v>1146.4890524503166</v>
      </c>
      <c r="AI192">
        <v>-232.99787369862486</v>
      </c>
      <c r="AJ192">
        <v>-676.43982731900735</v>
      </c>
      <c r="AK192">
        <v>236.56588660407374</v>
      </c>
      <c r="AL192">
        <v>359.02079590516234</v>
      </c>
      <c r="AM192">
        <v>282.57177416106219</v>
      </c>
      <c r="AN192">
        <v>1627.2049399829514</v>
      </c>
      <c r="AO192">
        <v>850.64734420255854</v>
      </c>
      <c r="AP192">
        <v>1604.9295993719618</v>
      </c>
      <c r="AQ192">
        <v>1981.3790423396867</v>
      </c>
      <c r="AR192">
        <v>1140.1944691993506</v>
      </c>
      <c r="AS192">
        <v>1277.5093975393313</v>
      </c>
      <c r="AT192">
        <v>2708.9606702932301</v>
      </c>
    </row>
    <row r="193" spans="2:46" x14ac:dyDescent="0.35">
      <c r="E193" t="str">
        <f t="shared" si="48"/>
        <v>"label_3": [-1277, -1083, -1962, -1661, -2880, -3960, -126, 1666, -1209, -2652, -1979, -3694, -3351, -2698, -1363, -1373, -1605, -2068.7, -1928.3, -2671, -2641, -3464, -2237, -3749.08007740016, -2011.57535187972, -3159.75904152612, -3635.89136776905, -2212.16964885951, -2821.16469239259, -2625.29359270627, -2580.10484708816, -1058.06167520038, -1831.41945497944, -1425.37341369767, -1555.46826052151, -1793.63403848305]</v>
      </c>
      <c r="F193" s="1" t="str" cm="1">
        <f t="array" ref="F193">"["&amp;_xlfn.TEXTJOIN(", ",FALSE,SUBSTITUTE(K193:AT193,",","."))&amp;"]"</f>
        <v>[-1277, -1083, -1962, -1661, -2880, -3960, -126, 1666, -1209, -2652, -1979, -3694, -3351, -2698, -1363, -1373, -1605, -2068.7, -1928.3, -2671, -2641, -3464, -2237, -3749.08007740016, -2011.57535187972, -3159.75904152612, -3635.89136776905, -2212.16964885951, -2821.16469239259, -2625.29359270627, -2580.10484708816, -1058.06167520038, -1831.41945497944, -1425.37341369767, -1555.46826052151, -1793.63403848305]</v>
      </c>
      <c r="H193" t="s">
        <v>684</v>
      </c>
      <c r="I193" t="s">
        <v>689</v>
      </c>
      <c r="J193" t="s">
        <v>692</v>
      </c>
      <c r="K193" s="1" cm="1">
        <f t="array" ref="K193:AT193">'ПБ V-1 (fin min)'!AL3:BU3</f>
        <v>-1277</v>
      </c>
      <c r="L193">
        <v>-1083</v>
      </c>
      <c r="M193">
        <v>-1962</v>
      </c>
      <c r="N193">
        <v>-1661</v>
      </c>
      <c r="O193">
        <v>-2880</v>
      </c>
      <c r="P193">
        <v>-3960</v>
      </c>
      <c r="Q193">
        <v>-126</v>
      </c>
      <c r="R193">
        <v>1666</v>
      </c>
      <c r="S193">
        <v>-1209</v>
      </c>
      <c r="T193">
        <v>-2652</v>
      </c>
      <c r="U193">
        <v>-1979</v>
      </c>
      <c r="V193">
        <v>-3694</v>
      </c>
      <c r="W193">
        <v>-3351</v>
      </c>
      <c r="X193">
        <v>-2698</v>
      </c>
      <c r="Y193">
        <v>-1363</v>
      </c>
      <c r="Z193">
        <v>-1373</v>
      </c>
      <c r="AA193">
        <v>-1605</v>
      </c>
      <c r="AB193">
        <v>-2068.6999999999998</v>
      </c>
      <c r="AC193">
        <v>-1928.3</v>
      </c>
      <c r="AD193">
        <v>-2671</v>
      </c>
      <c r="AE193">
        <v>-2641</v>
      </c>
      <c r="AF193">
        <v>-3464</v>
      </c>
      <c r="AG193">
        <v>-2237</v>
      </c>
      <c r="AH193">
        <v>-3749.080077400155</v>
      </c>
      <c r="AI193">
        <v>-2011.5753518797178</v>
      </c>
      <c r="AJ193">
        <v>-3159.7590415261193</v>
      </c>
      <c r="AK193">
        <v>-3635.8913677690489</v>
      </c>
      <c r="AL193">
        <v>-2212.1696488595098</v>
      </c>
      <c r="AM193">
        <v>-2821.1646923925919</v>
      </c>
      <c r="AN193">
        <v>-2625.2935927062708</v>
      </c>
      <c r="AO193">
        <v>-2580.1048470881597</v>
      </c>
      <c r="AP193">
        <v>-1058.0616752003762</v>
      </c>
      <c r="AQ193">
        <v>-1831.4194549794397</v>
      </c>
      <c r="AR193">
        <v>-1425.3734136976675</v>
      </c>
      <c r="AS193">
        <v>-1555.4682605215114</v>
      </c>
      <c r="AT193">
        <v>-1793.6340384830512</v>
      </c>
    </row>
    <row r="194" spans="2:46" x14ac:dyDescent="0.35">
      <c r="E194" t="str">
        <f t="shared" si="48"/>
        <v>"label_4": [29086.96, 27552.86, 28107.45, 26945, 25102, 22802, 22387, 25439, 23932, 25246, 27955, 28494, 29928.21, 28869.64, 31886.73, 35952.52, 37321.43, 39026.55, 41737.55, 40405.2, 39722.78, 38987.2, 38796.05, 40507.88, 40476.0396614893, 40115.5757383229, 40715.7307617039, 41185.3600400521, 41608.9900488328, 43367.459668451, 44347.112255008, 46004.94493814, 48077.8949532286, 49289.3580931129, 50644.6409036783, 53443.2832758957]</v>
      </c>
      <c r="F194" s="1" t="str" cm="1">
        <f t="array" ref="F194">"["&amp;_xlfn.TEXTJOIN(", ",FALSE,SUBSTITUTE(K194:AT194,",","."))&amp;"]"</f>
        <v>[29086.96, 27552.86, 28107.45, 26945, 25102, 22802, 22387, 25439, 23932, 25246, 27955, 28494, 29928.21, 28869.64, 31886.73, 35952.52, 37321.43, 39026.55, 41737.55, 40405.2, 39722.78, 38987.2, 38796.05, 40507.88, 40476.0396614893, 40115.5757383229, 40715.7307617039, 41185.3600400521, 41608.9900488328, 43367.459668451, 44347.112255008, 46004.94493814, 48077.8949532286, 49289.3580931129, 50644.6409036783, 53443.2832758957]</v>
      </c>
      <c r="H194" t="s">
        <v>684</v>
      </c>
      <c r="I194" t="s">
        <v>689</v>
      </c>
      <c r="J194" t="s">
        <v>693</v>
      </c>
      <c r="K194" s="1" cm="1">
        <f t="array" ref="K194:AT194">'ПБ V-1 (fin min)'!AL71:BU71</f>
        <v>29086.959999999999</v>
      </c>
      <c r="L194">
        <v>27552.86</v>
      </c>
      <c r="M194">
        <v>28107.45</v>
      </c>
      <c r="N194">
        <v>26945</v>
      </c>
      <c r="O194">
        <v>25102</v>
      </c>
      <c r="P194">
        <v>22802</v>
      </c>
      <c r="Q194">
        <v>22387</v>
      </c>
      <c r="R194">
        <v>25439</v>
      </c>
      <c r="S194">
        <v>23932</v>
      </c>
      <c r="T194">
        <v>25246</v>
      </c>
      <c r="U194">
        <v>27955</v>
      </c>
      <c r="V194">
        <v>28494</v>
      </c>
      <c r="W194">
        <v>29928.21</v>
      </c>
      <c r="X194">
        <v>28869.64</v>
      </c>
      <c r="Y194">
        <v>31886.73</v>
      </c>
      <c r="Z194">
        <v>35952.519999999997</v>
      </c>
      <c r="AA194">
        <v>37321.43</v>
      </c>
      <c r="AB194">
        <v>39026.550000000003</v>
      </c>
      <c r="AC194">
        <v>41737.550000000003</v>
      </c>
      <c r="AD194">
        <v>40405.199999999997</v>
      </c>
      <c r="AE194">
        <v>39722.78</v>
      </c>
      <c r="AF194">
        <v>38987.199999999997</v>
      </c>
      <c r="AG194">
        <v>38796.050000000003</v>
      </c>
      <c r="AH194">
        <v>40507.879999999997</v>
      </c>
      <c r="AI194">
        <v>40476.03966148934</v>
      </c>
      <c r="AJ194">
        <v>40115.575738322943</v>
      </c>
      <c r="AK194">
        <v>40715.730761703926</v>
      </c>
      <c r="AL194">
        <v>41185.360040052066</v>
      </c>
      <c r="AM194">
        <v>41608.990048832762</v>
      </c>
      <c r="AN194">
        <v>43367.459668451032</v>
      </c>
      <c r="AO194">
        <v>44347.112255007996</v>
      </c>
      <c r="AP194">
        <v>46004.944938139983</v>
      </c>
      <c r="AQ194">
        <v>48077.894953228642</v>
      </c>
      <c r="AR194">
        <v>49289.358093112874</v>
      </c>
      <c r="AS194">
        <v>50644.640903678286</v>
      </c>
      <c r="AT194">
        <v>53443.283275895672</v>
      </c>
    </row>
    <row r="196" spans="2:46" x14ac:dyDescent="0.35">
      <c r="B196" t="str">
        <f>CHAR(34)&amp;I196&amp;CHAR(34)&amp;": "&amp;C196</f>
        <v>"label_names": {"UKR": {"label_1": "Обсяги інтервенцій за місяцями", "label_2": "Сальдо платіжного балансу", "label_3": "Сальдо операцій приватного сект.", "label_4": "Зміна резервів"}, "RU": {"label_1": "Объемы интервенций по месяцам", "label_2": "Сальдо платежного баланса", "label_3": "Сальдо операций частного сект.", "label_4": "Изменение резервов"}, "ENG": {"label_1": "Interventions by month", "label_2": "Balance of payments", "label_3": "Balance of private sector ops.", "label_4": "Change of foreign reserves"}}</v>
      </c>
      <c r="C196" t="str">
        <f>"{"&amp;_xlfn.TEXTJOIN(", ",TRUE,D196:D207)&amp;"}"</f>
        <v>{"UKR": {"label_1": "Обсяги інтервенцій за місяцями", "label_2": "Сальдо платіжного балансу", "label_3": "Сальдо операцій приватного сект.", "label_4": "Зміна резервів"}, "RU": {"label_1": "Объемы интервенций по месяцам", "label_2": "Сальдо платежного баланса", "label_3": "Сальдо операций частного сект.", "label_4": "Изменение резервов"}, "ENG": {"label_1": "Interventions by month", "label_2": "Balance of payments", "label_3": "Balance of private sector ops.", "label_4": "Change of foreign reserves"}}</v>
      </c>
      <c r="D196" t="str">
        <f>CHAR(34)&amp;J196&amp;CHAR(34)&amp;": "&amp;E196</f>
        <v>"UKR": {"label_1": "Обсяги інтервенцій за місяцями", "label_2": "Сальдо платіжного балансу", "label_3": "Сальдо операцій приватного сект.", "label_4": "Зміна резервів"}</v>
      </c>
      <c r="E196" t="str">
        <f>"{"&amp;_xlfn.TEXTJOIN(", ",TRUE,F196:F199)&amp;"}"</f>
        <v>{"label_1": "Обсяги інтервенцій за місяцями", "label_2": "Сальдо платіжного балансу", "label_3": "Сальдо операцій приватного сект.", "label_4": "Зміна резервів"}</v>
      </c>
      <c r="F196" t="str">
        <f>CHAR(34)&amp;K196&amp;CHAR(34)&amp;": "&amp;CHAR(34)&amp;L196&amp;CHAR(34)</f>
        <v>"label_1": "Обсяги інтервенцій за місяцями"</v>
      </c>
      <c r="H196" t="s">
        <v>684</v>
      </c>
      <c r="I196" t="s">
        <v>695</v>
      </c>
      <c r="J196" t="s">
        <v>334</v>
      </c>
      <c r="K196" t="s">
        <v>690</v>
      </c>
      <c r="L196" t="str" cm="1">
        <f t="array" ref="L196:L199">'ЗВР-інт 2022-2024'!S3:S6</f>
        <v>Обсяги інтервенцій за місяцями</v>
      </c>
    </row>
    <row r="197" spans="2:46" x14ac:dyDescent="0.35">
      <c r="F197" t="str">
        <f t="shared" ref="F197:F207" si="49">CHAR(34)&amp;K197&amp;CHAR(34)&amp;": "&amp;CHAR(34)&amp;L197&amp;CHAR(34)</f>
        <v>"label_2": "Сальдо платіжного балансу"</v>
      </c>
      <c r="H197" t="s">
        <v>684</v>
      </c>
      <c r="I197" t="s">
        <v>695</v>
      </c>
      <c r="J197" t="s">
        <v>334</v>
      </c>
      <c r="K197" t="s">
        <v>691</v>
      </c>
      <c r="L197" t="str">
        <v>Сальдо платіжного балансу</v>
      </c>
    </row>
    <row r="198" spans="2:46" x14ac:dyDescent="0.35">
      <c r="F198" t="str">
        <f t="shared" si="49"/>
        <v>"label_3": "Сальдо операцій приватного сект."</v>
      </c>
      <c r="H198" t="s">
        <v>684</v>
      </c>
      <c r="I198" t="s">
        <v>695</v>
      </c>
      <c r="J198" t="s">
        <v>334</v>
      </c>
      <c r="K198" t="s">
        <v>692</v>
      </c>
      <c r="L198" t="str">
        <v>Сальдо операцій приватного сект.</v>
      </c>
    </row>
    <row r="199" spans="2:46" x14ac:dyDescent="0.35">
      <c r="F199" t="str">
        <f t="shared" si="49"/>
        <v>"label_4": "Зміна резервів"</v>
      </c>
      <c r="H199" t="s">
        <v>684</v>
      </c>
      <c r="I199" t="s">
        <v>695</v>
      </c>
      <c r="J199" t="s">
        <v>334</v>
      </c>
      <c r="K199" t="s">
        <v>693</v>
      </c>
      <c r="L199" t="str">
        <v>Зміна резервів</v>
      </c>
    </row>
    <row r="200" spans="2:46" x14ac:dyDescent="0.35">
      <c r="D200" t="str">
        <f>CHAR(34)&amp;J200&amp;CHAR(34)&amp;": "&amp;E200</f>
        <v>"RU": {"label_1": "Объемы интервенций по месяцам", "label_2": "Сальдо платежного баланса", "label_3": "Сальдо операций частного сект.", "label_4": "Изменение резервов"}</v>
      </c>
      <c r="E200" t="str">
        <f>"{"&amp;_xlfn.TEXTJOIN(", ",TRUE,F200:F203)&amp;"}"</f>
        <v>{"label_1": "Объемы интервенций по месяцам", "label_2": "Сальдо платежного баланса", "label_3": "Сальдо операций частного сект.", "label_4": "Изменение резервов"}</v>
      </c>
      <c r="F200" t="str">
        <f t="shared" si="49"/>
        <v>"label_1": "Объемы интервенций по месяцам"</v>
      </c>
      <c r="H200" t="s">
        <v>684</v>
      </c>
      <c r="I200" t="s">
        <v>695</v>
      </c>
      <c r="J200" t="s">
        <v>336</v>
      </c>
      <c r="K200" t="s">
        <v>690</v>
      </c>
      <c r="L200" t="str" cm="1">
        <f t="array" ref="L200:L203">'ЗВР-інт 2022-2024'!Q3:Q6</f>
        <v>Объемы интервенций по месяцам</v>
      </c>
    </row>
    <row r="201" spans="2:46" x14ac:dyDescent="0.35">
      <c r="F201" t="str">
        <f t="shared" si="49"/>
        <v>"label_2": "Сальдо платежного баланса"</v>
      </c>
      <c r="H201" t="s">
        <v>684</v>
      </c>
      <c r="I201" t="s">
        <v>695</v>
      </c>
      <c r="J201" t="s">
        <v>336</v>
      </c>
      <c r="K201" t="s">
        <v>691</v>
      </c>
      <c r="L201" t="str">
        <v>Сальдо платежного баланса</v>
      </c>
    </row>
    <row r="202" spans="2:46" x14ac:dyDescent="0.35">
      <c r="F202" t="str">
        <f t="shared" si="49"/>
        <v>"label_3": "Сальдо операций частного сект."</v>
      </c>
      <c r="H202" t="s">
        <v>684</v>
      </c>
      <c r="I202" t="s">
        <v>695</v>
      </c>
      <c r="J202" t="s">
        <v>336</v>
      </c>
      <c r="K202" t="s">
        <v>692</v>
      </c>
      <c r="L202" t="str">
        <v>Сальдо операций частного сект.</v>
      </c>
    </row>
    <row r="203" spans="2:46" x14ac:dyDescent="0.35">
      <c r="F203" t="str">
        <f t="shared" si="49"/>
        <v>"label_4": "Изменение резервов"</v>
      </c>
      <c r="H203" t="s">
        <v>684</v>
      </c>
      <c r="I203" t="s">
        <v>695</v>
      </c>
      <c r="J203" t="s">
        <v>336</v>
      </c>
      <c r="K203" t="s">
        <v>693</v>
      </c>
      <c r="L203" t="str">
        <v>Изменение резервов</v>
      </c>
    </row>
    <row r="204" spans="2:46" x14ac:dyDescent="0.35">
      <c r="D204" t="str">
        <f>CHAR(34)&amp;J204&amp;CHAR(34)&amp;": "&amp;E204</f>
        <v>"ENG": {"label_1": "Interventions by month", "label_2": "Balance of payments", "label_3": "Balance of private sector ops.", "label_4": "Change of foreign reserves"}</v>
      </c>
      <c r="E204" t="str">
        <f>"{"&amp;_xlfn.TEXTJOIN(", ",TRUE,F204:F207)&amp;"}"</f>
        <v>{"label_1": "Interventions by month", "label_2": "Balance of payments", "label_3": "Balance of private sector ops.", "label_4": "Change of foreign reserves"}</v>
      </c>
      <c r="F204" t="str">
        <f t="shared" si="49"/>
        <v>"label_1": "Interventions by month"</v>
      </c>
      <c r="H204" t="s">
        <v>684</v>
      </c>
      <c r="I204" t="s">
        <v>695</v>
      </c>
      <c r="J204" t="s">
        <v>337</v>
      </c>
      <c r="K204" t="s">
        <v>690</v>
      </c>
      <c r="L204" t="str" cm="1">
        <f t="array" ref="L204:L207">'ЗВР-інт 2022-2024'!R3:R6</f>
        <v>Interventions by month</v>
      </c>
    </row>
    <row r="205" spans="2:46" x14ac:dyDescent="0.35">
      <c r="F205" t="str">
        <f t="shared" si="49"/>
        <v>"label_2": "Balance of payments"</v>
      </c>
      <c r="H205" t="s">
        <v>684</v>
      </c>
      <c r="I205" t="s">
        <v>695</v>
      </c>
      <c r="J205" t="s">
        <v>337</v>
      </c>
      <c r="K205" t="s">
        <v>691</v>
      </c>
      <c r="L205" t="str">
        <v>Balance of payments</v>
      </c>
    </row>
    <row r="206" spans="2:46" x14ac:dyDescent="0.35">
      <c r="F206" t="str">
        <f t="shared" si="49"/>
        <v>"label_3": "Balance of private sector ops."</v>
      </c>
      <c r="H206" t="s">
        <v>684</v>
      </c>
      <c r="I206" t="s">
        <v>695</v>
      </c>
      <c r="J206" t="s">
        <v>337</v>
      </c>
      <c r="K206" t="s">
        <v>692</v>
      </c>
      <c r="L206" t="str">
        <v>Balance of private sector ops.</v>
      </c>
    </row>
    <row r="207" spans="2:46" x14ac:dyDescent="0.35">
      <c r="F207" t="str">
        <f t="shared" si="49"/>
        <v>"label_4": "Change of foreign reserves"</v>
      </c>
      <c r="H207" t="s">
        <v>684</v>
      </c>
      <c r="I207" t="s">
        <v>695</v>
      </c>
      <c r="J207" t="s">
        <v>337</v>
      </c>
      <c r="K207" t="s">
        <v>693</v>
      </c>
      <c r="L207" t="str">
        <v>Change of foreign reserves</v>
      </c>
    </row>
    <row r="209" spans="1:34" x14ac:dyDescent="0.35">
      <c r="B209" t="str">
        <f>CHAR(34)&amp;I209&amp;CHAR(34)&amp;": "&amp;C209</f>
        <v>"source": {"UKR": "Джерело: НБУ, розрахунки Ukraine Economic Outlook", "RU": "Источник: НБУ, расчеты Ukraine Economic Outlook", "ENG": "Source: NBU, Ukraine Economic Outlook calculations"}</v>
      </c>
      <c r="C209" t="str">
        <f>"{"&amp;_xlfn.TEXTJOIN(", ",TRUE,F209:F211)&amp;"}"</f>
        <v>{"UKR": "Джерело: НБУ, розрахунки Ukraine Economic Outlook", "RU": "Источник: НБУ, расчеты Ukraine Economic Outlook", "ENG": "Source: NBU, Ukraine Economic Outlook calculations"}</v>
      </c>
      <c r="F209" t="str">
        <f>CHAR(34)&amp;J209&amp;CHAR(34)&amp;": "&amp;CHAR(34)&amp;K209&amp;CHAR(34)</f>
        <v>"UKR": "Джерело: НБУ, розрахунки Ukraine Economic Outlook"</v>
      </c>
      <c r="H209" t="s">
        <v>684</v>
      </c>
      <c r="I209" t="s">
        <v>696</v>
      </c>
      <c r="J209" t="s">
        <v>334</v>
      </c>
      <c r="K209" t="str">
        <f>Чарти!H125</f>
        <v>Джерело: НБУ, розрахунки Ukraine Economic Outlook</v>
      </c>
    </row>
    <row r="210" spans="1:34" x14ac:dyDescent="0.35">
      <c r="F210" t="str">
        <f t="shared" ref="F210:F211" si="50">CHAR(34)&amp;J210&amp;CHAR(34)&amp;": "&amp;CHAR(34)&amp;K210&amp;CHAR(34)</f>
        <v>"RU": "Источник: НБУ, расчеты Ukraine Economic Outlook"</v>
      </c>
      <c r="H210" t="s">
        <v>684</v>
      </c>
      <c r="I210" t="s">
        <v>696</v>
      </c>
      <c r="J210" t="s">
        <v>336</v>
      </c>
      <c r="K210" t="str">
        <f>Чарти!H123</f>
        <v>Источник: НБУ, расчеты Ukraine Economic Outlook</v>
      </c>
    </row>
    <row r="211" spans="1:34" x14ac:dyDescent="0.35">
      <c r="F211" t="str">
        <f t="shared" si="50"/>
        <v>"ENG": "Source: NBU, Ukraine Economic Outlook calculations"</v>
      </c>
      <c r="H211" t="s">
        <v>684</v>
      </c>
      <c r="I211" t="s">
        <v>696</v>
      </c>
      <c r="J211" t="s">
        <v>337</v>
      </c>
      <c r="K211" t="str">
        <f>Чарти!H124</f>
        <v>Source: NBU, Ukraine Economic Outlook calculations</v>
      </c>
    </row>
    <row r="213" spans="1:34" x14ac:dyDescent="0.35">
      <c r="A213" s="1395"/>
      <c r="B213" s="1395"/>
      <c r="C213" s="1395"/>
      <c r="D213" s="1395"/>
      <c r="E213" s="1395"/>
      <c r="F213" s="1395"/>
      <c r="G213" s="1395"/>
    </row>
    <row r="214" spans="1:34" x14ac:dyDescent="0.35">
      <c r="A214" t="str">
        <f>"{"&amp;CHAR(34)&amp;H214&amp;CHAR(34)&amp;": "&amp;B214&amp;"}"</f>
        <v>{"Chart1": {"name": {"UKR": "Курсовий прогноз до кінця 2024 року, UAH/USD, $млн", "RU": "Курсовой прогноз до конца 2024 года, UAH/USD, $млн", "ENG": "Exchange rate forecast for 2023-2024, UAH/USD $Mln"},"indexes": {"index_0": [2023, 2023, 2023, 2023, 2023, 2023, 2023, 2023, 2023, 2023, 2023, 2023, 2024, 2024, 2024, 2024, 2024, 2024, 2024, 2024, 2024, 2024, 2024, 2024, , , , , , , , , , , , ], "index_1": [1, 2, 3, 4, 5, 6, 7, 8, 9, 10, 11, 12, 1, 2, 3, 4, 5, 6, 7, 8, 9, 10, 11, 12, , , , , , , , , , , , ]},"labels": {"label_1": [1208,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2708.96067029323, , , , , , , , , , , , ], "label_2": [-3082.13, -2431, -1668.97, -1370.38, -1927.61, -1797.88, -1932.92, -2364.23, -2691.4, -3337.47, -2452.86, -3553.04, -1810.41781669175, -2843.78313737351, -3272.30223099214, -2101.56116641653, -2680.10645777296, -2494.02891307096, -2451.09960473375, -1005.15859144036, -1739.84848223047, -1354.10474301278, -1477.69484749544, -1703.9523365589, , , , , , , , , , , , ], "label_3": [-3082.13, -2431, -1668.97, -1370.38, -1927.61, -1797.88, -1932.92, -2364.23, -2691.4, -3337.47, -2452.86, -3553.04, -2112.1541194737, -3317.74699360243, -3817.6859361575, -2389.14322076827, -2962.22292701222, -2887.8229519769, -2838.11533179698, -1163.86784272041, -2014.56140047738, -1567.91075506743, -1711.01508657366, -1972.99744233136, , , , , , , , , , , , ], "label_4": [36.5686,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41.4026148261922, , , , , , , , , , , , ], "label_5": [36.5686, 36.5686, 36.5686, 36.5686, 36.5686, 36.5686, 36.5686, 36.5686, 36.5686, 36.5189516129032, 36.15542, 37.0939258064516, 36.8595635860981, 36.5252347945433, 36.1429222755513, 35.7246369049528, 35.3841569031978, 34.7366908439982, 34.1404573762641, 33.9222345064765, 33.5662597312278, 33.3092668055417, 33.0351831112781, 32.7193046617521, , , , , , , , , , , , ]},"label_names": {"UKR": {"Зведене сальдо платіжного балансу": "", "Інтервенції": "", "Інтервенції (боротьба з інфляцією)": "", "Обмінний курс": "", "Обмінний курс (боротьба з інфляцією)": ""}, "RU": {"Сводное сальдо платежного баланса": "", "Интервенции": "", "Интервенции (борьба с инфляцией)": "", "Обменный курс": "", "Обменный курс (борьба с инфляцией)": ""}, "ENG": {"Consolidated balance of payments": "", "Interventions": "", "Interventions (inflation control)": "", "Exchange rate": "", "Exchange rate (inflation control)": ""}},"source": {"UKR": "Джерело: НБУ, розрахунки Ukraine Economic Outlook", "RU": "Источник: НБУ, расчеты Ukraine Economic Outlook", "ENG": "Source: NBU, Ukraine Economic Outlook calculations"}}}</v>
      </c>
      <c r="B214" t="str">
        <f>"{"&amp;_xlfn.TEXTJOIN(",",TRUE,B215:B246)&amp;"}"</f>
        <v>{"name": {"UKR": "Курсовий прогноз до кінця 2024 року, UAH/USD, $млн", "RU": "Курсовой прогноз до конца 2024 года, UAH/USD, $млн", "ENG": "Exchange rate forecast for 2023-2024, UAH/USD $Mln"},"indexes": {"index_0": [2023, 2023, 2023, 2023, 2023, 2023, 2023, 2023, 2023, 2023, 2023, 2023, 2024, 2024, 2024, 2024, 2024, 2024, 2024, 2024, 2024, 2024, 2024, 2024, , , , , , , , , , , , ], "index_1": [1, 2, 3, 4, 5, 6, 7, 8, 9, 10, 11, 12, 1, 2, 3, 4, 5, 6, 7, 8, 9, 10, 11, 12, , , , , , , , , , , , ]},"labels": {"label_1": [1208,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2708.96067029323, , , , , , , , , , , , ], "label_2": [-3082.13, -2431, -1668.97, -1370.38, -1927.61, -1797.88, -1932.92, -2364.23, -2691.4, -3337.47, -2452.86, -3553.04, -1810.41781669175, -2843.78313737351, -3272.30223099214, -2101.56116641653, -2680.10645777296, -2494.02891307096, -2451.09960473375, -1005.15859144036, -1739.84848223047, -1354.10474301278, -1477.69484749544, -1703.9523365589, , , , , , , , , , , , ], "label_3": [-3082.13, -2431, -1668.97, -1370.38, -1927.61, -1797.88, -1932.92, -2364.23, -2691.4, -3337.47, -2452.86, -3553.04, -2112.1541194737, -3317.74699360243, -3817.6859361575, -2389.14322076827, -2962.22292701222, -2887.8229519769, -2838.11533179698, -1163.86784272041, -2014.56140047738, -1567.91075506743, -1711.01508657366, -1972.99744233136, , , , , , , , , , , , ], "label_4": [36.5686,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41.4026148261922, , , , , , , , , , , , ], "label_5": [36.5686, 36.5686, 36.5686, 36.5686, 36.5686, 36.5686, 36.5686, 36.5686, 36.5686, 36.5189516129032, 36.15542, 37.0939258064516, 36.8595635860981, 36.5252347945433, 36.1429222755513, 35.7246369049528, 35.3841569031978, 34.7366908439982, 34.1404573762641, 33.9222345064765, 33.5662597312278, 33.3092668055417, 33.0351831112781, 32.7193046617521, , , , , , , , , , , , ]},"label_names": {"UKR": {"Зведене сальдо платіжного балансу": "", "Інтервенції": "", "Інтервенції (боротьба з інфляцією)": "", "Обмінний курс": "", "Обмінний курс (боротьба з інфляцією)": ""}, "RU": {"Сводное сальдо платежного баланса": "", "Интервенции": "", "Интервенции (борьба с инфляцией)": "", "Обменный курс": "", "Обменный курс (борьба с инфляцией)": ""}, "ENG": {"Consolidated balance of payments": "", "Interventions": "", "Interventions (inflation control)": "", "Exchange rate": "", "Exchange rate (inflation control)": ""}},"source": {"UKR": "Джерело: НБУ, розрахунки Ukraine Economic Outlook", "RU": "Источник: НБУ, расчеты Ukraine Economic Outlook", "ENG": "Source: NBU, Ukraine Economic Outlook calculations"}}</v>
      </c>
      <c r="H214" t="s">
        <v>684</v>
      </c>
    </row>
    <row r="215" spans="1:34" x14ac:dyDescent="0.35">
      <c r="B215" t="str">
        <f>CHAR(34)&amp;I215&amp;CHAR(34)&amp;": "&amp;C215</f>
        <v>"name": {"UKR": "Курсовий прогноз до кінця 2024 року, UAH/USD, $млн", "RU": "Курсовой прогноз до конца 2024 года, UAH/USD, $млн", "ENG": "Exchange rate forecast for 2023-2024, UAH/USD $Mln"}</v>
      </c>
      <c r="C215" t="str">
        <f>"{"&amp;_xlfn.TEXTJOIN(", ",TRUE,F215:F217)&amp;"}"</f>
        <v>{"UKR": "Курсовий прогноз до кінця 2024 року, UAH/USD, $млн", "RU": "Курсовой прогноз до конца 2024 года, UAH/USD, $млн", "ENG": "Exchange rate forecast for 2023-2024, UAH/USD $Mln"}</v>
      </c>
      <c r="F215" t="str">
        <f>CHAR(34)&amp;J215&amp;CHAR(34)&amp;": "&amp;CHAR(34)&amp;K215&amp;CHAR(34)</f>
        <v>"UKR": "Курсовий прогноз до кінця 2024 року, UAH/USD, $млн"</v>
      </c>
      <c r="H215" t="s">
        <v>684</v>
      </c>
      <c r="I215" t="s">
        <v>685</v>
      </c>
      <c r="J215" t="s">
        <v>334</v>
      </c>
      <c r="K215" t="str">
        <f>Чарти!H134</f>
        <v>Курсовий прогноз до кінця 2024 року, UAH/USD, $млн</v>
      </c>
    </row>
    <row r="216" spans="1:34" x14ac:dyDescent="0.35">
      <c r="F216" t="str">
        <f t="shared" ref="F216:F217" si="51">CHAR(34)&amp;J216&amp;CHAR(34)&amp;": "&amp;CHAR(34)&amp;K216&amp;CHAR(34)</f>
        <v>"RU": "Курсовой прогноз до конца 2024 года, UAH/USD, $млн"</v>
      </c>
      <c r="H216" t="s">
        <v>684</v>
      </c>
      <c r="I216" t="s">
        <v>685</v>
      </c>
      <c r="J216" t="s">
        <v>336</v>
      </c>
      <c r="K216" t="str">
        <f>Чарти!H132</f>
        <v>Курсовой прогноз до конца 2024 года, UAH/USD, $млн</v>
      </c>
    </row>
    <row r="217" spans="1:34" x14ac:dyDescent="0.35">
      <c r="F217" t="str">
        <f t="shared" si="51"/>
        <v>"ENG": "Exchange rate forecast for 2023-2024, UAH/USD $Mln"</v>
      </c>
      <c r="H217" t="s">
        <v>684</v>
      </c>
      <c r="I217" t="s">
        <v>685</v>
      </c>
      <c r="J217" t="s">
        <v>337</v>
      </c>
      <c r="K217" t="str">
        <f>Чарти!H133</f>
        <v>Exchange rate forecast for 2023-2024, UAH/USD $Mln</v>
      </c>
    </row>
    <row r="219" spans="1:34" x14ac:dyDescent="0.35">
      <c r="B219" t="str">
        <f>CHAR(34)&amp;I219&amp;CHAR(34)&amp;": "&amp;C219</f>
        <v>"indexes": {"index_0": [2023, 2023, 2023, 2023, 2023, 2023, 2023, 2023, 2023, 2023, 2023, 2023, 2024, 2024, 2024, 2024, 2024, 2024, 2024, 2024, 2024, 2024, 2024, 2024, , , , , , , , , , , , ], "index_1": [1, 2, 3, 4, 5, 6, 7, 8, 9, 10, 11, 12, 1, 2, 3, 4, 5, 6, 7, 8, 9, 10, 11, 12, , , , , , , , , , , , ]}</v>
      </c>
      <c r="C219" t="str">
        <f>"{"&amp;_xlfn.TEXTJOIN(", ",TRUE,E219:E220)&amp;"}"</f>
        <v>{"index_0": [2023, 2023, 2023, 2023, 2023, 2023, 2023, 2023, 2023, 2023, 2023, 2023, 2024, 2024, 2024, 2024, 2024, 2024, 2024, 2024, 2024, 2024, 2024, 2024, , , , , , , , , , , , ], "index_1": [1, 2, 3, 4, 5, 6, 7, 8, 9, 10, 11, 12, 1, 2, 3, 4, 5, 6, 7, 8, 9, 10, 11, 12, , , , , , , , , , , , ]}</v>
      </c>
      <c r="E219" t="str">
        <f>CHAR(34)&amp;J219&amp;CHAR(34)&amp;": "&amp;F219</f>
        <v>"index_0": [2023, 2023, 2023, 2023, 2023, 2023, 2023, 2023, 2023, 2023, 2023, 2023, 2024, 2024, 2024, 2024, 2024, 2024, 2024, 2024, 2024, 2024, 2024, 2024, , , , , , , , , , , , ]</v>
      </c>
      <c r="F219" s="1" t="str" cm="1">
        <f t="array" ref="F219">"["&amp;_xlfn.TEXTJOIN(", ",FALSE,SUBSTITUTE(K219:AT219,",","."))&amp;"]"</f>
        <v>[2023, 2023, 2023, 2023, 2023, 2023, 2023, 2023, 2023, 2023, 2023, 2023, 2024, 2024, 2024, 2024, 2024, 2024, 2024, 2024, 2024, 2024, 2024, 2024, , , , , , , , , , , , ]</v>
      </c>
      <c r="H219" t="s">
        <v>684</v>
      </c>
      <c r="I219" t="s">
        <v>686</v>
      </c>
      <c r="J219" t="s">
        <v>687</v>
      </c>
      <c r="K219">
        <f>'курс 2022-2023 v1'!B1</f>
        <v>2023</v>
      </c>
      <c r="L219">
        <f>K219</f>
        <v>2023</v>
      </c>
      <c r="M219">
        <f t="shared" ref="M219:V219" si="52">L219</f>
        <v>2023</v>
      </c>
      <c r="N219">
        <f t="shared" si="52"/>
        <v>2023</v>
      </c>
      <c r="O219">
        <f t="shared" si="52"/>
        <v>2023</v>
      </c>
      <c r="P219">
        <f t="shared" si="52"/>
        <v>2023</v>
      </c>
      <c r="Q219">
        <f t="shared" si="52"/>
        <v>2023</v>
      </c>
      <c r="R219">
        <f t="shared" si="52"/>
        <v>2023</v>
      </c>
      <c r="S219">
        <f t="shared" si="52"/>
        <v>2023</v>
      </c>
      <c r="T219">
        <f t="shared" si="52"/>
        <v>2023</v>
      </c>
      <c r="U219">
        <f t="shared" si="52"/>
        <v>2023</v>
      </c>
      <c r="V219">
        <f t="shared" si="52"/>
        <v>2023</v>
      </c>
      <c r="W219">
        <f>'курс 2022-2023 v1'!N1</f>
        <v>2024</v>
      </c>
      <c r="X219">
        <f>W219</f>
        <v>2024</v>
      </c>
      <c r="Y219">
        <f t="shared" ref="Y219:AH219" si="53">X219</f>
        <v>2024</v>
      </c>
      <c r="Z219">
        <f t="shared" si="53"/>
        <v>2024</v>
      </c>
      <c r="AA219">
        <f t="shared" si="53"/>
        <v>2024</v>
      </c>
      <c r="AB219">
        <f t="shared" si="53"/>
        <v>2024</v>
      </c>
      <c r="AC219">
        <f t="shared" si="53"/>
        <v>2024</v>
      </c>
      <c r="AD219">
        <f t="shared" si="53"/>
        <v>2024</v>
      </c>
      <c r="AE219">
        <f t="shared" si="53"/>
        <v>2024</v>
      </c>
      <c r="AF219">
        <f t="shared" si="53"/>
        <v>2024</v>
      </c>
      <c r="AG219">
        <f t="shared" si="53"/>
        <v>2024</v>
      </c>
      <c r="AH219">
        <f t="shared" si="53"/>
        <v>2024</v>
      </c>
    </row>
    <row r="220" spans="1:34" x14ac:dyDescent="0.35">
      <c r="E220" t="str">
        <f>CHAR(34)&amp;J220&amp;CHAR(34)&amp;": "&amp;F220</f>
        <v>"index_1": [1, 2, 3, 4, 5, 6, 7, 8, 9, 10, 11, 12, 1, 2, 3, 4, 5, 6, 7, 8, 9, 10, 11, 12, , , , , , , , , , , , ]</v>
      </c>
      <c r="F220" s="1" t="str" cm="1">
        <f t="array" ref="F220">"["&amp;_xlfn.TEXTJOIN(", ",FALSE,SUBSTITUTE(K220:AT220,",","."))&amp;"]"</f>
        <v>[1, 2, 3, 4, 5, 6, 7, 8, 9, 10, 11, 12, 1, 2, 3, 4, 5, 6, 7, 8, 9, 10, 11, 12, , , , , , , , , , , , ]</v>
      </c>
      <c r="H220" t="s">
        <v>684</v>
      </c>
      <c r="I220" t="s">
        <v>686</v>
      </c>
      <c r="J220" t="s">
        <v>688</v>
      </c>
      <c r="K220" cm="1">
        <f t="array" ref="K220:AH220">'курс 2022-2023 v1'!B2:Y2</f>
        <v>1</v>
      </c>
      <c r="L220">
        <v>2</v>
      </c>
      <c r="M220">
        <v>3</v>
      </c>
      <c r="N220">
        <v>4</v>
      </c>
      <c r="O220">
        <v>5</v>
      </c>
      <c r="P220">
        <v>6</v>
      </c>
      <c r="Q220">
        <v>7</v>
      </c>
      <c r="R220">
        <v>8</v>
      </c>
      <c r="S220">
        <v>9</v>
      </c>
      <c r="T220">
        <v>10</v>
      </c>
      <c r="U220">
        <v>11</v>
      </c>
      <c r="V220">
        <v>12</v>
      </c>
      <c r="W220">
        <v>1</v>
      </c>
      <c r="X220">
        <v>2</v>
      </c>
      <c r="Y220">
        <v>3</v>
      </c>
      <c r="Z220">
        <v>4</v>
      </c>
      <c r="AA220">
        <v>5</v>
      </c>
      <c r="AB220">
        <v>6</v>
      </c>
      <c r="AC220">
        <v>7</v>
      </c>
      <c r="AD220">
        <v>8</v>
      </c>
      <c r="AE220">
        <v>9</v>
      </c>
      <c r="AF220">
        <v>10</v>
      </c>
      <c r="AG220">
        <v>11</v>
      </c>
      <c r="AH220">
        <v>12</v>
      </c>
    </row>
    <row r="221" spans="1:34" x14ac:dyDescent="0.35">
      <c r="F221" s="1"/>
    </row>
    <row r="222" spans="1:34" x14ac:dyDescent="0.35">
      <c r="B222" t="str">
        <f>CHAR(34)&amp;I222&amp;CHAR(34)&amp;": "&amp;C222</f>
        <v>"labels": {"label_1": [1208,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2708.96067029323, , , , , , , , , , , , ], "label_2": [-3082.13, -2431, -1668.97, -1370.38, -1927.61, -1797.88, -1932.92, -2364.23, -2691.4, -3337.47, -2452.86, -3553.04, -1810.41781669175, -2843.78313737351, -3272.30223099214, -2101.56116641653, -2680.10645777296, -2494.02891307096, -2451.09960473375, -1005.15859144036, -1739.84848223047, -1354.10474301278, -1477.69484749544, -1703.9523365589, , , , , , , , , , , , ], "label_3": [-3082.13, -2431, -1668.97, -1370.38, -1927.61, -1797.88, -1932.92, -2364.23, -2691.4, -3337.47, -2452.86, -3553.04, -2112.1541194737, -3317.74699360243, -3817.6859361575, -2389.14322076827, -2962.22292701222, -2887.8229519769, -2838.11533179698, -1163.86784272041, -2014.56140047738, -1567.91075506743, -1711.01508657366, -1972.99744233136, , , , , , , , , , , , ], "label_4": [36.5686,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41.4026148261922, , , , , , , , , , , , ], "label_5": [36.5686, 36.5686, 36.5686, 36.5686, 36.5686, 36.5686, 36.5686, 36.5686, 36.5686, 36.5189516129032, 36.15542, 37.0939258064516, 36.8595635860981, 36.5252347945433, 36.1429222755513, 35.7246369049528, 35.3841569031978, 34.7366908439982, 34.1404573762641, 33.9222345064765, 33.5662597312278, 33.3092668055417, 33.0351831112781, 32.7193046617521, , , , , , , , , , , , ]}</v>
      </c>
      <c r="C222" t="str">
        <f>"{"&amp;_xlfn.TEXTJOIN(", ",TRUE,E222:E226)&amp;"}"</f>
        <v>{"label_1": [1208,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2708.96067029323, , , , , , , , , , , , ], "label_2": [-3082.13, -2431, -1668.97, -1370.38, -1927.61, -1797.88, -1932.92, -2364.23, -2691.4, -3337.47, -2452.86, -3553.04, -1810.41781669175, -2843.78313737351, -3272.30223099214, -2101.56116641653, -2680.10645777296, -2494.02891307096, -2451.09960473375, -1005.15859144036, -1739.84848223047, -1354.10474301278, -1477.69484749544, -1703.9523365589, , , , , , , , , , , , ], "label_3": [-3082.13, -2431, -1668.97, -1370.38, -1927.61, -1797.88, -1932.92, -2364.23, -2691.4, -3337.47, -2452.86, -3553.04, -2112.1541194737, -3317.74699360243, -3817.6859361575, -2389.14322076827, -2962.22292701222, -2887.8229519769, -2838.11533179698, -1163.86784272041, -2014.56140047738, -1567.91075506743, -1711.01508657366, -1972.99744233136, , , , , , , , , , , , ], "label_4": [36.5686,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41.4026148261922, , , , , , , , , , , , ], "label_5": [36.5686, 36.5686, 36.5686, 36.5686, 36.5686, 36.5686, 36.5686, 36.5686, 36.5686, 36.5189516129032, 36.15542, 37.0939258064516, 36.8595635860981, 36.5252347945433, 36.1429222755513, 35.7246369049528, 35.3841569031978, 34.7366908439982, 34.1404573762641, 33.9222345064765, 33.5662597312278, 33.3092668055417, 33.0351831112781, 32.7193046617521, , , , , , , , , , , , ]}</v>
      </c>
      <c r="E222" t="str">
        <f>CHAR(34)&amp;J222&amp;CHAR(34)&amp;": "&amp;F222</f>
        <v>"label_1": [1208,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2708.96067029323, , , , , , , , , , , , ]</v>
      </c>
      <c r="F222" s="1" t="str" cm="1">
        <f t="array" ref="F222">"["&amp;_xlfn.TEXTJOIN(", ",FALSE,SUBSTITUTE(K222:AT222,",","."))&amp;"]"</f>
        <v>[1208, -856, 2765, 4021, 1533, 1688, 2579, -1297, -609, -847, -355, 1146.48905245032, -232.997873698625, -676.439827319007, 236.565886604074, 359.020795905162, 282.571774161062, 1627.20493998295, 850.647344202559, 1604.92959937196, 1981.37904233969, 1140.19446919935, 1277.50939753933, 2708.96067029323, , , , , , , , , , , , ]</v>
      </c>
      <c r="H222" t="s">
        <v>684</v>
      </c>
      <c r="I222" t="s">
        <v>689</v>
      </c>
      <c r="J222" t="s">
        <v>690</v>
      </c>
      <c r="K222" cm="1">
        <f t="array" ref="K222:AH226">'курс 2022-2023 v1'!B3:Y7</f>
        <v>1208</v>
      </c>
      <c r="L222">
        <v>-856</v>
      </c>
      <c r="M222">
        <v>2765</v>
      </c>
      <c r="N222">
        <v>4021</v>
      </c>
      <c r="O222">
        <v>1533</v>
      </c>
      <c r="P222">
        <v>1688</v>
      </c>
      <c r="Q222">
        <v>2579</v>
      </c>
      <c r="R222">
        <v>-1297</v>
      </c>
      <c r="S222">
        <v>-609</v>
      </c>
      <c r="T222">
        <v>-847</v>
      </c>
      <c r="U222">
        <v>-355</v>
      </c>
      <c r="V222">
        <v>1146.4890524503166</v>
      </c>
      <c r="W222">
        <v>-232.99787369862486</v>
      </c>
      <c r="X222">
        <v>-676.43982731900735</v>
      </c>
      <c r="Y222">
        <v>236.56588660407374</v>
      </c>
      <c r="Z222">
        <v>359.02079590516234</v>
      </c>
      <c r="AA222">
        <v>282.57177416106219</v>
      </c>
      <c r="AB222">
        <v>1627.2049399829514</v>
      </c>
      <c r="AC222">
        <v>850.64734420255854</v>
      </c>
      <c r="AD222">
        <v>1604.9295993719618</v>
      </c>
      <c r="AE222">
        <v>1981.3790423396867</v>
      </c>
      <c r="AF222">
        <v>1140.1944691993506</v>
      </c>
      <c r="AG222">
        <v>1277.5093975393313</v>
      </c>
      <c r="AH222">
        <v>2708.9606702932301</v>
      </c>
    </row>
    <row r="223" spans="1:34" x14ac:dyDescent="0.35">
      <c r="E223" t="str">
        <f t="shared" ref="E223:E226" si="54">CHAR(34)&amp;J223&amp;CHAR(34)&amp;": "&amp;F223</f>
        <v>"label_2": [-3082.13, -2431, -1668.97, -1370.38, -1927.61, -1797.88, -1932.92, -2364.23, -2691.4, -3337.47, -2452.86, -3553.04, -1810.41781669175, -2843.78313737351, -3272.30223099214, -2101.56116641653, -2680.10645777296, -2494.02891307096, -2451.09960473375, -1005.15859144036, -1739.84848223047, -1354.10474301278, -1477.69484749544, -1703.9523365589, , , , , , , , , , , , ]</v>
      </c>
      <c r="F223" s="1" t="str" cm="1">
        <f t="array" ref="F223">"["&amp;_xlfn.TEXTJOIN(", ",FALSE,SUBSTITUTE(K223:AT223,",","."))&amp;"]"</f>
        <v>[-3082.13, -2431, -1668.97, -1370.38, -1927.61, -1797.88, -1932.92, -2364.23, -2691.4, -3337.47, -2452.86, -3553.04, -1810.41781669175, -2843.78313737351, -3272.30223099214, -2101.56116641653, -2680.10645777296, -2494.02891307096, -2451.09960473375, -1005.15859144036, -1739.84848223047, -1354.10474301278, -1477.69484749544, -1703.9523365589, , , , , , , , , , , , ]</v>
      </c>
      <c r="H223" t="s">
        <v>684</v>
      </c>
      <c r="I223" t="s">
        <v>689</v>
      </c>
      <c r="J223" t="s">
        <v>691</v>
      </c>
      <c r="K223">
        <v>-3082.1299999999997</v>
      </c>
      <c r="L223">
        <v>-2431</v>
      </c>
      <c r="M223">
        <v>-1668.97</v>
      </c>
      <c r="N223">
        <v>-1370.3799999999999</v>
      </c>
      <c r="O223">
        <v>-1927.6100000000001</v>
      </c>
      <c r="P223">
        <v>-1797.8799999999999</v>
      </c>
      <c r="Q223">
        <v>-1932.92</v>
      </c>
      <c r="R223">
        <v>-2364.23</v>
      </c>
      <c r="S223">
        <v>-2691.4</v>
      </c>
      <c r="T223">
        <v>-3337.4700000000003</v>
      </c>
      <c r="U223">
        <v>-2452.8599999999997</v>
      </c>
      <c r="V223">
        <v>-3553.0400000000004</v>
      </c>
      <c r="W223">
        <v>-1810.4178166917461</v>
      </c>
      <c r="X223">
        <v>-2843.7831373735075</v>
      </c>
      <c r="Y223">
        <v>-3272.3022309921439</v>
      </c>
      <c r="Z223">
        <v>-2101.5611664165344</v>
      </c>
      <c r="AA223">
        <v>-2680.1064577729621</v>
      </c>
      <c r="AB223">
        <v>-2494.0289130709571</v>
      </c>
      <c r="AC223">
        <v>-2451.0996047337517</v>
      </c>
      <c r="AD223">
        <v>-1005.1585914403573</v>
      </c>
      <c r="AE223">
        <v>-1739.8484822304677</v>
      </c>
      <c r="AF223">
        <v>-1354.104743012784</v>
      </c>
      <c r="AG223">
        <v>-1477.6948474954359</v>
      </c>
      <c r="AH223">
        <v>-1703.9523365588987</v>
      </c>
    </row>
    <row r="224" spans="1:34" x14ac:dyDescent="0.35">
      <c r="E224" t="str">
        <f t="shared" si="54"/>
        <v>"label_3": [-3082.13, -2431, -1668.97, -1370.38, -1927.61, -1797.88, -1932.92, -2364.23, -2691.4, -3337.47, -2452.86, -3553.04, -2112.1541194737, -3317.74699360243, -3817.6859361575, -2389.14322076827, -2962.22292701222, -2887.8229519769, -2838.11533179698, -1163.86784272041, -2014.56140047738, -1567.91075506743, -1711.01508657366, -1972.99744233136, , , , , , , , , , , , ]</v>
      </c>
      <c r="F224" s="1" t="str" cm="1">
        <f t="array" ref="F224">"["&amp;_xlfn.TEXTJOIN(", ",FALSE,SUBSTITUTE(K224:AT224,",","."))&amp;"]"</f>
        <v>[-3082.13, -2431, -1668.97, -1370.38, -1927.61, -1797.88, -1932.92, -2364.23, -2691.4, -3337.47, -2452.86, -3553.04, -2112.1541194737, -3317.74699360243, -3817.6859361575, -2389.14322076827, -2962.22292701222, -2887.8229519769, -2838.11533179698, -1163.86784272041, -2014.56140047738, -1567.91075506743, -1711.01508657366, -1972.99744233136, , , , , , , , , , , , ]</v>
      </c>
      <c r="H224" t="s">
        <v>684</v>
      </c>
      <c r="I224" t="s">
        <v>689</v>
      </c>
      <c r="J224" t="s">
        <v>692</v>
      </c>
      <c r="K224">
        <v>-3082.1299999999997</v>
      </c>
      <c r="L224">
        <v>-2431</v>
      </c>
      <c r="M224">
        <v>-1668.97</v>
      </c>
      <c r="N224">
        <v>-1370.3799999999999</v>
      </c>
      <c r="O224">
        <v>-1927.6100000000001</v>
      </c>
      <c r="P224">
        <v>-1797.8799999999999</v>
      </c>
      <c r="Q224">
        <v>-1932.92</v>
      </c>
      <c r="R224">
        <v>-2364.23</v>
      </c>
      <c r="S224">
        <v>-2691.4</v>
      </c>
      <c r="T224">
        <v>-3337.4700000000003</v>
      </c>
      <c r="U224">
        <v>-2452.8599999999997</v>
      </c>
      <c r="V224">
        <v>-3553.0400000000004</v>
      </c>
      <c r="W224">
        <v>-2112.1541194737038</v>
      </c>
      <c r="X224">
        <v>-3317.7469936024254</v>
      </c>
      <c r="Y224">
        <v>-3817.6859361575016</v>
      </c>
      <c r="Z224">
        <v>-2389.1432207682706</v>
      </c>
      <c r="AA224">
        <v>-2962.2229270122216</v>
      </c>
      <c r="AB224">
        <v>-2887.8229519768984</v>
      </c>
      <c r="AC224">
        <v>-2838.1153317969761</v>
      </c>
      <c r="AD224">
        <v>-1163.8678427204138</v>
      </c>
      <c r="AE224">
        <v>-2014.5614004773838</v>
      </c>
      <c r="AF224">
        <v>-1567.9107550674344</v>
      </c>
      <c r="AG224">
        <v>-1711.0150865736628</v>
      </c>
      <c r="AH224">
        <v>-1972.9974423313565</v>
      </c>
    </row>
    <row r="225" spans="2:34" x14ac:dyDescent="0.35">
      <c r="E225" t="str">
        <f t="shared" si="54"/>
        <v>"label_4": [36.5686,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41.4026148261922, , , , , , , , , , , , ]</v>
      </c>
      <c r="F225" s="1" t="str" cm="1">
        <f t="array" ref="F225">"["&amp;_xlfn.TEXTJOIN(", ",FALSE,SUBSTITUTE(K225:AT225,",","."))&amp;"]"</f>
        <v>[36.5686, 36.5686, 36.5686, 36.5686, 36.5686, 36.5686, 36.5686, 36.5686, 36.5686, 36.5189516129032, 36.15542, 37.0939258064516, 37.5722332774961, 38.2747858784651, 39.1058064243748, 39.3957051471347, 39.7810470448246, 40.1583994813759, 40.5156351767682, 40.6477268771346, 40.8668576005622, 41.0270078718655, 41.2000747094721, 41.4026148261922, , , , , , , , , , , , ]</v>
      </c>
      <c r="H225" t="s">
        <v>684</v>
      </c>
      <c r="I225" t="s">
        <v>689</v>
      </c>
      <c r="J225" t="s">
        <v>693</v>
      </c>
      <c r="K225">
        <v>36.568600000000032</v>
      </c>
      <c r="L225">
        <v>36.568600000000025</v>
      </c>
      <c r="M225">
        <v>36.568600000000032</v>
      </c>
      <c r="N225">
        <v>36.568600000000032</v>
      </c>
      <c r="O225">
        <v>36.568600000000032</v>
      </c>
      <c r="P225">
        <v>36.568600000000032</v>
      </c>
      <c r="Q225">
        <v>36.568600000000032</v>
      </c>
      <c r="R225">
        <v>36.568600000000032</v>
      </c>
      <c r="S225">
        <v>36.568600000000032</v>
      </c>
      <c r="T225">
        <v>36.51895161290323</v>
      </c>
      <c r="U225">
        <v>36.155420000000007</v>
      </c>
      <c r="V225">
        <v>37.093925806451622</v>
      </c>
      <c r="W225">
        <v>37.572233277496139</v>
      </c>
      <c r="X225">
        <v>38.27478587846511</v>
      </c>
      <c r="Y225">
        <v>39.105806424374762</v>
      </c>
      <c r="Z225">
        <v>39.395705147134706</v>
      </c>
      <c r="AA225">
        <v>39.781047044824604</v>
      </c>
      <c r="AB225">
        <v>40.158399481375852</v>
      </c>
      <c r="AC225">
        <v>40.515635176768157</v>
      </c>
      <c r="AD225">
        <v>40.64772687713463</v>
      </c>
      <c r="AE225">
        <v>40.86685760056217</v>
      </c>
      <c r="AF225">
        <v>41.027007871865493</v>
      </c>
      <c r="AG225">
        <v>41.200074709472133</v>
      </c>
      <c r="AH225">
        <v>41.402614826192249</v>
      </c>
    </row>
    <row r="226" spans="2:34" x14ac:dyDescent="0.35">
      <c r="E226" t="str">
        <f t="shared" si="54"/>
        <v>"label_5": [36.5686, 36.5686, 36.5686, 36.5686, 36.5686, 36.5686, 36.5686, 36.5686, 36.5686, 36.5189516129032, 36.15542, 37.0939258064516, 36.8595635860981, 36.5252347945433, 36.1429222755513, 35.7246369049528, 35.3841569031978, 34.7366908439982, 34.1404573762641, 33.9222345064765, 33.5662597312278, 33.3092668055417, 33.0351831112781, 32.7193046617521, , , , , , , , , , , , ]</v>
      </c>
      <c r="F226" s="1" t="str" cm="1">
        <f t="array" ref="F226">"["&amp;_xlfn.TEXTJOIN(", ",FALSE,SUBSTITUTE(K226:AT226,",","."))&amp;"]"</f>
        <v>[36.5686, 36.5686, 36.5686, 36.5686, 36.5686, 36.5686, 36.5686, 36.5686, 36.5686, 36.5189516129032, 36.15542, 37.0939258064516, 36.8595635860981, 36.5252347945433, 36.1429222755513, 35.7246369049528, 35.3841569031978, 34.7366908439982, 34.1404573762641, 33.9222345064765, 33.5662597312278, 33.3092668055417, 33.0351831112781, 32.7193046617521, , , , , , , , , , , , ]</v>
      </c>
      <c r="H226" t="s">
        <v>684</v>
      </c>
      <c r="I226" t="s">
        <v>689</v>
      </c>
      <c r="J226" t="s">
        <v>694</v>
      </c>
      <c r="K226">
        <v>36.568600000000032</v>
      </c>
      <c r="L226">
        <v>36.568600000000025</v>
      </c>
      <c r="M226">
        <v>36.568600000000032</v>
      </c>
      <c r="N226">
        <v>36.568600000000032</v>
      </c>
      <c r="O226">
        <v>36.568600000000032</v>
      </c>
      <c r="P226">
        <v>36.568600000000032</v>
      </c>
      <c r="Q226">
        <v>36.568600000000032</v>
      </c>
      <c r="R226">
        <v>36.568600000000032</v>
      </c>
      <c r="S226">
        <v>36.568600000000032</v>
      </c>
      <c r="T226">
        <v>36.51895161290323</v>
      </c>
      <c r="U226">
        <v>36.155420000000007</v>
      </c>
      <c r="V226">
        <v>37.093925806451622</v>
      </c>
      <c r="W226">
        <v>36.859563586098119</v>
      </c>
      <c r="X226">
        <v>36.525234794543294</v>
      </c>
      <c r="Y226">
        <v>36.1429222755513</v>
      </c>
      <c r="Z226">
        <v>35.724636904952789</v>
      </c>
      <c r="AA226">
        <v>35.384156903197777</v>
      </c>
      <c r="AB226">
        <v>34.736690843998197</v>
      </c>
      <c r="AC226">
        <v>34.140457376264138</v>
      </c>
      <c r="AD226">
        <v>33.922234506476528</v>
      </c>
      <c r="AE226">
        <v>33.566259731227817</v>
      </c>
      <c r="AF226">
        <v>33.309266805541682</v>
      </c>
      <c r="AG226">
        <v>33.035183111278116</v>
      </c>
      <c r="AH226">
        <v>32.719304661752112</v>
      </c>
    </row>
    <row r="228" spans="2:34" x14ac:dyDescent="0.35">
      <c r="B228" t="str">
        <f>CHAR(34)&amp;I228&amp;CHAR(34)&amp;": "&amp;C228</f>
        <v>"label_names": {"UKR": {"Зведене сальдо платіжного балансу": "", "Інтервенції": "", "Інтервенції (боротьба з інфляцією)": "", "Обмінний курс": "", "Обмінний курс (боротьба з інфляцією)": ""}, "RU": {"Сводное сальдо платежного баланса": "", "Интервенции": "", "Интервенции (борьба с инфляцией)": "", "Обменный курс": "", "Обменный курс (борьба с инфляцией)": ""}, "ENG": {"Consolidated balance of payments": "", "Interventions": "", "Interventions (inflation control)": "", "Exchange rate": "", "Exchange rate (inflation control)": ""}}</v>
      </c>
      <c r="C228" t="str">
        <f>"{"&amp;_xlfn.TEXTJOIN(", ",TRUE,D228:D242)&amp;"}"</f>
        <v>{"UKR": {"Зведене сальдо платіжного балансу": "", "Інтервенції": "", "Інтервенції (боротьба з інфляцією)": "", "Обмінний курс": "", "Обмінний курс (боротьба з інфляцією)": ""}, "RU": {"Сводное сальдо платежного баланса": "", "Интервенции": "", "Интервенции (борьба с инфляцией)": "", "Обменный курс": "", "Обменный курс (борьба с инфляцией)": ""}, "ENG": {"Consolidated balance of payments": "", "Interventions": "", "Interventions (inflation control)": "", "Exchange rate": "", "Exchange rate (inflation control)": ""}}</v>
      </c>
      <c r="D228" t="str">
        <f>CHAR(34)&amp;J228&amp;CHAR(34)&amp;": "&amp;E228</f>
        <v>"UKR": {"Зведене сальдо платіжного балансу": "", "Інтервенції": "", "Інтервенції (боротьба з інфляцією)": "", "Обмінний курс": "", "Обмінний курс (боротьба з інфляцією)": ""}</v>
      </c>
      <c r="E228" t="str">
        <f>"{"&amp;_xlfn.TEXTJOIN(", ",TRUE,F228:F232)&amp;"}"</f>
        <v>{"Зведене сальдо платіжного балансу": "", "Інтервенції": "", "Інтервенції (боротьба з інфляцією)": "", "Обмінний курс": "", "Обмінний курс (боротьба з інфляцією)": ""}</v>
      </c>
      <c r="F228" t="str">
        <f>CHAR(34)&amp;K228&amp;CHAR(34)&amp;": "&amp;CHAR(34)&amp;L228&amp;CHAR(34)</f>
        <v>"Зведене сальдо платіжного балансу": ""</v>
      </c>
      <c r="H228" t="s">
        <v>684</v>
      </c>
      <c r="I228" t="s">
        <v>695</v>
      </c>
      <c r="J228" t="s">
        <v>334</v>
      </c>
      <c r="K228" t="str" cm="1">
        <f t="array" ref="K228:K232">'курс 2022-2023 v1'!AE3:AE7</f>
        <v>Зведене сальдо платіжного балансу</v>
      </c>
    </row>
    <row r="229" spans="2:34" x14ac:dyDescent="0.35">
      <c r="F229" t="str">
        <f t="shared" ref="F229:F242" si="55">CHAR(34)&amp;K229&amp;CHAR(34)&amp;": "&amp;CHAR(34)&amp;L229&amp;CHAR(34)</f>
        <v>"Інтервенції": ""</v>
      </c>
      <c r="H229" t="s">
        <v>684</v>
      </c>
      <c r="I229" t="s">
        <v>695</v>
      </c>
      <c r="J229" t="s">
        <v>334</v>
      </c>
      <c r="K229" t="str">
        <v>Інтервенції</v>
      </c>
    </row>
    <row r="230" spans="2:34" x14ac:dyDescent="0.35">
      <c r="F230" t="str">
        <f t="shared" si="55"/>
        <v>"Інтервенції (боротьба з інфляцією)": ""</v>
      </c>
      <c r="H230" t="s">
        <v>684</v>
      </c>
      <c r="I230" t="s">
        <v>695</v>
      </c>
      <c r="J230" t="s">
        <v>334</v>
      </c>
      <c r="K230" t="str">
        <v>Інтервенції (боротьба з інфляцією)</v>
      </c>
    </row>
    <row r="231" spans="2:34" x14ac:dyDescent="0.35">
      <c r="F231" t="str">
        <f t="shared" si="55"/>
        <v>"Обмінний курс": ""</v>
      </c>
      <c r="H231" t="s">
        <v>684</v>
      </c>
      <c r="I231" t="s">
        <v>695</v>
      </c>
      <c r="J231" t="s">
        <v>334</v>
      </c>
      <c r="K231" t="str">
        <v>Обмінний курс</v>
      </c>
    </row>
    <row r="232" spans="2:34" x14ac:dyDescent="0.35">
      <c r="F232" t="str">
        <f t="shared" si="55"/>
        <v>"Обмінний курс (боротьба з інфляцією)": ""</v>
      </c>
      <c r="H232" t="s">
        <v>684</v>
      </c>
      <c r="I232" t="s">
        <v>695</v>
      </c>
      <c r="J232" t="s">
        <v>334</v>
      </c>
      <c r="K232" t="str">
        <v>Обмінний курс (боротьба з інфляцією)</v>
      </c>
    </row>
    <row r="233" spans="2:34" x14ac:dyDescent="0.35">
      <c r="D233" t="str">
        <f>CHAR(34)&amp;J233&amp;CHAR(34)&amp;": "&amp;E233</f>
        <v>"RU": {"Сводное сальдо платежного баланса": "", "Интервенции": "", "Интервенции (борьба с инфляцией)": "", "Обменный курс": "", "Обменный курс (борьба с инфляцией)": ""}</v>
      </c>
      <c r="E233" t="str">
        <f>"{"&amp;_xlfn.TEXTJOIN(", ",TRUE,F233:F237)&amp;"}"</f>
        <v>{"Сводное сальдо платежного баланса": "", "Интервенции": "", "Интервенции (борьба с инфляцией)": "", "Обменный курс": "", "Обменный курс (борьба с инфляцией)": ""}</v>
      </c>
      <c r="F233" t="str">
        <f t="shared" si="55"/>
        <v>"Сводное сальдо платежного баланса": ""</v>
      </c>
      <c r="H233" t="s">
        <v>684</v>
      </c>
      <c r="I233" t="s">
        <v>695</v>
      </c>
      <c r="J233" t="s">
        <v>336</v>
      </c>
      <c r="K233" t="str" cm="1">
        <f t="array" ref="K233:K237">'курс 2022-2023 v1'!AC3:AC7</f>
        <v>Сводное сальдо платежного баланса</v>
      </c>
    </row>
    <row r="234" spans="2:34" x14ac:dyDescent="0.35">
      <c r="F234" t="str">
        <f t="shared" si="55"/>
        <v>"Интервенции": ""</v>
      </c>
      <c r="H234" t="s">
        <v>684</v>
      </c>
      <c r="I234" t="s">
        <v>695</v>
      </c>
      <c r="J234" t="s">
        <v>336</v>
      </c>
      <c r="K234" t="str">
        <v>Интервенции</v>
      </c>
    </row>
    <row r="235" spans="2:34" x14ac:dyDescent="0.35">
      <c r="F235" t="str">
        <f t="shared" si="55"/>
        <v>"Интервенции (борьба с инфляцией)": ""</v>
      </c>
      <c r="H235" t="s">
        <v>684</v>
      </c>
      <c r="I235" t="s">
        <v>695</v>
      </c>
      <c r="J235" t="s">
        <v>336</v>
      </c>
      <c r="K235" t="str">
        <v>Интервенции (борьба с инфляцией)</v>
      </c>
    </row>
    <row r="236" spans="2:34" x14ac:dyDescent="0.35">
      <c r="F236" t="str">
        <f t="shared" si="55"/>
        <v>"Обменный курс": ""</v>
      </c>
      <c r="H236" t="s">
        <v>684</v>
      </c>
      <c r="I236" t="s">
        <v>695</v>
      </c>
      <c r="J236" t="s">
        <v>336</v>
      </c>
      <c r="K236" t="str">
        <v>Обменный курс</v>
      </c>
    </row>
    <row r="237" spans="2:34" x14ac:dyDescent="0.35">
      <c r="F237" t="str">
        <f t="shared" si="55"/>
        <v>"Обменный курс (борьба с инфляцией)": ""</v>
      </c>
      <c r="H237" t="s">
        <v>684</v>
      </c>
      <c r="I237" t="s">
        <v>695</v>
      </c>
      <c r="J237" t="s">
        <v>336</v>
      </c>
      <c r="K237" t="str">
        <v>Обменный курс (борьба с инфляцией)</v>
      </c>
    </row>
    <row r="238" spans="2:34" x14ac:dyDescent="0.35">
      <c r="D238" t="str">
        <f>CHAR(34)&amp;J238&amp;CHAR(34)&amp;": "&amp;E238</f>
        <v>"ENG": {"Consolidated balance of payments": "", "Interventions": "", "Interventions (inflation control)": "", "Exchange rate": "", "Exchange rate (inflation control)": ""}</v>
      </c>
      <c r="E238" t="str">
        <f>"{"&amp;_xlfn.TEXTJOIN(", ",TRUE,F238:F242)&amp;"}"</f>
        <v>{"Consolidated balance of payments": "", "Interventions": "", "Interventions (inflation control)": "", "Exchange rate": "", "Exchange rate (inflation control)": ""}</v>
      </c>
      <c r="F238" t="str">
        <f t="shared" si="55"/>
        <v>"Consolidated balance of payments": ""</v>
      </c>
      <c r="H238" t="s">
        <v>684</v>
      </c>
      <c r="I238" t="s">
        <v>695</v>
      </c>
      <c r="J238" t="s">
        <v>337</v>
      </c>
      <c r="K238" t="str" cm="1">
        <f t="array" ref="K238:K242">'курс 2022-2023 v1'!AD3:AD7</f>
        <v>Consolidated balance of payments</v>
      </c>
    </row>
    <row r="239" spans="2:34" x14ac:dyDescent="0.35">
      <c r="F239" t="str">
        <f t="shared" si="55"/>
        <v>"Interventions": ""</v>
      </c>
      <c r="H239" t="s">
        <v>684</v>
      </c>
      <c r="I239" t="s">
        <v>695</v>
      </c>
      <c r="J239" t="s">
        <v>337</v>
      </c>
      <c r="K239" t="str">
        <v>Interventions</v>
      </c>
    </row>
    <row r="240" spans="2:34" x14ac:dyDescent="0.35">
      <c r="F240" t="str">
        <f t="shared" si="55"/>
        <v>"Interventions (inflation control)": ""</v>
      </c>
      <c r="H240" t="s">
        <v>684</v>
      </c>
      <c r="I240" t="s">
        <v>695</v>
      </c>
      <c r="J240" t="s">
        <v>337</v>
      </c>
      <c r="K240" t="str">
        <v>Interventions (inflation control)</v>
      </c>
    </row>
    <row r="241" spans="1:25" x14ac:dyDescent="0.35">
      <c r="F241" t="str">
        <f t="shared" si="55"/>
        <v>"Exchange rate": ""</v>
      </c>
      <c r="H241" t="s">
        <v>684</v>
      </c>
      <c r="I241" t="s">
        <v>695</v>
      </c>
      <c r="J241" t="s">
        <v>337</v>
      </c>
      <c r="K241" t="str">
        <v>Exchange rate</v>
      </c>
    </row>
    <row r="242" spans="1:25" x14ac:dyDescent="0.35">
      <c r="F242" t="str">
        <f t="shared" si="55"/>
        <v>"Exchange rate (inflation control)": ""</v>
      </c>
      <c r="H242" t="s">
        <v>684</v>
      </c>
      <c r="I242" t="s">
        <v>695</v>
      </c>
      <c r="J242" t="s">
        <v>337</v>
      </c>
      <c r="K242" t="str">
        <v>Exchange rate (inflation control)</v>
      </c>
    </row>
    <row r="244" spans="1:25" x14ac:dyDescent="0.35">
      <c r="B244" t="str">
        <f>CHAR(34)&amp;I244&amp;CHAR(34)&amp;": "&amp;C244</f>
        <v>"source": {"UKR": "Джерело: НБУ, розрахунки Ukraine Economic Outlook", "RU": "Источник: НБУ, расчеты Ukraine Economic Outlook", "ENG": "Source: NBU, Ukraine Economic Outlook calculations"}</v>
      </c>
      <c r="C244" t="str">
        <f>"{"&amp;_xlfn.TEXTJOIN(", ",TRUE,F244:F246)&amp;"}"</f>
        <v>{"UKR": "Джерело: НБУ, розрахунки Ukraine Economic Outlook", "RU": "Источник: НБУ, расчеты Ukraine Economic Outlook", "ENG": "Source: NBU, Ukraine Economic Outlook calculations"}</v>
      </c>
      <c r="F244" t="str">
        <f>CHAR(34)&amp;J244&amp;CHAR(34)&amp;": "&amp;CHAR(34)&amp;K244&amp;CHAR(34)</f>
        <v>"UKR": "Джерело: НБУ, розрахунки Ukraine Economic Outlook"</v>
      </c>
      <c r="H244" t="s">
        <v>684</v>
      </c>
      <c r="I244" t="s">
        <v>696</v>
      </c>
      <c r="J244" t="s">
        <v>334</v>
      </c>
      <c r="K244" t="str">
        <f>Чарти!H141</f>
        <v>Джерело: НБУ, розрахунки Ukraine Economic Outlook</v>
      </c>
    </row>
    <row r="245" spans="1:25" x14ac:dyDescent="0.35">
      <c r="F245" t="str">
        <f t="shared" ref="F245:F246" si="56">CHAR(34)&amp;J245&amp;CHAR(34)&amp;": "&amp;CHAR(34)&amp;K245&amp;CHAR(34)</f>
        <v>"RU": "Источник: НБУ, расчеты Ukraine Economic Outlook"</v>
      </c>
      <c r="H245" t="s">
        <v>684</v>
      </c>
      <c r="I245" t="s">
        <v>696</v>
      </c>
      <c r="J245" t="s">
        <v>336</v>
      </c>
      <c r="K245" t="str">
        <f>Чарти!H139</f>
        <v>Источник: НБУ, расчеты Ukraine Economic Outlook</v>
      </c>
    </row>
    <row r="246" spans="1:25" x14ac:dyDescent="0.35">
      <c r="F246" t="str">
        <f t="shared" si="56"/>
        <v>"ENG": "Source: NBU, Ukraine Economic Outlook calculations"</v>
      </c>
      <c r="H246" t="s">
        <v>684</v>
      </c>
      <c r="I246" t="s">
        <v>696</v>
      </c>
      <c r="J246" t="s">
        <v>337</v>
      </c>
      <c r="K246" t="str">
        <f>Чарти!H140</f>
        <v>Source: NBU, Ukraine Economic Outlook calculations</v>
      </c>
    </row>
    <row r="248" spans="1:25" x14ac:dyDescent="0.35">
      <c r="A248" s="1395"/>
      <c r="B248" s="1395"/>
      <c r="C248" s="1395"/>
      <c r="D248" s="1395"/>
      <c r="E248" s="1395"/>
      <c r="F248" s="1395"/>
      <c r="G248" s="1395"/>
      <c r="K248" s="1397"/>
    </row>
    <row r="249" spans="1:25" x14ac:dyDescent="0.35">
      <c r="A249" t="str">
        <f>"{"&amp;CHAR(34)&amp;H249&amp;CHAR(34)&amp;": "&amp;B249&amp;"}"</f>
        <v>{"Chart1": {"name": {"UKR": "Динаміка експорту IT-послуг, 2010-2024, $ млрд", "RU": "Динамика экспорта IT-услуг, 2010-2024, $ млрд", "ENG": "IT services exports trend, 2010-2024, $ bln"},"indexes": {"index_0": [2010, 2011, 2012, 2013, 2014, 2015, 2016, 2017, 2018, 2019, 2020, 2021, 2022, "2023F", "2024F"]},"labels": {"label_1": [0.719, 1.04, 1.321, 1.782, 2.042, 2.105, 2.31, 2.76, 3.473, 4.331, 5.181, 7.107, 7.521, 6.854, 7.07206179318796], "label_2": [0.226962457337884, 0.446453407510431, 0.270192307692308, 0.348978046934141, 0.145903479236812, 0.0308521057786484, 0.0973871733966747, 0.194805194805195, 0.258333333333333, 0.247048661099914, 0.19625952435927, 0.371742906774754, 0.058252427184466, -0.0886850152905199, 0.0318152601674877]},"label_names": {"UKR": {"label_1": "Експорт, $ млрд", "label_2": "р-р, %"}, "RU": {"label_1": "Экспорт, $ млрд", "label_2": "г-г, %"}, "ENG": {"label_1": "Export, $Bln", "label_2": "YoY, %"}},"source": {"UKR": "Джерело: НБУ, розрахунки Ukraine Economic Outlook", "RU": "Источник: НБУ, расчеты Ukraine Economic Outlook", "ENG": "Source: NBU, Ukraine Economic Outlook calculations"}}}</v>
      </c>
      <c r="B249" t="str">
        <f>"{"&amp;_xlfn.TEXTJOIN(",",TRUE,B250:B268)&amp;"}"</f>
        <v>{"name": {"UKR": "Динаміка експорту IT-послуг, 2010-2024, $ млрд", "RU": "Динамика экспорта IT-услуг, 2010-2024, $ млрд", "ENG": "IT services exports trend, 2010-2024, $ bln"},"indexes": {"index_0": [2010, 2011, 2012, 2013, 2014, 2015, 2016, 2017, 2018, 2019, 2020, 2021, 2022, "2023F", "2024F"]},"labels": {"label_1": [0.719, 1.04, 1.321, 1.782, 2.042, 2.105, 2.31, 2.76, 3.473, 4.331, 5.181, 7.107, 7.521, 6.854, 7.07206179318796], "label_2": [0.226962457337884, 0.446453407510431, 0.270192307692308, 0.348978046934141, 0.145903479236812, 0.0308521057786484, 0.0973871733966747, 0.194805194805195, 0.258333333333333, 0.247048661099914, 0.19625952435927, 0.371742906774754, 0.058252427184466, -0.0886850152905199, 0.0318152601674877]},"label_names": {"UKR": {"label_1": "Експорт, $ млрд", "label_2": "р-р, %"}, "RU": {"label_1": "Экспорт, $ млрд", "label_2": "г-г, %"}, "ENG": {"label_1": "Export, $Bln", "label_2": "YoY, %"}},"source": {"UKR": "Джерело: НБУ, розрахунки Ukraine Economic Outlook", "RU": "Источник: НБУ, расчеты Ukraine Economic Outlook", "ENG": "Source: NBU, Ukraine Economic Outlook calculations"}}</v>
      </c>
      <c r="H249" t="s">
        <v>684</v>
      </c>
    </row>
    <row r="250" spans="1:25" x14ac:dyDescent="0.35">
      <c r="B250" t="str">
        <f>CHAR(34)&amp;I250&amp;CHAR(34)&amp;": "&amp;C250</f>
        <v>"name": {"UKR": "Динаміка експорту IT-послуг, 2010-2024, $ млрд", "RU": "Динамика экспорта IT-услуг, 2010-2024, $ млрд", "ENG": "IT services exports trend, 2010-2024, $ bln"}</v>
      </c>
      <c r="C250" t="str">
        <f>"{"&amp;_xlfn.TEXTJOIN(", ",TRUE,F250:F252)&amp;"}"</f>
        <v>{"UKR": "Динаміка експорту IT-послуг, 2010-2024, $ млрд", "RU": "Динамика экспорта IT-услуг, 2010-2024, $ млрд", "ENG": "IT services exports trend, 2010-2024, $ bln"}</v>
      </c>
      <c r="F250" t="str">
        <f>CHAR(34)&amp;J250&amp;CHAR(34)&amp;": "&amp;CHAR(34)&amp;K250&amp;CHAR(34)</f>
        <v>"UKR": "Динаміка експорту IT-послуг, 2010-2024, $ млрд"</v>
      </c>
      <c r="H250" t="s">
        <v>684</v>
      </c>
      <c r="I250" t="s">
        <v>685</v>
      </c>
      <c r="J250" t="s">
        <v>334</v>
      </c>
      <c r="K250" t="str">
        <f>'  Експорт IT + Мігранти'!P20</f>
        <v>Динаміка експорту IT-послуг, 2010-2024, $ млрд</v>
      </c>
    </row>
    <row r="251" spans="1:25" x14ac:dyDescent="0.35">
      <c r="F251" t="str">
        <f t="shared" ref="F251:F252" si="57">CHAR(34)&amp;J251&amp;CHAR(34)&amp;": "&amp;CHAR(34)&amp;K251&amp;CHAR(34)</f>
        <v>"RU": "Динамика экспорта IT-услуг, 2010-2024, $ млрд"</v>
      </c>
      <c r="H251" t="s">
        <v>684</v>
      </c>
      <c r="I251" t="s">
        <v>685</v>
      </c>
      <c r="J251" t="s">
        <v>336</v>
      </c>
      <c r="K251" t="str">
        <f>'  Експорт IT + Мігранти'!P18</f>
        <v>Динамика экспорта IT-услуг, 2010-2024, $ млрд</v>
      </c>
    </row>
    <row r="252" spans="1:25" x14ac:dyDescent="0.35">
      <c r="F252" t="str">
        <f t="shared" si="57"/>
        <v>"ENG": "IT services exports trend, 2010-2024, $ bln"</v>
      </c>
      <c r="H252" t="s">
        <v>684</v>
      </c>
      <c r="I252" t="s">
        <v>685</v>
      </c>
      <c r="J252" t="s">
        <v>337</v>
      </c>
      <c r="K252" t="str">
        <f>'  Експорт IT + Мігранти'!P19</f>
        <v>IT services exports trend, 2010-2024, $ bln</v>
      </c>
    </row>
    <row r="254" spans="1:25" x14ac:dyDescent="0.35">
      <c r="B254" t="str">
        <f>CHAR(34)&amp;I254&amp;CHAR(34)&amp;": "&amp;C254</f>
        <v>"indexes": {"index_0": [2010, 2011, 2012, 2013, 2014, 2015, 2016, 2017, 2018, 2019, 2020, 2021, 2022, "2023F", "2024F"]}</v>
      </c>
      <c r="C254" t="str">
        <f>"{"&amp;_xlfn.TEXTJOIN(", ",TRUE,E254:E254)&amp;"}"</f>
        <v>{"index_0": [2010, 2011, 2012, 2013, 2014, 2015, 2016, 2017, 2018, 2019, 2020, 2021, 2022, "2023F", "2024F"]}</v>
      </c>
      <c r="E254" t="str">
        <f>CHAR(34)&amp;J254&amp;CHAR(34)&amp;": "&amp;F254</f>
        <v>"index_0": [2010, 2011, 2012, 2013, 2014, 2015, 2016, 2017, 2018, 2019, 2020, 2021, 2022, "2023F", "2024F"]</v>
      </c>
      <c r="F254" s="1" t="str" cm="1">
        <f t="array" ref="F254">"["&amp;_xlfn.TEXTJOIN(", ",FALSE,SUBSTITUTE(_xlfn.ANCHORARRAY(K254),",","."))&amp;"]"</f>
        <v>[2010, 2011, 2012, 2013, 2014, 2015, 2016, 2017, 2018, 2019, 2020, 2021, 2022, "2023F", "2024F"]</v>
      </c>
      <c r="H254" t="s">
        <v>684</v>
      </c>
      <c r="I254" t="s">
        <v>686</v>
      </c>
      <c r="J254" t="s">
        <v>687</v>
      </c>
      <c r="K254" cm="1">
        <f t="array" ref="K254:Y254">_xlfn.LET(_xlpm.k,'  Експорт IT + Мігранти'!$B$8:$P$8,IF(ISNUMBER(_xlpm.k),_xlpm.k,CHAR(34)&amp;_xlpm.k&amp;CHAR(34)))</f>
        <v>2010</v>
      </c>
      <c r="L254">
        <v>2011</v>
      </c>
      <c r="M254">
        <v>2012</v>
      </c>
      <c r="N254">
        <v>2013</v>
      </c>
      <c r="O254">
        <v>2014</v>
      </c>
      <c r="P254">
        <v>2015</v>
      </c>
      <c r="Q254">
        <v>2016</v>
      </c>
      <c r="R254">
        <v>2017</v>
      </c>
      <c r="S254">
        <v>2018</v>
      </c>
      <c r="T254">
        <v>2019</v>
      </c>
      <c r="U254">
        <v>2020</v>
      </c>
      <c r="V254">
        <v>2021</v>
      </c>
      <c r="W254">
        <v>2022</v>
      </c>
      <c r="X254" t="str">
        <v>"2023F"</v>
      </c>
      <c r="Y254" t="str">
        <v>"2024F"</v>
      </c>
    </row>
    <row r="255" spans="1:25" x14ac:dyDescent="0.35">
      <c r="F255" s="1"/>
    </row>
    <row r="256" spans="1:25" x14ac:dyDescent="0.35">
      <c r="B256" t="str">
        <f>CHAR(34)&amp;I256&amp;CHAR(34)&amp;": "&amp;C256</f>
        <v>"labels": {"label_1": [0.719, 1.04, 1.321, 1.782, 2.042, 2.105, 2.31, 2.76, 3.473, 4.331, 5.181, 7.107, 7.521, 6.854, 7.07206179318796], "label_2": [0.226962457337884, 0.446453407510431, 0.270192307692308, 0.348978046934141, 0.145903479236812, 0.0308521057786484, 0.0973871733966747, 0.194805194805195, 0.258333333333333, 0.247048661099914, 0.19625952435927, 0.371742906774754, 0.058252427184466, -0.0886850152905199, 0.0318152601674877]}</v>
      </c>
      <c r="C256" t="str">
        <f>"{"&amp;_xlfn.TEXTJOIN(", ",TRUE,E256:E257)&amp;"}"</f>
        <v>{"label_1": [0.719, 1.04, 1.321, 1.782, 2.042, 2.105, 2.31, 2.76, 3.473, 4.331, 5.181, 7.107, 7.521, 6.854, 7.07206179318796], "label_2": [0.226962457337884, 0.446453407510431, 0.270192307692308, 0.348978046934141, 0.145903479236812, 0.0308521057786484, 0.0973871733966747, 0.194805194805195, 0.258333333333333, 0.247048661099914, 0.19625952435927, 0.371742906774754, 0.058252427184466, -0.0886850152905199, 0.0318152601674877]}</v>
      </c>
      <c r="E256" t="str">
        <f>CHAR(34)&amp;J256&amp;CHAR(34)&amp;": "&amp;F256</f>
        <v>"label_1": [0.719, 1.04, 1.321, 1.782, 2.042, 2.105, 2.31, 2.76, 3.473, 4.331, 5.181, 7.107, 7.521, 6.854, 7.07206179318796]</v>
      </c>
      <c r="F256" s="1" t="str" cm="1">
        <f t="array" ref="F256">"["&amp;_xlfn.TEXTJOIN(", ",FALSE,SUBSTITUTE(_xlfn.ANCHORARRAY(K256),",","."))&amp;"]"</f>
        <v>[0.719, 1.04, 1.321, 1.782, 2.042, 2.105, 2.31, 2.76, 3.473, 4.331, 5.181, 7.107, 7.521, 6.854, 7.07206179318796]</v>
      </c>
      <c r="H256" t="s">
        <v>684</v>
      </c>
      <c r="I256" t="s">
        <v>689</v>
      </c>
      <c r="J256" t="s">
        <v>690</v>
      </c>
      <c r="K256" cm="1">
        <f t="array" ref="K256:Y256">'  Експорт IT + Мігранти'!B9:P9</f>
        <v>0.71899999999999997</v>
      </c>
      <c r="L256">
        <v>1.04</v>
      </c>
      <c r="M256">
        <v>1.321</v>
      </c>
      <c r="N256">
        <v>1.782</v>
      </c>
      <c r="O256">
        <v>2.0419999999999998</v>
      </c>
      <c r="P256">
        <v>2.105</v>
      </c>
      <c r="Q256">
        <v>2.31</v>
      </c>
      <c r="R256">
        <v>2.76</v>
      </c>
      <c r="S256">
        <v>3.4729999999999999</v>
      </c>
      <c r="T256">
        <v>4.3310000000000004</v>
      </c>
      <c r="U256">
        <v>5.181</v>
      </c>
      <c r="V256">
        <v>7.1070000000000002</v>
      </c>
      <c r="W256">
        <v>7.5209999999999999</v>
      </c>
      <c r="X256">
        <v>6.8540000000000001</v>
      </c>
      <c r="Y256">
        <v>7.0720617931879604</v>
      </c>
    </row>
    <row r="257" spans="1:25" x14ac:dyDescent="0.35">
      <c r="E257" t="str">
        <f t="shared" ref="E257" si="58">CHAR(34)&amp;J257&amp;CHAR(34)&amp;": "&amp;F257</f>
        <v>"label_2": [0.226962457337884, 0.446453407510431, 0.270192307692308, 0.348978046934141, 0.145903479236812, 0.0308521057786484, 0.0973871733966747, 0.194805194805195, 0.258333333333333, 0.247048661099914, 0.19625952435927, 0.371742906774754, 0.058252427184466, -0.0886850152905199, 0.0318152601674877]</v>
      </c>
      <c r="F257" s="1" t="str" cm="1">
        <f t="array" ref="F257">"["&amp;_xlfn.TEXTJOIN(", ",FALSE,SUBSTITUTE(_xlfn.ANCHORARRAY(K257),",","."))&amp;"]"</f>
        <v>[0.226962457337884, 0.446453407510431, 0.270192307692308, 0.348978046934141, 0.145903479236812, 0.0308521057786484, 0.0973871733966747, 0.194805194805195, 0.258333333333333, 0.247048661099914, 0.19625952435927, 0.371742906774754, 0.058252427184466, -0.0886850152905199, 0.0318152601674877]</v>
      </c>
      <c r="H257" t="s">
        <v>684</v>
      </c>
      <c r="I257" t="s">
        <v>689</v>
      </c>
      <c r="J257" t="s">
        <v>691</v>
      </c>
      <c r="K257" cm="1">
        <f t="array" ref="K257:Y257">'  Експорт IT + Мігранти'!B10:P10</f>
        <v>0.22696245733788389</v>
      </c>
      <c r="L257">
        <v>0.44645340751043117</v>
      </c>
      <c r="M257">
        <v>0.27019230769230762</v>
      </c>
      <c r="N257">
        <v>0.34897804693414081</v>
      </c>
      <c r="O257">
        <v>0.14590347923681235</v>
      </c>
      <c r="P257">
        <v>3.0852105778648387E-2</v>
      </c>
      <c r="Q257">
        <v>9.7387173396674687E-2</v>
      </c>
      <c r="R257">
        <v>0.19480519480519476</v>
      </c>
      <c r="S257">
        <v>0.2583333333333333</v>
      </c>
      <c r="T257">
        <v>0.24704866109991386</v>
      </c>
      <c r="U257">
        <v>0.19625952435927019</v>
      </c>
      <c r="V257">
        <v>0.37174290677475397</v>
      </c>
      <c r="W257">
        <v>5.8252427184465994E-2</v>
      </c>
      <c r="X257">
        <v>-8.8685015290519864E-2</v>
      </c>
      <c r="Y257">
        <v>3.1815260167487702E-2</v>
      </c>
    </row>
    <row r="259" spans="1:25" x14ac:dyDescent="0.35">
      <c r="B259" t="str">
        <f>CHAR(34)&amp;I259&amp;CHAR(34)&amp;": "&amp;C259</f>
        <v>"label_names": {"UKR": {"label_1": "Експорт, $ млрд", "label_2": "р-р, %"}, "RU": {"label_1": "Экспорт, $ млрд", "label_2": "г-г, %"}, "ENG": {"label_1": "Export, $Bln", "label_2": "YoY, %"}}</v>
      </c>
      <c r="C259" t="str">
        <f>"{"&amp;_xlfn.TEXTJOIN(", ",TRUE,D259:D264)&amp;"}"</f>
        <v>{"UKR": {"label_1": "Експорт, $ млрд", "label_2": "р-р, %"}, "RU": {"label_1": "Экспорт, $ млрд", "label_2": "г-г, %"}, "ENG": {"label_1": "Export, $Bln", "label_2": "YoY, %"}}</v>
      </c>
      <c r="D259" t="str">
        <f>CHAR(34)&amp;J259&amp;CHAR(34)&amp;": "&amp;E259</f>
        <v>"UKR": {"label_1": "Експорт, $ млрд", "label_2": "р-р, %"}</v>
      </c>
      <c r="E259" t="str">
        <f>"{"&amp;_xlfn.TEXTJOIN(", ",TRUE,F259:F260)&amp;"}"</f>
        <v>{"label_1": "Експорт, $ млрд", "label_2": "р-р, %"}</v>
      </c>
      <c r="F259" t="str">
        <f>CHAR(34)&amp;K259&amp;CHAR(34)&amp;": "&amp;CHAR(34)&amp;L259&amp;CHAR(34)</f>
        <v>"label_1": "Експорт, $ млрд"</v>
      </c>
      <c r="H259" t="s">
        <v>684</v>
      </c>
      <c r="I259" t="s">
        <v>695</v>
      </c>
      <c r="J259" t="s">
        <v>334</v>
      </c>
      <c r="K259" t="s">
        <v>690</v>
      </c>
      <c r="L259" t="str" cm="1">
        <f t="array" ref="L259:L260">'  Експорт IT + Мігранти'!S9:S10</f>
        <v>Експорт, $ млрд</v>
      </c>
    </row>
    <row r="260" spans="1:25" x14ac:dyDescent="0.35">
      <c r="F260" t="str">
        <f t="shared" ref="F260:F264" si="59">CHAR(34)&amp;K260&amp;CHAR(34)&amp;": "&amp;CHAR(34)&amp;L260&amp;CHAR(34)</f>
        <v>"label_2": "р-р, %"</v>
      </c>
      <c r="H260" t="s">
        <v>684</v>
      </c>
      <c r="I260" t="s">
        <v>695</v>
      </c>
      <c r="J260" t="s">
        <v>334</v>
      </c>
      <c r="K260" t="s">
        <v>691</v>
      </c>
      <c r="L260" t="str">
        <v>р-р, %</v>
      </c>
    </row>
    <row r="261" spans="1:25" x14ac:dyDescent="0.35">
      <c r="D261" t="str">
        <f>CHAR(34)&amp;J261&amp;CHAR(34)&amp;": "&amp;E261</f>
        <v>"RU": {"label_1": "Экспорт, $ млрд", "label_2": "г-г, %"}</v>
      </c>
      <c r="E261" t="str">
        <f>"{"&amp;_xlfn.TEXTJOIN(", ",TRUE,F261:F262)&amp;"}"</f>
        <v>{"label_1": "Экспорт, $ млрд", "label_2": "г-г, %"}</v>
      </c>
      <c r="F261" t="str">
        <f t="shared" si="59"/>
        <v>"label_1": "Экспорт, $ млрд"</v>
      </c>
      <c r="H261" t="s">
        <v>684</v>
      </c>
      <c r="I261" t="s">
        <v>695</v>
      </c>
      <c r="J261" t="s">
        <v>336</v>
      </c>
      <c r="K261" t="s">
        <v>690</v>
      </c>
      <c r="L261" t="str" cm="1">
        <f t="array" ref="L261:L262">'  Експорт IT + Мігранти'!Q9:Q10</f>
        <v>Экспорт, $ млрд</v>
      </c>
    </row>
    <row r="262" spans="1:25" x14ac:dyDescent="0.35">
      <c r="F262" t="str">
        <f t="shared" si="59"/>
        <v>"label_2": "г-г, %"</v>
      </c>
      <c r="H262" t="s">
        <v>684</v>
      </c>
      <c r="I262" t="s">
        <v>695</v>
      </c>
      <c r="J262" t="s">
        <v>336</v>
      </c>
      <c r="K262" t="s">
        <v>691</v>
      </c>
      <c r="L262" t="str">
        <v>г-г, %</v>
      </c>
    </row>
    <row r="263" spans="1:25" x14ac:dyDescent="0.35">
      <c r="D263" t="str">
        <f>CHAR(34)&amp;J263&amp;CHAR(34)&amp;": "&amp;E263</f>
        <v>"ENG": {"label_1": "Export, $Bln", "label_2": "YoY, %"}</v>
      </c>
      <c r="E263" t="str">
        <f>"{"&amp;_xlfn.TEXTJOIN(", ",TRUE,F263:F264)&amp;"}"</f>
        <v>{"label_1": "Export, $Bln", "label_2": "YoY, %"}</v>
      </c>
      <c r="F263" t="str">
        <f t="shared" si="59"/>
        <v>"label_1": "Export, $Bln"</v>
      </c>
      <c r="H263" t="s">
        <v>684</v>
      </c>
      <c r="I263" t="s">
        <v>695</v>
      </c>
      <c r="J263" t="s">
        <v>337</v>
      </c>
      <c r="K263" t="s">
        <v>690</v>
      </c>
      <c r="L263" t="str" cm="1">
        <f t="array" ref="L263:L264">'  Експорт IT + Мігранти'!R9:R10</f>
        <v>Export, $Bln</v>
      </c>
    </row>
    <row r="264" spans="1:25" x14ac:dyDescent="0.35">
      <c r="F264" t="str">
        <f t="shared" si="59"/>
        <v>"label_2": "YoY, %"</v>
      </c>
      <c r="H264" t="s">
        <v>684</v>
      </c>
      <c r="I264" t="s">
        <v>695</v>
      </c>
      <c r="J264" t="s">
        <v>337</v>
      </c>
      <c r="K264" t="s">
        <v>691</v>
      </c>
      <c r="L264" t="str">
        <v>YoY, %</v>
      </c>
    </row>
    <row r="266" spans="1:25" x14ac:dyDescent="0.35">
      <c r="B266" t="str">
        <f>CHAR(34)&amp;I266&amp;CHAR(34)&amp;": "&amp;C266</f>
        <v>"source": {"UKR": "Джерело: НБУ, розрахунки Ukraine Economic Outlook", "RU": "Источник: НБУ, расчеты Ukraine Economic Outlook", "ENG": "Source: NBU, Ukraine Economic Outlook calculations"}</v>
      </c>
      <c r="C266" t="str">
        <f>"{"&amp;_xlfn.TEXTJOIN(", ",TRUE,F266:F268)&amp;"}"</f>
        <v>{"UKR": "Джерело: НБУ, розрахунки Ukraine Economic Outlook", "RU": "Источник: НБУ, расчеты Ukraine Economic Outlook", "ENG": "Source: NBU, Ukraine Economic Outlook calculations"}</v>
      </c>
      <c r="F266" t="str">
        <f>CHAR(34)&amp;J266&amp;CHAR(34)&amp;": "&amp;CHAR(34)&amp;K266&amp;CHAR(34)</f>
        <v>"UKR": "Джерело: НБУ, розрахунки Ukraine Economic Outlook"</v>
      </c>
      <c r="H266" t="s">
        <v>684</v>
      </c>
      <c r="I266" t="s">
        <v>696</v>
      </c>
      <c r="J266" t="s">
        <v>334</v>
      </c>
      <c r="K266" t="str">
        <f>K244</f>
        <v>Джерело: НБУ, розрахунки Ukraine Economic Outlook</v>
      </c>
    </row>
    <row r="267" spans="1:25" x14ac:dyDescent="0.35">
      <c r="F267" t="str">
        <f t="shared" ref="F267:F268" si="60">CHAR(34)&amp;J267&amp;CHAR(34)&amp;": "&amp;CHAR(34)&amp;K267&amp;CHAR(34)</f>
        <v>"RU": "Источник: НБУ, расчеты Ukraine Economic Outlook"</v>
      </c>
      <c r="H267" t="s">
        <v>684</v>
      </c>
      <c r="I267" t="s">
        <v>696</v>
      </c>
      <c r="J267" t="s">
        <v>336</v>
      </c>
      <c r="K267" t="str">
        <f t="shared" ref="K267:K268" si="61">K245</f>
        <v>Источник: НБУ, расчеты Ukraine Economic Outlook</v>
      </c>
    </row>
    <row r="268" spans="1:25" x14ac:dyDescent="0.35">
      <c r="F268" t="str">
        <f t="shared" si="60"/>
        <v>"ENG": "Source: NBU, Ukraine Economic Outlook calculations"</v>
      </c>
      <c r="H268" t="s">
        <v>684</v>
      </c>
      <c r="I268" t="s">
        <v>696</v>
      </c>
      <c r="J268" t="s">
        <v>337</v>
      </c>
      <c r="K268" t="str">
        <f t="shared" si="61"/>
        <v>Source: NBU, Ukraine Economic Outlook calculations</v>
      </c>
    </row>
    <row r="270" spans="1:25" x14ac:dyDescent="0.35">
      <c r="A270" s="1395"/>
      <c r="B270" s="1395"/>
      <c r="C270" s="1395"/>
      <c r="D270" s="1395"/>
      <c r="E270" s="1395"/>
      <c r="F270" s="1395"/>
      <c r="G270" s="1395"/>
    </row>
    <row r="271" spans="1:25" x14ac:dyDescent="0.35">
      <c r="A271" t="str">
        <f>"{"&amp;CHAR(34)&amp;H271&amp;CHAR(34)&amp;": "&amp;B271&amp;"}"</f>
        <v>{"Chart1": {"name": {"UKR": "Динаміка експорту IT-послуг, помісячно, $ млрд", "RU": "Динамика экспорта IT-услуг, помесячно, $ млн", "ENG": "IT services exports trend by month, $ bln"},"indexes":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12]},"labels": {"label_1": [656, 854, 531, 589, 617, 581, 558, 637, 592, 546, 598, 762, 542, 558, 616, 551, 605, 586, 574, 578, 533, 542, 576, 593, 542, 523.495403981633, 586.009279548162, 562.400813536018, 556.183238372688, 580.151802123464, 584.50562413041, 599.892329113345, 589.861921822695, 610.188932838772, 633.372447720773, 704], "label_2": [0.525581395348837, 0.735772357723577, -0.0500894454382826, 0.0369718309859155, 0.198058252427185, 0.0412186379928314, -0.0494037478705281, 0.0476973684210527, -0.0691823899371069, -0.167682926829268, -0.132075471698113, -0.0580964153275649, -0.173780487804878, -0.346604215456675, 0.160075329566855, -0.0645161290322581, -0.0194489465153971, 0.00860585197934594, 0.0286738351254481, -0.0926216640502355, -0.0996621621621622, -0.0073260073260073, -0.0367892976588629, -0.221784776902887, 0, -0.0618361935813029, -0.0486862344997372, 0.0206911316443159, -0.0806888621939045, -0.00997985985757077, 0.0183024810634318, 0.037876001926203, 0.10668278015515, 0.125809839185926, 0.0996049439596753, 0.187183811129848]},"label_names": {"UKR": {"label_1": "Експорт, $ млн", "label_2": "р-р, %"}, "RU": {"label_1": "Экспорт, $ млн", "label_2": "г-г, %"}, "ENG": {"label_1": "Export, $Mln", "label_2": "YoY, %"}},"source": {"UKR": "Джерело: НБУ, розрахунки Ukraine Economic Outlook", "RU": "Источник: НБУ, расчеты Ukraine Economic Outlook", "ENG": "Source: NBU, Ukraine Economic Outlook calculations"}}}</v>
      </c>
      <c r="B271" t="str">
        <f>"{"&amp;_xlfn.TEXTJOIN(",",TRUE,B272:B291)&amp;"}"</f>
        <v>{"name": {"UKR": "Динаміка експорту IT-послуг, помісячно, $ млрд", "RU": "Динамика экспорта IT-услуг, помесячно, $ млн", "ENG": "IT services exports trend by month, $ bln"},"indexes":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12]},"labels": {"label_1": [656, 854, 531, 589, 617, 581, 558, 637, 592, 546, 598, 762, 542, 558, 616, 551, 605, 586, 574, 578, 533, 542, 576, 593, 542, 523.495403981633, 586.009279548162, 562.400813536018, 556.183238372688, 580.151802123464, 584.50562413041, 599.892329113345, 589.861921822695, 610.188932838772, 633.372447720773, 704], "label_2": [0.525581395348837, 0.735772357723577, -0.0500894454382826, 0.0369718309859155, 0.198058252427185, 0.0412186379928314, -0.0494037478705281, 0.0476973684210527, -0.0691823899371069, -0.167682926829268, -0.132075471698113, -0.0580964153275649, -0.173780487804878, -0.346604215456675, 0.160075329566855, -0.0645161290322581, -0.0194489465153971, 0.00860585197934594, 0.0286738351254481, -0.0926216640502355, -0.0996621621621622, -0.0073260073260073, -0.0367892976588629, -0.221784776902887, 0, -0.0618361935813029, -0.0486862344997372, 0.0206911316443159, -0.0806888621939045, -0.00997985985757077, 0.0183024810634318, 0.037876001926203, 0.10668278015515, 0.125809839185926, 0.0996049439596753, 0.187183811129848]},"label_names": {"UKR": {"label_1": "Експорт, $ млн", "label_2": "р-р, %"}, "RU": {"label_1": "Экспорт, $ млн", "label_2": "г-г, %"}, "ENG": {"label_1": "Export, $Mln", "label_2": "YoY, %"}},"source": {"UKR": "Джерело: НБУ, розрахунки Ukraine Economic Outlook", "RU": "Источник: НБУ, расчеты Ukraine Economic Outlook", "ENG": "Source: NBU, Ukraine Economic Outlook calculations"}}</v>
      </c>
      <c r="H271" t="s">
        <v>684</v>
      </c>
    </row>
    <row r="272" spans="1:25" x14ac:dyDescent="0.35">
      <c r="B272" t="str">
        <f>CHAR(34)&amp;I272&amp;CHAR(34)&amp;": "&amp;C272</f>
        <v>"name": {"UKR": "Динаміка експорту IT-послуг, помісячно, $ млрд", "RU": "Динамика экспорта IT-услуг, помесячно, $ млн", "ENG": "IT services exports trend by month, $ bln"}</v>
      </c>
      <c r="C272" t="str">
        <f>"{"&amp;_xlfn.TEXTJOIN(", ",TRUE,F272:F274)&amp;"}"</f>
        <v>{"UKR": "Динаміка експорту IT-послуг, помісячно, $ млрд", "RU": "Динамика экспорта IT-услуг, помесячно, $ млн", "ENG": "IT services exports trend by month, $ bln"}</v>
      </c>
      <c r="F272" t="str">
        <f>CHAR(34)&amp;J272&amp;CHAR(34)&amp;": "&amp;CHAR(34)&amp;K272&amp;CHAR(34)</f>
        <v>"UKR": "Динаміка експорту IT-послуг, помісячно, $ млрд"</v>
      </c>
      <c r="H272" t="s">
        <v>684</v>
      </c>
      <c r="I272" t="s">
        <v>685</v>
      </c>
      <c r="J272" t="s">
        <v>334</v>
      </c>
      <c r="K272" t="s">
        <v>760</v>
      </c>
    </row>
    <row r="273" spans="2:46" x14ac:dyDescent="0.35">
      <c r="F273" t="str">
        <f t="shared" ref="F273:F274" si="62">CHAR(34)&amp;J273&amp;CHAR(34)&amp;": "&amp;CHAR(34)&amp;K273&amp;CHAR(34)</f>
        <v>"RU": "Динамика экспорта IT-услуг, помесячно, $ млн"</v>
      </c>
      <c r="H273" t="s">
        <v>684</v>
      </c>
      <c r="I273" t="s">
        <v>685</v>
      </c>
      <c r="J273" t="s">
        <v>336</v>
      </c>
      <c r="K273" t="s">
        <v>758</v>
      </c>
    </row>
    <row r="274" spans="2:46" x14ac:dyDescent="0.35">
      <c r="F274" t="str">
        <f t="shared" si="62"/>
        <v>"ENG": "IT services exports trend by month, $ bln"</v>
      </c>
      <c r="H274" t="s">
        <v>684</v>
      </c>
      <c r="I274" t="s">
        <v>685</v>
      </c>
      <c r="J274" t="s">
        <v>337</v>
      </c>
      <c r="K274" t="s">
        <v>759</v>
      </c>
    </row>
    <row r="276" spans="2:46" x14ac:dyDescent="0.35">
      <c r="B276" t="str">
        <f>CHAR(34)&amp;I276&amp;CHAR(34)&amp;": "&amp;C276</f>
        <v>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</v>
      </c>
      <c r="C276" t="str">
        <f>"{"&amp;_xlfn.TEXTJOIN(", ",TRUE,E276:E277)&amp;"}"</f>
        <v>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</v>
      </c>
      <c r="E276" t="str">
        <f>CHAR(34)&amp;J276&amp;CHAR(34)&amp;": "&amp;F276</f>
        <v>"index_0": [2022, 2022, 2022, 2022, 2022, 2022, 2022, 2022, 2022, 2022, 2022, 2022, 2023, 2023, 2023, 2023, 2023, 2023, 2023, 2023, 2023, 2023, 2023, 2023, 2024, 2024, 2024, 2024, 2024, 2024, 2024, 2024, 2024, 2024, 2024, 2024]</v>
      </c>
      <c r="F276" s="1" t="str" cm="1">
        <f t="array" ref="F276">"["&amp;_xlfn.TEXTJOIN(", ",FALSE,SUBSTITUTE(K276:AT276,",","."))&amp;"]"</f>
        <v>[2022, 2022, 2022, 2022, 2022, 2022, 2022, 2022, 2022, 2022, 2022, 2022, 2023, 2023, 2023, 2023, 2023, 2023, 2023, 2023, 2023, 2023, 2023, 2023, 2024, 2024, 2024, 2024, 2024, 2024, 2024, 2024, 2024, 2024, 2024, 2024]</v>
      </c>
      <c r="H276" t="s">
        <v>684</v>
      </c>
      <c r="I276" t="s">
        <v>686</v>
      </c>
      <c r="J276" t="s">
        <v>687</v>
      </c>
      <c r="K276">
        <f>K8</f>
        <v>2022</v>
      </c>
      <c r="L276">
        <f t="shared" ref="L276:AK276" si="63">L8</f>
        <v>2022</v>
      </c>
      <c r="M276">
        <f t="shared" si="63"/>
        <v>2022</v>
      </c>
      <c r="N276">
        <f t="shared" si="63"/>
        <v>2022</v>
      </c>
      <c r="O276">
        <f t="shared" si="63"/>
        <v>2022</v>
      </c>
      <c r="P276">
        <f t="shared" si="63"/>
        <v>2022</v>
      </c>
      <c r="Q276">
        <f t="shared" si="63"/>
        <v>2022</v>
      </c>
      <c r="R276">
        <f t="shared" si="63"/>
        <v>2022</v>
      </c>
      <c r="S276">
        <f t="shared" si="63"/>
        <v>2022</v>
      </c>
      <c r="T276">
        <f t="shared" si="63"/>
        <v>2022</v>
      </c>
      <c r="U276">
        <f t="shared" si="63"/>
        <v>2022</v>
      </c>
      <c r="V276">
        <f t="shared" si="63"/>
        <v>2022</v>
      </c>
      <c r="W276">
        <f t="shared" si="63"/>
        <v>2023</v>
      </c>
      <c r="X276">
        <f t="shared" si="63"/>
        <v>2023</v>
      </c>
      <c r="Y276">
        <f t="shared" si="63"/>
        <v>2023</v>
      </c>
      <c r="Z276">
        <f t="shared" si="63"/>
        <v>2023</v>
      </c>
      <c r="AA276">
        <f t="shared" si="63"/>
        <v>2023</v>
      </c>
      <c r="AB276">
        <f t="shared" si="63"/>
        <v>2023</v>
      </c>
      <c r="AC276">
        <f t="shared" si="63"/>
        <v>2023</v>
      </c>
      <c r="AD276">
        <f t="shared" si="63"/>
        <v>2023</v>
      </c>
      <c r="AE276">
        <f t="shared" si="63"/>
        <v>2023</v>
      </c>
      <c r="AF276">
        <f t="shared" si="63"/>
        <v>2023</v>
      </c>
      <c r="AG276">
        <f t="shared" si="63"/>
        <v>2023</v>
      </c>
      <c r="AH276">
        <f t="shared" si="63"/>
        <v>2023</v>
      </c>
      <c r="AI276">
        <f t="shared" si="63"/>
        <v>2024</v>
      </c>
      <c r="AJ276">
        <f t="shared" si="63"/>
        <v>2024</v>
      </c>
      <c r="AK276">
        <f t="shared" si="63"/>
        <v>2024</v>
      </c>
      <c r="AL276">
        <f>AL8</f>
        <v>2024</v>
      </c>
      <c r="AM276">
        <f t="shared" ref="AM276:AR276" si="64">AM8</f>
        <v>2024</v>
      </c>
      <c r="AN276">
        <f t="shared" si="64"/>
        <v>2024</v>
      </c>
      <c r="AO276">
        <f t="shared" si="64"/>
        <v>2024</v>
      </c>
      <c r="AP276">
        <f t="shared" si="64"/>
        <v>2024</v>
      </c>
      <c r="AQ276">
        <f t="shared" si="64"/>
        <v>2024</v>
      </c>
      <c r="AR276">
        <f t="shared" si="64"/>
        <v>2024</v>
      </c>
      <c r="AS276">
        <f>AS8</f>
        <v>2024</v>
      </c>
      <c r="AT276">
        <f t="shared" ref="AT276" si="65">AT8</f>
        <v>2024</v>
      </c>
    </row>
    <row r="277" spans="2:46" x14ac:dyDescent="0.35">
      <c r="E277" t="str">
        <f>CHAR(34)&amp;J277&amp;CHAR(34)&amp;": "&amp;F277</f>
        <v>"index_1": [1, 2, 3, 4, 5, 6, 7, 8, 9, 10, 11, 12, 1, 2, 3, 4, 5, 6, 7, 8, 9, 10, 11, 12, 1, 2, 3, 4, 5, 6, 7, 8, 9, 10, 11, 12]</v>
      </c>
      <c r="F277" s="1" t="str" cm="1">
        <f t="array" ref="F277">"["&amp;_xlfn.TEXTJOIN(", ",FALSE,SUBSTITUTE(K277:AT277,",","."))&amp;"]"</f>
        <v>[1, 2, 3, 4, 5, 6, 7, 8, 9, 10, 11, 12, 1, 2, 3, 4, 5, 6, 7, 8, 9, 10, 11, 12, 1, 2, 3, 4, 5, 6, 7, 8, 9, 10, 11, 12]</v>
      </c>
      <c r="H277" t="s">
        <v>684</v>
      </c>
      <c r="I277" t="s">
        <v>686</v>
      </c>
      <c r="J277" t="s">
        <v>688</v>
      </c>
      <c r="K277">
        <f>K9</f>
        <v>1</v>
      </c>
      <c r="L277">
        <f t="shared" ref="L277:AK277" si="66">L9</f>
        <v>2</v>
      </c>
      <c r="M277">
        <f t="shared" si="66"/>
        <v>3</v>
      </c>
      <c r="N277">
        <f t="shared" si="66"/>
        <v>4</v>
      </c>
      <c r="O277">
        <f t="shared" si="66"/>
        <v>5</v>
      </c>
      <c r="P277">
        <f t="shared" si="66"/>
        <v>6</v>
      </c>
      <c r="Q277">
        <f t="shared" si="66"/>
        <v>7</v>
      </c>
      <c r="R277">
        <f t="shared" si="66"/>
        <v>8</v>
      </c>
      <c r="S277">
        <f t="shared" si="66"/>
        <v>9</v>
      </c>
      <c r="T277">
        <f t="shared" si="66"/>
        <v>10</v>
      </c>
      <c r="U277">
        <f t="shared" si="66"/>
        <v>11</v>
      </c>
      <c r="V277">
        <f t="shared" si="66"/>
        <v>12</v>
      </c>
      <c r="W277">
        <f t="shared" si="66"/>
        <v>1</v>
      </c>
      <c r="X277">
        <f t="shared" si="66"/>
        <v>2</v>
      </c>
      <c r="Y277">
        <f t="shared" si="66"/>
        <v>3</v>
      </c>
      <c r="Z277">
        <f t="shared" si="66"/>
        <v>4</v>
      </c>
      <c r="AA277">
        <f t="shared" si="66"/>
        <v>5</v>
      </c>
      <c r="AB277">
        <f t="shared" si="66"/>
        <v>6</v>
      </c>
      <c r="AC277">
        <f t="shared" si="66"/>
        <v>7</v>
      </c>
      <c r="AD277">
        <f t="shared" si="66"/>
        <v>8</v>
      </c>
      <c r="AE277">
        <f t="shared" si="66"/>
        <v>9</v>
      </c>
      <c r="AF277">
        <f t="shared" si="66"/>
        <v>10</v>
      </c>
      <c r="AG277">
        <f t="shared" si="66"/>
        <v>11</v>
      </c>
      <c r="AH277">
        <f t="shared" si="66"/>
        <v>12</v>
      </c>
      <c r="AI277">
        <f t="shared" si="66"/>
        <v>1</v>
      </c>
      <c r="AJ277">
        <f t="shared" si="66"/>
        <v>2</v>
      </c>
      <c r="AK277">
        <f t="shared" si="66"/>
        <v>3</v>
      </c>
      <c r="AL277">
        <f>AL9</f>
        <v>4</v>
      </c>
      <c r="AM277">
        <f t="shared" ref="AM277:AR277" si="67">AM9</f>
        <v>5</v>
      </c>
      <c r="AN277">
        <f t="shared" si="67"/>
        <v>6</v>
      </c>
      <c r="AO277">
        <f t="shared" si="67"/>
        <v>7</v>
      </c>
      <c r="AP277">
        <f t="shared" si="67"/>
        <v>8</v>
      </c>
      <c r="AQ277">
        <f t="shared" si="67"/>
        <v>9</v>
      </c>
      <c r="AR277">
        <f t="shared" si="67"/>
        <v>10</v>
      </c>
      <c r="AS277">
        <f>AS9</f>
        <v>11</v>
      </c>
      <c r="AT277">
        <f t="shared" ref="AT277" si="68">AT9</f>
        <v>12</v>
      </c>
    </row>
    <row r="278" spans="2:46" x14ac:dyDescent="0.35">
      <c r="F278" s="1"/>
    </row>
    <row r="279" spans="2:46" x14ac:dyDescent="0.35">
      <c r="B279" t="str">
        <f>CHAR(34)&amp;I279&amp;CHAR(34)&amp;": "&amp;C279</f>
        <v>"labels": {"label_1": [656, 854, 531, 589, 617, 581, 558, 637, 592, 546, 598, 762, 542, 558, 616, 551, 605, 586, 574, 578, 533, 542, 576, 593, 542, 523.495403981633, 586.009279548162, 562.400813536018, 556.183238372688, 580.151802123464, 584.50562413041, 599.892329113345, 589.861921822695, 610.188932838772, 633.372447720773, 704], "label_2": [0.525581395348837, 0.735772357723577, -0.0500894454382826, 0.0369718309859155, 0.198058252427185, 0.0412186379928314, -0.0494037478705281, 0.0476973684210527, -0.0691823899371069, -0.167682926829268, -0.132075471698113, -0.0580964153275649, -0.173780487804878, -0.346604215456675, 0.160075329566855, -0.0645161290322581, -0.0194489465153971, 0.00860585197934594, 0.0286738351254481, -0.0926216640502355, -0.0996621621621622, -0.0073260073260073, -0.0367892976588629, -0.221784776902887, 0, -0.0618361935813029, -0.0486862344997372, 0.0206911316443159, -0.0806888621939045, -0.00997985985757077, 0.0183024810634318, 0.037876001926203, 0.10668278015515, 0.125809839185926, 0.0996049439596753, 0.187183811129848]}</v>
      </c>
      <c r="C279" t="str">
        <f>"{"&amp;_xlfn.TEXTJOIN(", ",TRUE,E279:E280)&amp;"}"</f>
        <v>{"label_1": [656, 854, 531, 589, 617, 581, 558, 637, 592, 546, 598, 762, 542, 558, 616, 551, 605, 586, 574, 578, 533, 542, 576, 593, 542, 523.495403981633, 586.009279548162, 562.400813536018, 556.183238372688, 580.151802123464, 584.50562413041, 599.892329113345, 589.861921822695, 610.188932838772, 633.372447720773, 704], "label_2": [0.525581395348837, 0.735772357723577, -0.0500894454382826, 0.0369718309859155, 0.198058252427185, 0.0412186379928314, -0.0494037478705281, 0.0476973684210527, -0.0691823899371069, -0.167682926829268, -0.132075471698113, -0.0580964153275649, -0.173780487804878, -0.346604215456675, 0.160075329566855, -0.0645161290322581, -0.0194489465153971, 0.00860585197934594, 0.0286738351254481, -0.0926216640502355, -0.0996621621621622, -0.0073260073260073, -0.0367892976588629, -0.221784776902887, 0, -0.0618361935813029, -0.0486862344997372, 0.0206911316443159, -0.0806888621939045, -0.00997985985757077, 0.0183024810634318, 0.037876001926203, 0.10668278015515, 0.125809839185926, 0.0996049439596753, 0.187183811129848]}</v>
      </c>
      <c r="E279" t="str">
        <f>CHAR(34)&amp;J279&amp;CHAR(34)&amp;": "&amp;F279</f>
        <v>"label_1": [656, 854, 531, 589, 617, 581, 558, 637, 592, 546, 598, 762, 542, 558, 616, 551, 605, 586, 574, 578, 533, 542, 576, 593, 542, 523.495403981633, 586.009279548162, 562.400813536018, 556.183238372688, 580.151802123464, 584.50562413041, 599.892329113345, 589.861921822695, 610.188932838772, 633.372447720773, 704]</v>
      </c>
      <c r="F279" s="1" t="str" cm="1">
        <f t="array" ref="F279">"["&amp;_xlfn.TEXTJOIN(", ",FALSE,SUBSTITUTE(K279:AT279,",","."))&amp;"]"</f>
        <v>[656, 854, 531, 589, 617, 581, 558, 637, 592, 546, 598, 762, 542, 558, 616, 551, 605, 586, 574, 578, 533, 542, 576, 593, 542, 523.495403981633, 586.009279548162, 562.400813536018, 556.183238372688, 580.151802123464, 584.50562413041, 599.892329113345, 589.861921822695, 610.188932838772, 633.372447720773, 704]</v>
      </c>
      <c r="H279" t="s">
        <v>684</v>
      </c>
      <c r="I279" t="s">
        <v>689</v>
      </c>
      <c r="J279" t="s">
        <v>690</v>
      </c>
      <c r="K279" s="1" cm="1">
        <f t="array" ref="K279:AT279">'  Експорт IT + Мігранти'!EP5:FY5</f>
        <v>656</v>
      </c>
      <c r="L279">
        <v>854</v>
      </c>
      <c r="M279">
        <v>531</v>
      </c>
      <c r="N279">
        <v>589</v>
      </c>
      <c r="O279">
        <v>617</v>
      </c>
      <c r="P279">
        <v>581</v>
      </c>
      <c r="Q279">
        <v>558</v>
      </c>
      <c r="R279">
        <v>637</v>
      </c>
      <c r="S279">
        <v>592</v>
      </c>
      <c r="T279">
        <v>546</v>
      </c>
      <c r="U279">
        <v>598</v>
      </c>
      <c r="V279">
        <v>762</v>
      </c>
      <c r="W279">
        <v>542</v>
      </c>
      <c r="X279">
        <v>558</v>
      </c>
      <c r="Y279">
        <v>616</v>
      </c>
      <c r="Z279">
        <v>551</v>
      </c>
      <c r="AA279">
        <v>605</v>
      </c>
      <c r="AB279">
        <v>586</v>
      </c>
      <c r="AC279">
        <v>574</v>
      </c>
      <c r="AD279">
        <v>578</v>
      </c>
      <c r="AE279">
        <v>533</v>
      </c>
      <c r="AF279">
        <v>542</v>
      </c>
      <c r="AG279">
        <v>576</v>
      </c>
      <c r="AH279">
        <v>593</v>
      </c>
      <c r="AI279">
        <v>542</v>
      </c>
      <c r="AJ279">
        <v>523.49540398163299</v>
      </c>
      <c r="AK279">
        <v>586.00927954816189</v>
      </c>
      <c r="AL279">
        <v>562.40081353601806</v>
      </c>
      <c r="AM279">
        <v>556.18323837268781</v>
      </c>
      <c r="AN279">
        <v>580.15180212346354</v>
      </c>
      <c r="AO279">
        <v>584.50562413040984</v>
      </c>
      <c r="AP279">
        <v>599.89232911334534</v>
      </c>
      <c r="AQ279">
        <v>589.86192182269485</v>
      </c>
      <c r="AR279">
        <v>610.18893283877208</v>
      </c>
      <c r="AS279">
        <v>633.37244772077304</v>
      </c>
      <c r="AT279">
        <v>704</v>
      </c>
    </row>
    <row r="280" spans="2:46" x14ac:dyDescent="0.35">
      <c r="E280" t="str">
        <f t="shared" ref="E280" si="69">CHAR(34)&amp;J280&amp;CHAR(34)&amp;": "&amp;F280</f>
        <v>"label_2": [0.525581395348837, 0.735772357723577, -0.0500894454382826, 0.0369718309859155, 0.198058252427185, 0.0412186379928314, -0.0494037478705281, 0.0476973684210527, -0.0691823899371069, -0.167682926829268, -0.132075471698113, -0.0580964153275649, -0.173780487804878, -0.346604215456675, 0.160075329566855, -0.0645161290322581, -0.0194489465153971, 0.00860585197934594, 0.0286738351254481, -0.0926216640502355, -0.0996621621621622, -0.0073260073260073, -0.0367892976588629, -0.221784776902887, 0, -0.0618361935813029, -0.0486862344997372, 0.0206911316443159, -0.0806888621939045, -0.00997985985757077, 0.0183024810634318, 0.037876001926203, 0.10668278015515, 0.125809839185926, 0.0996049439596753, 0.187183811129848]</v>
      </c>
      <c r="F280" s="1" t="str" cm="1">
        <f t="array" ref="F280">"["&amp;_xlfn.TEXTJOIN(", ",FALSE,SUBSTITUTE(K280:AT280,",","."))&amp;"]"</f>
        <v>[0.525581395348837, 0.735772357723577, -0.0500894454382826, 0.0369718309859155, 0.198058252427185, 0.0412186379928314, -0.0494037478705281, 0.0476973684210527, -0.0691823899371069, -0.167682926829268, -0.132075471698113, -0.0580964153275649, -0.173780487804878, -0.346604215456675, 0.160075329566855, -0.0645161290322581, -0.0194489465153971, 0.00860585197934594, 0.0286738351254481, -0.0926216640502355, -0.0996621621621622, -0.0073260073260073, -0.0367892976588629, -0.221784776902887, 0, -0.0618361935813029, -0.0486862344997372, 0.0206911316443159, -0.0806888621939045, -0.00997985985757077, 0.0183024810634318, 0.037876001926203, 0.10668278015515, 0.125809839185926, 0.0996049439596753, 0.187183811129848]</v>
      </c>
      <c r="H280" t="s">
        <v>684</v>
      </c>
      <c r="I280" t="s">
        <v>689</v>
      </c>
      <c r="J280" t="s">
        <v>691</v>
      </c>
      <c r="K280" s="1397" cm="1">
        <f t="array" ref="K280:AT280">'  Експорт IT + Мігранти'!EP6:FY6</f>
        <v>0.5255813953488373</v>
      </c>
      <c r="L280">
        <v>0.7357723577235773</v>
      </c>
      <c r="M280">
        <v>-5.0089445438282643E-2</v>
      </c>
      <c r="N280">
        <v>3.6971830985915499E-2</v>
      </c>
      <c r="O280">
        <v>0.19805825242718456</v>
      </c>
      <c r="P280">
        <v>4.1218637992831431E-2</v>
      </c>
      <c r="Q280">
        <v>-4.9403747870528147E-2</v>
      </c>
      <c r="R280">
        <v>4.7697368421052655E-2</v>
      </c>
      <c r="S280">
        <v>-6.9182389937106903E-2</v>
      </c>
      <c r="T280">
        <v>-0.16768292682926833</v>
      </c>
      <c r="U280">
        <v>-0.13207547169811318</v>
      </c>
      <c r="V280">
        <v>-5.8096415327564932E-2</v>
      </c>
      <c r="W280">
        <v>-0.17378048780487809</v>
      </c>
      <c r="X280">
        <v>-0.34660421545667452</v>
      </c>
      <c r="Y280">
        <v>0.16007532956685488</v>
      </c>
      <c r="Z280">
        <v>-6.4516129032258118E-2</v>
      </c>
      <c r="AA280">
        <v>-1.9448946515397081E-2</v>
      </c>
      <c r="AB280">
        <v>8.6058519793459354E-3</v>
      </c>
      <c r="AC280">
        <v>2.8673835125448077E-2</v>
      </c>
      <c r="AD280">
        <v>-9.262166405023553E-2</v>
      </c>
      <c r="AE280">
        <v>-9.9662162162162171E-2</v>
      </c>
      <c r="AF280">
        <v>-7.3260073260073E-3</v>
      </c>
      <c r="AG280">
        <v>-3.6789297658862852E-2</v>
      </c>
      <c r="AH280">
        <v>-0.22178477690288712</v>
      </c>
      <c r="AI280">
        <v>0</v>
      </c>
      <c r="AJ280">
        <v>-6.1836193581302878E-2</v>
      </c>
      <c r="AK280">
        <v>-4.8686234499737191E-2</v>
      </c>
      <c r="AL280">
        <v>2.0691131644315908E-2</v>
      </c>
      <c r="AM280">
        <v>-8.0688862193904476E-2</v>
      </c>
      <c r="AN280">
        <v>-9.979859857570772E-3</v>
      </c>
      <c r="AO280">
        <v>1.8302481063431797E-2</v>
      </c>
      <c r="AP280">
        <v>3.7876001926202996E-2</v>
      </c>
      <c r="AQ280">
        <v>0.10668278015514976</v>
      </c>
      <c r="AR280">
        <v>0.12580983918592636</v>
      </c>
      <c r="AS280">
        <v>9.9604943959675341E-2</v>
      </c>
      <c r="AT280">
        <v>0.18718381112984828</v>
      </c>
    </row>
    <row r="282" spans="2:46" x14ac:dyDescent="0.35">
      <c r="B282" t="str">
        <f>CHAR(34)&amp;I282&amp;CHAR(34)&amp;": "&amp;C282</f>
        <v>"label_names": {"UKR": {"label_1": "Експорт, $ млн", "label_2": "р-р, %"}, "RU": {"label_1": "Экспорт, $ млн", "label_2": "г-г, %"}, "ENG": {"label_1": "Export, $Mln", "label_2": "YoY, %"}}</v>
      </c>
      <c r="C282" t="str">
        <f>"{"&amp;_xlfn.TEXTJOIN(", ",TRUE,D282:D287)&amp;"}"</f>
        <v>{"UKR": {"label_1": "Експорт, $ млн", "label_2": "р-р, %"}, "RU": {"label_1": "Экспорт, $ млн", "label_2": "г-г, %"}, "ENG": {"label_1": "Export, $Mln", "label_2": "YoY, %"}}</v>
      </c>
      <c r="D282" t="str">
        <f>CHAR(34)&amp;J282&amp;CHAR(34)&amp;": "&amp;E282</f>
        <v>"UKR": {"label_1": "Експорт, $ млн", "label_2": "р-р, %"}</v>
      </c>
      <c r="E282" t="str">
        <f>"{"&amp;_xlfn.TEXTJOIN(", ",TRUE,F282:F283)&amp;"}"</f>
        <v>{"label_1": "Експорт, $ млн", "label_2": "р-р, %"}</v>
      </c>
      <c r="F282" t="str">
        <f>CHAR(34)&amp;K282&amp;CHAR(34)&amp;": "&amp;CHAR(34)&amp;L282&amp;CHAR(34)</f>
        <v>"label_1": "Експорт, $ млн"</v>
      </c>
      <c r="H282" t="s">
        <v>684</v>
      </c>
      <c r="I282" t="s">
        <v>695</v>
      </c>
      <c r="J282" t="s">
        <v>334</v>
      </c>
      <c r="K282" t="s">
        <v>690</v>
      </c>
      <c r="L282" t="str">
        <f>'  Експорт IT + Мігранти'!S8</f>
        <v>Експорт, $ млн</v>
      </c>
    </row>
    <row r="283" spans="2:46" x14ac:dyDescent="0.35">
      <c r="F283" t="str">
        <f t="shared" ref="F283:F287" si="70">CHAR(34)&amp;K283&amp;CHAR(34)&amp;": "&amp;CHAR(34)&amp;L283&amp;CHAR(34)</f>
        <v>"label_2": "р-р, %"</v>
      </c>
      <c r="H283" t="s">
        <v>684</v>
      </c>
      <c r="I283" t="s">
        <v>695</v>
      </c>
      <c r="J283" t="s">
        <v>334</v>
      </c>
      <c r="K283" t="s">
        <v>691</v>
      </c>
      <c r="L283" t="str">
        <f>'  Експорт IT + Мігранти'!S10</f>
        <v>р-р, %</v>
      </c>
    </row>
    <row r="284" spans="2:46" x14ac:dyDescent="0.35">
      <c r="D284" t="str">
        <f>CHAR(34)&amp;J284&amp;CHAR(34)&amp;": "&amp;E284</f>
        <v>"RU": {"label_1": "Экспорт, $ млн", "label_2": "г-г, %"}</v>
      </c>
      <c r="E284" t="str">
        <f>"{"&amp;_xlfn.TEXTJOIN(", ",TRUE,F284:F285)&amp;"}"</f>
        <v>{"label_1": "Экспорт, $ млн", "label_2": "г-г, %"}</v>
      </c>
      <c r="F284" t="str">
        <f t="shared" si="70"/>
        <v>"label_1": "Экспорт, $ млн"</v>
      </c>
      <c r="H284" t="s">
        <v>684</v>
      </c>
      <c r="I284" t="s">
        <v>695</v>
      </c>
      <c r="J284" t="s">
        <v>336</v>
      </c>
      <c r="K284" t="s">
        <v>690</v>
      </c>
      <c r="L284" t="str">
        <f>'  Експорт IT + Мігранти'!Q8</f>
        <v>Экспорт, $ млн</v>
      </c>
    </row>
    <row r="285" spans="2:46" x14ac:dyDescent="0.35">
      <c r="F285" t="str">
        <f t="shared" si="70"/>
        <v>"label_2": "г-г, %"</v>
      </c>
      <c r="H285" t="s">
        <v>684</v>
      </c>
      <c r="I285" t="s">
        <v>695</v>
      </c>
      <c r="J285" t="s">
        <v>336</v>
      </c>
      <c r="K285" t="s">
        <v>691</v>
      </c>
      <c r="L285" t="str">
        <f>'  Експорт IT + Мігранти'!Q10</f>
        <v>г-г, %</v>
      </c>
    </row>
    <row r="286" spans="2:46" x14ac:dyDescent="0.35">
      <c r="D286" t="str">
        <f>CHAR(34)&amp;J286&amp;CHAR(34)&amp;": "&amp;E286</f>
        <v>"ENG": {"label_1": "Export, $Mln", "label_2": "YoY, %"}</v>
      </c>
      <c r="E286" t="str">
        <f>"{"&amp;_xlfn.TEXTJOIN(", ",TRUE,F286:F287)&amp;"}"</f>
        <v>{"label_1": "Export, $Mln", "label_2": "YoY, %"}</v>
      </c>
      <c r="F286" t="str">
        <f t="shared" si="70"/>
        <v>"label_1": "Export, $Mln"</v>
      </c>
      <c r="H286" t="s">
        <v>684</v>
      </c>
      <c r="I286" t="s">
        <v>695</v>
      </c>
      <c r="J286" t="s">
        <v>337</v>
      </c>
      <c r="K286" t="s">
        <v>690</v>
      </c>
      <c r="L286" t="str">
        <f>'  Експорт IT + Мігранти'!R8</f>
        <v>Export, $Mln</v>
      </c>
    </row>
    <row r="287" spans="2:46" x14ac:dyDescent="0.35">
      <c r="F287" t="str">
        <f t="shared" si="70"/>
        <v>"label_2": "YoY, %"</v>
      </c>
      <c r="H287" t="s">
        <v>684</v>
      </c>
      <c r="I287" t="s">
        <v>695</v>
      </c>
      <c r="J287" t="s">
        <v>337</v>
      </c>
      <c r="K287" t="s">
        <v>691</v>
      </c>
      <c r="L287" t="str">
        <f>'  Експорт IT + Мігранти'!R10</f>
        <v>YoY, %</v>
      </c>
    </row>
    <row r="289" spans="1:25" x14ac:dyDescent="0.35">
      <c r="B289" t="str">
        <f>CHAR(34)&amp;I289&amp;CHAR(34)&amp;": "&amp;C289</f>
        <v>"source": {"UKR": "Джерело: НБУ, розрахунки Ukraine Economic Outlook", "RU": "Источник: НБУ, расчеты Ukraine Economic Outlook", "ENG": "Source: NBU, Ukraine Economic Outlook calculations"}</v>
      </c>
      <c r="C289" t="str">
        <f>"{"&amp;_xlfn.TEXTJOIN(", ",TRUE,F289:F291)&amp;"}"</f>
        <v>{"UKR": "Джерело: НБУ, розрахунки Ukraine Economic Outlook", "RU": "Источник: НБУ, расчеты Ukraine Economic Outlook", "ENG": "Source: NBU, Ukraine Economic Outlook calculations"}</v>
      </c>
      <c r="F289" t="str">
        <f>CHAR(34)&amp;J289&amp;CHAR(34)&amp;": "&amp;CHAR(34)&amp;K289&amp;CHAR(34)</f>
        <v>"UKR": "Джерело: НБУ, розрахунки Ukraine Economic Outlook"</v>
      </c>
      <c r="H289" t="s">
        <v>684</v>
      </c>
      <c r="I289" t="s">
        <v>696</v>
      </c>
      <c r="J289" t="s">
        <v>334</v>
      </c>
      <c r="K289" t="str">
        <f>K266</f>
        <v>Джерело: НБУ, розрахунки Ukraine Economic Outlook</v>
      </c>
    </row>
    <row r="290" spans="1:25" x14ac:dyDescent="0.35">
      <c r="F290" t="str">
        <f t="shared" ref="F290:F291" si="71">CHAR(34)&amp;J290&amp;CHAR(34)&amp;": "&amp;CHAR(34)&amp;K290&amp;CHAR(34)</f>
        <v>"RU": "Источник: НБУ, расчеты Ukraine Economic Outlook"</v>
      </c>
      <c r="H290" t="s">
        <v>684</v>
      </c>
      <c r="I290" t="s">
        <v>696</v>
      </c>
      <c r="J290" t="s">
        <v>336</v>
      </c>
      <c r="K290" t="str">
        <f t="shared" ref="K290:K291" si="72">K267</f>
        <v>Источник: НБУ, расчеты Ukraine Economic Outlook</v>
      </c>
    </row>
    <row r="291" spans="1:25" x14ac:dyDescent="0.35">
      <c r="F291" t="str">
        <f t="shared" si="71"/>
        <v>"ENG": "Source: NBU, Ukraine Economic Outlook calculations"</v>
      </c>
      <c r="H291" t="s">
        <v>684</v>
      </c>
      <c r="I291" t="s">
        <v>696</v>
      </c>
      <c r="J291" t="s">
        <v>337</v>
      </c>
      <c r="K291" t="str">
        <f t="shared" si="72"/>
        <v>Source: NBU, Ukraine Economic Outlook calculations</v>
      </c>
    </row>
    <row r="293" spans="1:25" x14ac:dyDescent="0.35">
      <c r="A293" s="1395"/>
      <c r="B293" s="1395"/>
      <c r="C293" s="1395"/>
      <c r="D293" s="1395"/>
      <c r="E293" s="1395"/>
      <c r="F293" s="1395"/>
      <c r="G293" s="1395"/>
    </row>
    <row r="294" spans="1:25" x14ac:dyDescent="0.35">
      <c r="A294" t="str">
        <f>"{"&amp;CHAR(34)&amp;H294&amp;CHAR(34)&amp;": "&amp;B294&amp;"}"</f>
        <v>{"Chart1": {"name": {"UKR": "Надходження від трудових мігрантів 2010-2024, $ млрд", "RU": "Поступления от трудовых мигрантов 2010-2024, $ млрд", "ENG": "Income from labor migrants 2010-2024, $Bln"},"indexes": {"index_0": [2010, 2011, 2012, 2013, 2014, 2015, 2016, 2017, 2018, 2019, 2020, 2021, 2022, "2023F", "2024F"]},"labels": {"label_1": [4.046, 4.825, 5.542, 6.782, 5.183, 5.631, 6.731, 9.137, 11.494, 12.774, 11.738, 13.591, 13.089, 11.685, 11.0365057102957], "label_2": [0.18096906012843, 0.192535837864558, 0.14860103626943, 0.223745940093829, -0.235771158950162, 0.0864364267798574, 0.195347185224649, 0.357450601693656, 0.257962131990807, 0.111362449973899, -0.081102238922812, 0.157863349804055, -0.0369362077845632, -0.107265642906257, -0.0554980136674665]},"label_names": {"UKR": {"label_1": "Перекази мігрантів, $ млрд", "label_2": "р-р, %"}, "RU": {"label_1": "Переводы мигрантов, $ млрд", "label_2": "г-г, %"}, "ENG": {"label_1": "Migrants' transfers, $Bln", "label_2": "YoY, %"}},"source": {"UKR": "Джерело: НБУ, розрахунки Ukraine Economic Outlook", "RU": "Источник: НБУ, расчеты Ukraine Economic Outlook", "ENG": "Source: NBU, Ukraine Economic Outlook calculations"}}}</v>
      </c>
      <c r="B294" t="str">
        <f>"{"&amp;_xlfn.TEXTJOIN(",",TRUE,B295:B313)&amp;"}"</f>
        <v>{"name": {"UKR": "Надходження від трудових мігрантів 2010-2024, $ млрд", "RU": "Поступления от трудовых мигрантов 2010-2024, $ млрд", "ENG": "Income from labor migrants 2010-2024, $Bln"},"indexes": {"index_0": [2010, 2011, 2012, 2013, 2014, 2015, 2016, 2017, 2018, 2019, 2020, 2021, 2022, "2023F", "2024F"]},"labels": {"label_1": [4.046, 4.825, 5.542, 6.782, 5.183, 5.631, 6.731, 9.137, 11.494, 12.774, 11.738, 13.591, 13.089, 11.685, 11.0365057102957], "label_2": [0.18096906012843, 0.192535837864558, 0.14860103626943, 0.223745940093829, -0.235771158950162, 0.0864364267798574, 0.195347185224649, 0.357450601693656, 0.257962131990807, 0.111362449973899, -0.081102238922812, 0.157863349804055, -0.0369362077845632, -0.107265642906257, -0.0554980136674665]},"label_names": {"UKR": {"label_1": "Перекази мігрантів, $ млрд", "label_2": "р-р, %"}, "RU": {"label_1": "Переводы мигрантов, $ млрд", "label_2": "г-г, %"}, "ENG": {"label_1": "Migrants' transfers, $Bln", "label_2": "YoY, %"}},"source": {"UKR": "Джерело: НБУ, розрахунки Ukraine Economic Outlook", "RU": "Источник: НБУ, расчеты Ukraine Economic Outlook", "ENG": "Source: NBU, Ukraine Economic Outlook calculations"}}</v>
      </c>
      <c r="H294" t="s">
        <v>684</v>
      </c>
    </row>
    <row r="295" spans="1:25" x14ac:dyDescent="0.35">
      <c r="B295" t="str">
        <f>CHAR(34)&amp;I295&amp;CHAR(34)&amp;": "&amp;C295</f>
        <v>"name": {"UKR": "Надходження від трудових мігрантів 2010-2024, $ млрд", "RU": "Поступления от трудовых мигрантов 2010-2024, $ млрд", "ENG": "Income from labor migrants 2010-2024, $Bln"}</v>
      </c>
      <c r="C295" t="str">
        <f>"{"&amp;_xlfn.TEXTJOIN(", ",TRUE,F295:F297)&amp;"}"</f>
        <v>{"UKR": "Надходження від трудових мігрантів 2010-2024, $ млрд", "RU": "Поступления от трудовых мигрантов 2010-2024, $ млрд", "ENG": "Income from labor migrants 2010-2024, $Bln"}</v>
      </c>
      <c r="F295" t="str">
        <f>CHAR(34)&amp;J295&amp;CHAR(34)&amp;": "&amp;CHAR(34)&amp;K295&amp;CHAR(34)</f>
        <v>"UKR": "Надходження від трудових мігрантів 2010-2024, $ млрд"</v>
      </c>
      <c r="H295" t="s">
        <v>684</v>
      </c>
      <c r="I295" t="s">
        <v>685</v>
      </c>
      <c r="J295" t="s">
        <v>334</v>
      </c>
      <c r="K295" t="str">
        <f>'  Експорт IT + Мігранти'!P52</f>
        <v>Надходження від трудових мігрантів 2010-2024, $ млрд</v>
      </c>
    </row>
    <row r="296" spans="1:25" x14ac:dyDescent="0.35">
      <c r="F296" t="str">
        <f t="shared" ref="F296:F297" si="73">CHAR(34)&amp;J296&amp;CHAR(34)&amp;": "&amp;CHAR(34)&amp;K296&amp;CHAR(34)</f>
        <v>"RU": "Поступления от трудовых мигрантов 2010-2024, $ млрд"</v>
      </c>
      <c r="H296" t="s">
        <v>684</v>
      </c>
      <c r="I296" t="s">
        <v>685</v>
      </c>
      <c r="J296" t="s">
        <v>336</v>
      </c>
      <c r="K296" t="str">
        <f>'  Експорт IT + Мігранти'!P50</f>
        <v>Поступления от трудовых мигрантов 2010-2024, $ млрд</v>
      </c>
    </row>
    <row r="297" spans="1:25" x14ac:dyDescent="0.35">
      <c r="F297" t="str">
        <f t="shared" si="73"/>
        <v>"ENG": "Income from labor migrants 2010-2024, $Bln"</v>
      </c>
      <c r="H297" t="s">
        <v>684</v>
      </c>
      <c r="I297" t="s">
        <v>685</v>
      </c>
      <c r="J297" t="s">
        <v>337</v>
      </c>
      <c r="K297" t="str">
        <f>'  Експорт IT + Мігранти'!P51</f>
        <v>Income from labor migrants 2010-2024, $Bln</v>
      </c>
    </row>
    <row r="299" spans="1:25" x14ac:dyDescent="0.35">
      <c r="B299" t="str">
        <f>CHAR(34)&amp;I299&amp;CHAR(34)&amp;": "&amp;C299</f>
        <v>"indexes": {"index_0": [2010, 2011, 2012, 2013, 2014, 2015, 2016, 2017, 2018, 2019, 2020, 2021, 2022, "2023F", "2024F"]}</v>
      </c>
      <c r="C299" t="str">
        <f>"{"&amp;_xlfn.TEXTJOIN(", ",TRUE,E299:E299)&amp;"}"</f>
        <v>{"index_0": [2010, 2011, 2012, 2013, 2014, 2015, 2016, 2017, 2018, 2019, 2020, 2021, 2022, "2023F", "2024F"]}</v>
      </c>
      <c r="E299" t="str">
        <f>CHAR(34)&amp;J299&amp;CHAR(34)&amp;": "&amp;F299</f>
        <v>"index_0": [2010, 2011, 2012, 2013, 2014, 2015, 2016, 2017, 2018, 2019, 2020, 2021, 2022, "2023F", "2024F"]</v>
      </c>
      <c r="F299" s="1" t="str" cm="1">
        <f t="array" ref="F299">"["&amp;_xlfn.TEXTJOIN(", ",FALSE,SUBSTITUTE(_xlfn.ANCHORARRAY(K299),",","."))&amp;"]"</f>
        <v>[2010, 2011, 2012, 2013, 2014, 2015, 2016, 2017, 2018, 2019, 2020, 2021, 2022, "2023F", "2024F"]</v>
      </c>
      <c r="H299" t="s">
        <v>684</v>
      </c>
      <c r="I299" t="s">
        <v>686</v>
      </c>
      <c r="J299" t="s">
        <v>687</v>
      </c>
      <c r="K299" cm="1">
        <f t="array" ref="K299:Y299">_xlfn.LET(_xlpm.k,'  Експорт IT + Мігранти'!$B$39:$P$39,IF(ISNUMBER(_xlpm.k),_xlpm.k,CHAR(34)&amp;_xlpm.k&amp;CHAR(34)))</f>
        <v>2010</v>
      </c>
      <c r="L299">
        <v>2011</v>
      </c>
      <c r="M299">
        <v>2012</v>
      </c>
      <c r="N299">
        <v>2013</v>
      </c>
      <c r="O299">
        <v>2014</v>
      </c>
      <c r="P299">
        <v>2015</v>
      </c>
      <c r="Q299">
        <v>2016</v>
      </c>
      <c r="R299">
        <v>2017</v>
      </c>
      <c r="S299">
        <v>2018</v>
      </c>
      <c r="T299">
        <v>2019</v>
      </c>
      <c r="U299">
        <v>2020</v>
      </c>
      <c r="V299">
        <v>2021</v>
      </c>
      <c r="W299">
        <v>2022</v>
      </c>
      <c r="X299" t="str">
        <v>"2023F"</v>
      </c>
      <c r="Y299" t="str">
        <v>"2024F"</v>
      </c>
    </row>
    <row r="300" spans="1:25" x14ac:dyDescent="0.35">
      <c r="F300" s="1"/>
    </row>
    <row r="301" spans="1:25" x14ac:dyDescent="0.35">
      <c r="B301" t="str">
        <f>CHAR(34)&amp;I301&amp;CHAR(34)&amp;": "&amp;C301</f>
        <v>"labels": {"label_1": [4.046, 4.825, 5.542, 6.782, 5.183, 5.631, 6.731, 9.137, 11.494, 12.774, 11.738, 13.591, 13.089, 11.685, 11.0365057102957], "label_2": [0.18096906012843, 0.192535837864558, 0.14860103626943, 0.223745940093829, -0.235771158950162, 0.0864364267798574, 0.195347185224649, 0.357450601693656, 0.257962131990807, 0.111362449973899, -0.081102238922812, 0.157863349804055, -0.0369362077845632, -0.107265642906257, -0.0554980136674665]}</v>
      </c>
      <c r="C301" t="str">
        <f>"{"&amp;_xlfn.TEXTJOIN(", ",TRUE,E301:E302)&amp;"}"</f>
        <v>{"label_1": [4.046, 4.825, 5.542, 6.782, 5.183, 5.631, 6.731, 9.137, 11.494, 12.774, 11.738, 13.591, 13.089, 11.685, 11.0365057102957], "label_2": [0.18096906012843, 0.192535837864558, 0.14860103626943, 0.223745940093829, -0.235771158950162, 0.0864364267798574, 0.195347185224649, 0.357450601693656, 0.257962131990807, 0.111362449973899, -0.081102238922812, 0.157863349804055, -0.0369362077845632, -0.107265642906257, -0.0554980136674665]}</v>
      </c>
      <c r="E301" t="str">
        <f>CHAR(34)&amp;J301&amp;CHAR(34)&amp;": "&amp;F301</f>
        <v>"label_1": [4.046, 4.825, 5.542, 6.782, 5.183, 5.631, 6.731, 9.137, 11.494, 12.774, 11.738, 13.591, 13.089, 11.685, 11.0365057102957]</v>
      </c>
      <c r="F301" s="1" t="str" cm="1">
        <f t="array" ref="F301">"["&amp;_xlfn.TEXTJOIN(", ",FALSE,SUBSTITUTE(_xlfn.ANCHORARRAY(K301),",","."))&amp;"]"</f>
        <v>[4.046, 4.825, 5.542, 6.782, 5.183, 5.631, 6.731, 9.137, 11.494, 12.774, 11.738, 13.591, 13.089, 11.685, 11.0365057102957]</v>
      </c>
      <c r="H301" t="s">
        <v>684</v>
      </c>
      <c r="I301" t="s">
        <v>689</v>
      </c>
      <c r="J301" t="s">
        <v>690</v>
      </c>
      <c r="K301" cm="1">
        <f t="array" ref="K301:Y301">'  Експорт IT + Мігранти'!B40:P40</f>
        <v>4.0460000000000003</v>
      </c>
      <c r="L301">
        <v>4.8250000000000002</v>
      </c>
      <c r="M301">
        <v>5.5419999999999998</v>
      </c>
      <c r="N301">
        <v>6.782</v>
      </c>
      <c r="O301">
        <v>5.1829999999999998</v>
      </c>
      <c r="P301">
        <v>5.6310000000000002</v>
      </c>
      <c r="Q301">
        <v>6.7309999999999999</v>
      </c>
      <c r="R301">
        <v>9.1370000000000005</v>
      </c>
      <c r="S301">
        <v>11.494</v>
      </c>
      <c r="T301">
        <v>12.773999999999999</v>
      </c>
      <c r="U301">
        <v>11.738</v>
      </c>
      <c r="V301">
        <v>13.590999999999999</v>
      </c>
      <c r="W301">
        <v>13.089</v>
      </c>
      <c r="X301">
        <v>11.685</v>
      </c>
      <c r="Y301">
        <v>11.036505710295653</v>
      </c>
    </row>
    <row r="302" spans="1:25" x14ac:dyDescent="0.35">
      <c r="E302" t="str">
        <f t="shared" ref="E302" si="74">CHAR(34)&amp;J302&amp;CHAR(34)&amp;": "&amp;F302</f>
        <v>"label_2": [0.18096906012843, 0.192535837864558, 0.14860103626943, 0.223745940093829, -0.235771158950162, 0.0864364267798574, 0.195347185224649, 0.357450601693656, 0.257962131990807, 0.111362449973899, -0.081102238922812, 0.157863349804055, -0.0369362077845632, -0.107265642906257, -0.0554980136674665]</v>
      </c>
      <c r="F302" s="1" t="str" cm="1">
        <f t="array" ref="F302">"["&amp;_xlfn.TEXTJOIN(", ",FALSE,SUBSTITUTE(_xlfn.ANCHORARRAY(K302),",","."))&amp;"]"</f>
        <v>[0.18096906012843, 0.192535837864558, 0.14860103626943, 0.223745940093829, -0.235771158950162, 0.0864364267798574, 0.195347185224649, 0.357450601693656, 0.257962131990807, 0.111362449973899, -0.081102238922812, 0.157863349804055, -0.0369362077845632, -0.107265642906257, -0.0554980136674665]</v>
      </c>
      <c r="H302" t="s">
        <v>684</v>
      </c>
      <c r="I302" t="s">
        <v>689</v>
      </c>
      <c r="J302" t="s">
        <v>691</v>
      </c>
      <c r="K302" cm="1">
        <f t="array" ref="K302:Y302">'  Експорт IT + Мігранти'!B41:P41</f>
        <v>0.18096906012842973</v>
      </c>
      <c r="L302">
        <v>0.19253583786455764</v>
      </c>
      <c r="M302">
        <v>0.14860103626942989</v>
      </c>
      <c r="N302">
        <v>0.22374594009382909</v>
      </c>
      <c r="O302">
        <v>-0.23577115895016221</v>
      </c>
      <c r="P302">
        <v>8.6436426779857412E-2</v>
      </c>
      <c r="Q302">
        <v>0.19534718522464911</v>
      </c>
      <c r="R302">
        <v>0.35745060169365628</v>
      </c>
      <c r="S302">
        <v>0.25796213199080653</v>
      </c>
      <c r="T302">
        <v>0.11136244997389944</v>
      </c>
      <c r="U302">
        <v>-8.1102238922811987E-2</v>
      </c>
      <c r="V302">
        <v>0.15786334980405514</v>
      </c>
      <c r="W302">
        <v>-3.6936207784563191E-2</v>
      </c>
      <c r="X302">
        <v>-0.10726564290625717</v>
      </c>
      <c r="Y302">
        <v>-5.5498013667466539E-2</v>
      </c>
    </row>
    <row r="304" spans="1:25" x14ac:dyDescent="0.35">
      <c r="B304" t="str">
        <f>CHAR(34)&amp;I304&amp;CHAR(34)&amp;": "&amp;C304</f>
        <v>"label_names": {"UKR": {"label_1": "Перекази мігрантів, $ млрд", "label_2": "р-р, %"}, "RU": {"label_1": "Переводы мигрантов, $ млрд", "label_2": "г-г, %"}, "ENG": {"label_1": "Migrants' transfers, $Bln", "label_2": "YoY, %"}}</v>
      </c>
      <c r="C304" t="str">
        <f>"{"&amp;_xlfn.TEXTJOIN(", ",TRUE,D304:D309)&amp;"}"</f>
        <v>{"UKR": {"label_1": "Перекази мігрантів, $ млрд", "label_2": "р-р, %"}, "RU": {"label_1": "Переводы мигрантов, $ млрд", "label_2": "г-г, %"}, "ENG": {"label_1": "Migrants' transfers, $Bln", "label_2": "YoY, %"}}</v>
      </c>
      <c r="D304" t="str">
        <f>CHAR(34)&amp;J304&amp;CHAR(34)&amp;": "&amp;E304</f>
        <v>"UKR": {"label_1": "Перекази мігрантів, $ млрд", "label_2": "р-р, %"}</v>
      </c>
      <c r="E304" t="str">
        <f>"{"&amp;_xlfn.TEXTJOIN(", ",TRUE,F304:F305)&amp;"}"</f>
        <v>{"label_1": "Перекази мігрантів, $ млрд", "label_2": "р-р, %"}</v>
      </c>
      <c r="F304" t="str">
        <f>CHAR(34)&amp;K304&amp;CHAR(34)&amp;": "&amp;CHAR(34)&amp;L304&amp;CHAR(34)</f>
        <v>"label_1": "Перекази мігрантів, $ млрд"</v>
      </c>
      <c r="H304" t="s">
        <v>684</v>
      </c>
      <c r="I304" t="s">
        <v>695</v>
      </c>
      <c r="J304" t="s">
        <v>334</v>
      </c>
      <c r="K304" t="s">
        <v>690</v>
      </c>
      <c r="L304" t="str">
        <f>'  Експорт IT + Мігранти'!S12</f>
        <v>Перекази мігрантів, $ млрд</v>
      </c>
    </row>
    <row r="305" spans="1:12" x14ac:dyDescent="0.35">
      <c r="F305" t="str">
        <f t="shared" ref="F305:F309" si="75">CHAR(34)&amp;K305&amp;CHAR(34)&amp;": "&amp;CHAR(34)&amp;L305&amp;CHAR(34)</f>
        <v>"label_2": "р-р, %"</v>
      </c>
      <c r="H305" t="s">
        <v>684</v>
      </c>
      <c r="I305" t="s">
        <v>695</v>
      </c>
      <c r="J305" t="s">
        <v>334</v>
      </c>
      <c r="K305" t="s">
        <v>691</v>
      </c>
      <c r="L305" t="str">
        <f>'  Експорт IT + Мігранти'!S10</f>
        <v>р-р, %</v>
      </c>
    </row>
    <row r="306" spans="1:12" x14ac:dyDescent="0.35">
      <c r="D306" t="str">
        <f>CHAR(34)&amp;J306&amp;CHAR(34)&amp;": "&amp;E306</f>
        <v>"RU": {"label_1": "Переводы мигрантов, $ млрд", "label_2": "г-г, %"}</v>
      </c>
      <c r="E306" t="str">
        <f>"{"&amp;_xlfn.TEXTJOIN(", ",TRUE,F306:F307)&amp;"}"</f>
        <v>{"label_1": "Переводы мигрантов, $ млрд", "label_2": "г-г, %"}</v>
      </c>
      <c r="F306" t="str">
        <f t="shared" si="75"/>
        <v>"label_1": "Переводы мигрантов, $ млрд"</v>
      </c>
      <c r="H306" t="s">
        <v>684</v>
      </c>
      <c r="I306" t="s">
        <v>695</v>
      </c>
      <c r="J306" t="s">
        <v>336</v>
      </c>
      <c r="K306" t="s">
        <v>690</v>
      </c>
      <c r="L306" t="str">
        <f>'  Експорт IT + Мігранти'!Q12</f>
        <v>Переводы мигрантов, $ млрд</v>
      </c>
    </row>
    <row r="307" spans="1:12" x14ac:dyDescent="0.35">
      <c r="F307" t="str">
        <f t="shared" si="75"/>
        <v>"label_2": "г-г, %"</v>
      </c>
      <c r="H307" t="s">
        <v>684</v>
      </c>
      <c r="I307" t="s">
        <v>695</v>
      </c>
      <c r="J307" t="s">
        <v>336</v>
      </c>
      <c r="K307" t="s">
        <v>691</v>
      </c>
      <c r="L307" t="str">
        <f>'  Експорт IT + Мігранти'!Q10</f>
        <v>г-г, %</v>
      </c>
    </row>
    <row r="308" spans="1:12" x14ac:dyDescent="0.35">
      <c r="D308" t="str">
        <f>CHAR(34)&amp;J308&amp;CHAR(34)&amp;": "&amp;E308</f>
        <v>"ENG": {"label_1": "Migrants' transfers, $Bln", "label_2": "YoY, %"}</v>
      </c>
      <c r="E308" t="str">
        <f>"{"&amp;_xlfn.TEXTJOIN(", ",TRUE,F308:F309)&amp;"}"</f>
        <v>{"label_1": "Migrants' transfers, $Bln", "label_2": "YoY, %"}</v>
      </c>
      <c r="F308" t="str">
        <f t="shared" si="75"/>
        <v>"label_1": "Migrants' transfers, $Bln"</v>
      </c>
      <c r="H308" t="s">
        <v>684</v>
      </c>
      <c r="I308" t="s">
        <v>695</v>
      </c>
      <c r="J308" t="s">
        <v>337</v>
      </c>
      <c r="K308" t="s">
        <v>690</v>
      </c>
      <c r="L308" t="str">
        <f>'  Експорт IT + Мігранти'!R12</f>
        <v>Migrants' transfers, $Bln</v>
      </c>
    </row>
    <row r="309" spans="1:12" x14ac:dyDescent="0.35">
      <c r="F309" t="str">
        <f t="shared" si="75"/>
        <v>"label_2": "YoY, %"</v>
      </c>
      <c r="H309" t="s">
        <v>684</v>
      </c>
      <c r="I309" t="s">
        <v>695</v>
      </c>
      <c r="J309" t="s">
        <v>337</v>
      </c>
      <c r="K309" t="s">
        <v>691</v>
      </c>
      <c r="L309" t="str">
        <f>'  Експорт IT + Мігранти'!R10</f>
        <v>YoY, %</v>
      </c>
    </row>
    <row r="311" spans="1:12" x14ac:dyDescent="0.35">
      <c r="B311" t="str">
        <f>CHAR(34)&amp;I311&amp;CHAR(34)&amp;": "&amp;C311</f>
        <v>"source": {"UKR": "Джерело: НБУ, розрахунки Ukraine Economic Outlook", "RU": "Источник: НБУ, расчеты Ukraine Economic Outlook", "ENG": "Source: NBU, Ukraine Economic Outlook calculations"}</v>
      </c>
      <c r="C311" t="str">
        <f>"{"&amp;_xlfn.TEXTJOIN(", ",TRUE,F311:F313)&amp;"}"</f>
        <v>{"UKR": "Джерело: НБУ, розрахунки Ukraine Economic Outlook", "RU": "Источник: НБУ, расчеты Ukraine Economic Outlook", "ENG": "Source: NBU, Ukraine Economic Outlook calculations"}</v>
      </c>
      <c r="F311" t="str">
        <f>CHAR(34)&amp;J311&amp;CHAR(34)&amp;": "&amp;CHAR(34)&amp;K311&amp;CHAR(34)</f>
        <v>"UKR": "Джерело: НБУ, розрахунки Ukraine Economic Outlook"</v>
      </c>
      <c r="H311" t="s">
        <v>684</v>
      </c>
      <c r="I311" t="s">
        <v>696</v>
      </c>
      <c r="J311" t="s">
        <v>334</v>
      </c>
      <c r="K311" t="str">
        <f>K266</f>
        <v>Джерело: НБУ, розрахунки Ukraine Economic Outlook</v>
      </c>
    </row>
    <row r="312" spans="1:12" x14ac:dyDescent="0.35">
      <c r="F312" t="str">
        <f t="shared" ref="F312:F313" si="76">CHAR(34)&amp;J312&amp;CHAR(34)&amp;": "&amp;CHAR(34)&amp;K312&amp;CHAR(34)</f>
        <v>"RU": "Источник: НБУ, расчеты Ukraine Economic Outlook"</v>
      </c>
      <c r="H312" t="s">
        <v>684</v>
      </c>
      <c r="I312" t="s">
        <v>696</v>
      </c>
      <c r="J312" t="s">
        <v>336</v>
      </c>
      <c r="K312" t="str">
        <f t="shared" ref="K312:K313" si="77">K267</f>
        <v>Источник: НБУ, расчеты Ukraine Economic Outlook</v>
      </c>
    </row>
    <row r="313" spans="1:12" x14ac:dyDescent="0.35">
      <c r="F313" t="str">
        <f t="shared" si="76"/>
        <v>"ENG": "Source: NBU, Ukraine Economic Outlook calculations"</v>
      </c>
      <c r="H313" t="s">
        <v>684</v>
      </c>
      <c r="I313" t="s">
        <v>696</v>
      </c>
      <c r="J313" t="s">
        <v>337</v>
      </c>
      <c r="K313" t="str">
        <f t="shared" si="77"/>
        <v>Source: NBU, Ukraine Economic Outlook calculations</v>
      </c>
    </row>
    <row r="315" spans="1:12" x14ac:dyDescent="0.35">
      <c r="A315" s="1395"/>
      <c r="B315" s="1395"/>
      <c r="C315" s="1395"/>
      <c r="D315" s="1395"/>
      <c r="E315" s="1395"/>
      <c r="F315" s="1395"/>
      <c r="G315" s="1395"/>
    </row>
    <row r="316" spans="1:12" x14ac:dyDescent="0.35">
      <c r="A316" t="str">
        <f>"{"&amp;CHAR(34)&amp;H316&amp;CHAR(34)&amp;": "&amp;B316&amp;"}"</f>
        <v>{"Chart1": {"name": {"UKR": "Надходження від трудових мігрантів, помісячно, $ млн", "RU": "Поступления от трудовых мигрантов, помесячно, $ млн", "ENG": "Income from labor migrants by month, $Mln"},"indexes":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12]},"labels": {"label_1": [1159, 1136, 1045, 1086, 1082, 1101, 1033, 1068, 1065, 1070, 1083, 1161, 1020, 1045, 1101, 960, 965, 949, 921, 933, 918, 901, 922, 1050, 855, 790.273708043483, 865.989816378475, 875.412525347243, 879.256081922268, 872.408825496491, 1050, 942.472158098012, 924.287897270371, 954.633208348284, 946.771489391025, 1080], "label_2": [0.154382470119522, 0.0346083788706739, -0.153160453808752, -0.0686106346483705, -0.0172570390554042, -0.0541237113402062, -0.0776785714285714, -0.00743494423791824, -0.00652985074626866, -0.0412186379928315, -0.0743589743589743, -0.0689655172413793, -0.11993097497843, -0.0801056338028169, 0.0535885167464114, -0.116022099447514, -0.108133086876155, -0.138056312443233, -0.108422071636012, -0.126404494382023, -0.138028169014085, -0.157943925233645, -0.148661126500462, -0.0956072351421189, -0.161764705882353, -0.24375721718327, -0.213451574588125, -0.0881119527632886, -0.0888538011168211, -0.0807072439446878, 0.140065146579805, 0.010152366664536, 0.00684956129670033, 0.0595263133721244, 0.0268671251529551, 0.0285714285714285]},"label_names": {"UKR": {"label_1": "Перекази мігрантів, $ млн", "label_2": "р-р, %"}, "RU": {"label_1": "Переводы мигрантов, $ млн", "label_2": "г-г, %"}, "ENG": {"label_1": "Migrants' transfers, $Mln", "label_2": "YoY, %"}},"source": {"UKR": "Джерело: НБУ, розрахунки Ukraine Economic Outlook", "RU": "Источник: НБУ, расчеты Ukraine Economic Outlook", "ENG": "Source: NBU, Ukraine Economic Outlook calculations"}}}</v>
      </c>
      <c r="B316" t="str">
        <f>"{"&amp;_xlfn.TEXTJOIN(",",TRUE,B317:B336)&amp;"}"</f>
        <v>{"name": {"UKR": "Надходження від трудових мігрантів, помісячно, $ млн", "RU": "Поступления от трудовых мигрантов, помесячно, $ млн", "ENG": "Income from labor migrants by month, $Mln"},"indexes":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12]},"labels": {"label_1": [1159, 1136, 1045, 1086, 1082, 1101, 1033, 1068, 1065, 1070, 1083, 1161, 1020, 1045, 1101, 960, 965, 949, 921, 933, 918, 901, 922, 1050, 855, 790.273708043483, 865.989816378475, 875.412525347243, 879.256081922268, 872.408825496491, 1050, 942.472158098012, 924.287897270371, 954.633208348284, 946.771489391025, 1080], "label_2": [0.154382470119522, 0.0346083788706739, -0.153160453808752, -0.0686106346483705, -0.0172570390554042, -0.0541237113402062, -0.0776785714285714, -0.00743494423791824, -0.00652985074626866, -0.0412186379928315, -0.0743589743589743, -0.0689655172413793, -0.11993097497843, -0.0801056338028169, 0.0535885167464114, -0.116022099447514, -0.108133086876155, -0.138056312443233, -0.108422071636012, -0.126404494382023, -0.138028169014085, -0.157943925233645, -0.148661126500462, -0.0956072351421189, -0.161764705882353, -0.24375721718327, -0.213451574588125, -0.0881119527632886, -0.0888538011168211, -0.0807072439446878, 0.140065146579805, 0.010152366664536, 0.00684956129670033, 0.0595263133721244, 0.0268671251529551, 0.0285714285714285]},"label_names": {"UKR": {"label_1": "Перекази мігрантів, $ млн", "label_2": "р-р, %"}, "RU": {"label_1": "Переводы мигрантов, $ млн", "label_2": "г-г, %"}, "ENG": {"label_1": "Migrants' transfers, $Mln", "label_2": "YoY, %"}},"source": {"UKR": "Джерело: НБУ, розрахунки Ukraine Economic Outlook", "RU": "Источник: НБУ, расчеты Ukraine Economic Outlook", "ENG": "Source: NBU, Ukraine Economic Outlook calculations"}}</v>
      </c>
      <c r="H316" t="s">
        <v>684</v>
      </c>
    </row>
    <row r="317" spans="1:12" x14ac:dyDescent="0.35">
      <c r="B317" t="str">
        <f>CHAR(34)&amp;I317&amp;CHAR(34)&amp;": "&amp;C317</f>
        <v>"name": {"UKR": "Надходження від трудових мігрантів, помісячно, $ млн", "RU": "Поступления от трудовых мигрантов, помесячно, $ млн", "ENG": "Income from labor migrants by month, $Mln"}</v>
      </c>
      <c r="C317" t="str">
        <f>"{"&amp;_xlfn.TEXTJOIN(", ",TRUE,F317:F319)&amp;"}"</f>
        <v>{"UKR": "Надходження від трудових мігрантів, помісячно, $ млн", "RU": "Поступления от трудовых мигрантов, помесячно, $ млн", "ENG": "Income from labor migrants by month, $Mln"}</v>
      </c>
      <c r="F317" t="str">
        <f>CHAR(34)&amp;J317&amp;CHAR(34)&amp;": "&amp;CHAR(34)&amp;K317&amp;CHAR(34)</f>
        <v>"UKR": "Надходження від трудових мігрантів, помісячно, $ млн"</v>
      </c>
      <c r="H317" t="s">
        <v>684</v>
      </c>
      <c r="I317" t="s">
        <v>685</v>
      </c>
      <c r="J317" t="s">
        <v>334</v>
      </c>
      <c r="K317" t="s">
        <v>763</v>
      </c>
    </row>
    <row r="318" spans="1:12" x14ac:dyDescent="0.35">
      <c r="F318" t="str">
        <f t="shared" ref="F318:F319" si="78">CHAR(34)&amp;J318&amp;CHAR(34)&amp;": "&amp;CHAR(34)&amp;K318&amp;CHAR(34)</f>
        <v>"RU": "Поступления от трудовых мигрантов, помесячно, $ млн"</v>
      </c>
      <c r="H318" t="s">
        <v>684</v>
      </c>
      <c r="I318" t="s">
        <v>685</v>
      </c>
      <c r="J318" t="s">
        <v>336</v>
      </c>
      <c r="K318" t="s">
        <v>761</v>
      </c>
    </row>
    <row r="319" spans="1:12" x14ac:dyDescent="0.35">
      <c r="F319" t="str">
        <f t="shared" si="78"/>
        <v>"ENG": "Income from labor migrants by month, $Mln"</v>
      </c>
      <c r="H319" t="s">
        <v>684</v>
      </c>
      <c r="I319" t="s">
        <v>685</v>
      </c>
      <c r="J319" t="s">
        <v>337</v>
      </c>
      <c r="K319" t="s">
        <v>762</v>
      </c>
    </row>
    <row r="321" spans="2:46" x14ac:dyDescent="0.35">
      <c r="B321" t="str">
        <f>CHAR(34)&amp;I321&amp;CHAR(34)&amp;": "&amp;C321</f>
        <v>"indexes": 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</v>
      </c>
      <c r="C321" t="str">
        <f>"{"&amp;_xlfn.TEXTJOIN(", ",TRUE,E321:E322)&amp;"}"</f>
        <v>{"index_0": [2022,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12]}</v>
      </c>
      <c r="E321" t="str">
        <f>CHAR(34)&amp;J321&amp;CHAR(34)&amp;": "&amp;F321</f>
        <v>"index_0": [2022, 2022, 2022, 2022, 2022, 2022, 2022, 2022, 2022, 2022, 2022, 2022, 2023, 2023, 2023, 2023, 2023, 2023, 2023, 2023, 2023, 2023, 2023, 2023, 2024, 2024, 2024, 2024, 2024, 2024, 2024, 2024, 2024, 2024, 2024, 2024]</v>
      </c>
      <c r="F321" s="1" t="str" cm="1">
        <f t="array" ref="F321">"["&amp;_xlfn.TEXTJOIN(", ",FALSE,SUBSTITUTE(K321:AT321,",","."))&amp;"]"</f>
        <v>[2022, 2022, 2022, 2022, 2022, 2022, 2022, 2022, 2022, 2022, 2022, 2022, 2023, 2023, 2023, 2023, 2023, 2023, 2023, 2023, 2023, 2023, 2023, 2023, 2024, 2024, 2024, 2024, 2024, 2024, 2024, 2024, 2024, 2024, 2024, 2024]</v>
      </c>
      <c r="H321" t="s">
        <v>684</v>
      </c>
      <c r="I321" t="s">
        <v>686</v>
      </c>
      <c r="J321" t="s">
        <v>687</v>
      </c>
      <c r="K321">
        <f>K8</f>
        <v>2022</v>
      </c>
      <c r="L321">
        <f t="shared" ref="L321:AE321" si="79">L8</f>
        <v>2022</v>
      </c>
      <c r="M321">
        <f t="shared" si="79"/>
        <v>2022</v>
      </c>
      <c r="N321">
        <f t="shared" si="79"/>
        <v>2022</v>
      </c>
      <c r="O321">
        <f t="shared" si="79"/>
        <v>2022</v>
      </c>
      <c r="P321">
        <f t="shared" si="79"/>
        <v>2022</v>
      </c>
      <c r="Q321">
        <f t="shared" si="79"/>
        <v>2022</v>
      </c>
      <c r="R321">
        <f t="shared" si="79"/>
        <v>2022</v>
      </c>
      <c r="S321">
        <f t="shared" si="79"/>
        <v>2022</v>
      </c>
      <c r="T321">
        <f t="shared" si="79"/>
        <v>2022</v>
      </c>
      <c r="U321">
        <f t="shared" si="79"/>
        <v>2022</v>
      </c>
      <c r="V321">
        <f t="shared" si="79"/>
        <v>2022</v>
      </c>
      <c r="W321">
        <f t="shared" si="79"/>
        <v>2023</v>
      </c>
      <c r="X321">
        <f t="shared" si="79"/>
        <v>2023</v>
      </c>
      <c r="Y321">
        <f t="shared" si="79"/>
        <v>2023</v>
      </c>
      <c r="Z321">
        <f t="shared" si="79"/>
        <v>2023</v>
      </c>
      <c r="AA321">
        <f t="shared" si="79"/>
        <v>2023</v>
      </c>
      <c r="AB321">
        <f t="shared" si="79"/>
        <v>2023</v>
      </c>
      <c r="AC321">
        <f t="shared" si="79"/>
        <v>2023</v>
      </c>
      <c r="AD321">
        <f t="shared" si="79"/>
        <v>2023</v>
      </c>
      <c r="AE321">
        <f t="shared" si="79"/>
        <v>2023</v>
      </c>
      <c r="AF321">
        <f>AF8</f>
        <v>2023</v>
      </c>
      <c r="AG321">
        <f t="shared" ref="AG321:AO321" si="80">AG8</f>
        <v>2023</v>
      </c>
      <c r="AH321">
        <f t="shared" si="80"/>
        <v>2023</v>
      </c>
      <c r="AI321">
        <f t="shared" si="80"/>
        <v>2024</v>
      </c>
      <c r="AJ321">
        <f t="shared" si="80"/>
        <v>2024</v>
      </c>
      <c r="AK321">
        <f t="shared" si="80"/>
        <v>2024</v>
      </c>
      <c r="AL321">
        <f t="shared" si="80"/>
        <v>2024</v>
      </c>
      <c r="AM321">
        <f t="shared" si="80"/>
        <v>2024</v>
      </c>
      <c r="AN321">
        <f t="shared" si="80"/>
        <v>2024</v>
      </c>
      <c r="AO321">
        <f t="shared" si="80"/>
        <v>2024</v>
      </c>
      <c r="AP321">
        <f>AP8</f>
        <v>2024</v>
      </c>
      <c r="AQ321">
        <f t="shared" ref="AQ321" si="81">AQ8</f>
        <v>2024</v>
      </c>
      <c r="AR321">
        <f>AR8</f>
        <v>2024</v>
      </c>
      <c r="AS321">
        <f t="shared" ref="AS321:AT321" si="82">AS8</f>
        <v>2024</v>
      </c>
      <c r="AT321">
        <f t="shared" si="82"/>
        <v>2024</v>
      </c>
    </row>
    <row r="322" spans="2:46" x14ac:dyDescent="0.35">
      <c r="E322" t="str">
        <f>CHAR(34)&amp;J322&amp;CHAR(34)&amp;": "&amp;F322</f>
        <v>"index_1": [1, 2, 3, 4, 5, 6, 7, 8, 9, 10, 11, 12, 1, 2, 3, 4, 5, 6, 7, 8, 9, 10, 11, 12, 1, 2, 3, 4, 5, 6, 7, 8, 9, 10, 11, 12]</v>
      </c>
      <c r="F322" s="1" t="str" cm="1">
        <f t="array" ref="F322">"["&amp;_xlfn.TEXTJOIN(", ",FALSE,SUBSTITUTE(K322:AT322,",","."))&amp;"]"</f>
        <v>[1, 2, 3, 4, 5, 6, 7, 8, 9, 10, 11, 12, 1, 2, 3, 4, 5, 6, 7, 8, 9, 10, 11, 12, 1, 2, 3, 4, 5, 6, 7, 8, 9, 10, 11, 12]</v>
      </c>
      <c r="H322" t="s">
        <v>684</v>
      </c>
      <c r="I322" t="s">
        <v>686</v>
      </c>
      <c r="J322" t="s">
        <v>688</v>
      </c>
      <c r="K322">
        <f>K9</f>
        <v>1</v>
      </c>
      <c r="L322">
        <f t="shared" ref="L322:AE322" si="83">L9</f>
        <v>2</v>
      </c>
      <c r="M322">
        <f t="shared" si="83"/>
        <v>3</v>
      </c>
      <c r="N322">
        <f t="shared" si="83"/>
        <v>4</v>
      </c>
      <c r="O322">
        <f t="shared" si="83"/>
        <v>5</v>
      </c>
      <c r="P322">
        <f t="shared" si="83"/>
        <v>6</v>
      </c>
      <c r="Q322">
        <f t="shared" si="83"/>
        <v>7</v>
      </c>
      <c r="R322">
        <f t="shared" si="83"/>
        <v>8</v>
      </c>
      <c r="S322">
        <f t="shared" si="83"/>
        <v>9</v>
      </c>
      <c r="T322">
        <f t="shared" si="83"/>
        <v>10</v>
      </c>
      <c r="U322">
        <f t="shared" si="83"/>
        <v>11</v>
      </c>
      <c r="V322">
        <f t="shared" si="83"/>
        <v>12</v>
      </c>
      <c r="W322">
        <f t="shared" si="83"/>
        <v>1</v>
      </c>
      <c r="X322">
        <f t="shared" si="83"/>
        <v>2</v>
      </c>
      <c r="Y322">
        <f t="shared" si="83"/>
        <v>3</v>
      </c>
      <c r="Z322">
        <f t="shared" si="83"/>
        <v>4</v>
      </c>
      <c r="AA322">
        <f t="shared" si="83"/>
        <v>5</v>
      </c>
      <c r="AB322">
        <f t="shared" si="83"/>
        <v>6</v>
      </c>
      <c r="AC322">
        <f t="shared" si="83"/>
        <v>7</v>
      </c>
      <c r="AD322">
        <f t="shared" si="83"/>
        <v>8</v>
      </c>
      <c r="AE322">
        <f t="shared" si="83"/>
        <v>9</v>
      </c>
      <c r="AF322">
        <f>AF9</f>
        <v>10</v>
      </c>
      <c r="AG322">
        <f t="shared" ref="AG322:AO322" si="84">AG9</f>
        <v>11</v>
      </c>
      <c r="AH322">
        <f t="shared" si="84"/>
        <v>12</v>
      </c>
      <c r="AI322">
        <f t="shared" si="84"/>
        <v>1</v>
      </c>
      <c r="AJ322">
        <f t="shared" si="84"/>
        <v>2</v>
      </c>
      <c r="AK322">
        <f t="shared" si="84"/>
        <v>3</v>
      </c>
      <c r="AL322">
        <f t="shared" si="84"/>
        <v>4</v>
      </c>
      <c r="AM322">
        <f t="shared" si="84"/>
        <v>5</v>
      </c>
      <c r="AN322">
        <f t="shared" si="84"/>
        <v>6</v>
      </c>
      <c r="AO322">
        <f t="shared" si="84"/>
        <v>7</v>
      </c>
      <c r="AP322">
        <f>AP9</f>
        <v>8</v>
      </c>
      <c r="AQ322">
        <f t="shared" ref="AQ322" si="85">AQ9</f>
        <v>9</v>
      </c>
      <c r="AR322">
        <f>AR9</f>
        <v>10</v>
      </c>
      <c r="AS322">
        <f t="shared" ref="AS322:AT322" si="86">AS9</f>
        <v>11</v>
      </c>
      <c r="AT322">
        <f t="shared" si="86"/>
        <v>12</v>
      </c>
    </row>
    <row r="323" spans="2:46" x14ac:dyDescent="0.35">
      <c r="F323" s="1"/>
    </row>
    <row r="324" spans="2:46" x14ac:dyDescent="0.35">
      <c r="B324" t="str">
        <f>CHAR(34)&amp;I324&amp;CHAR(34)&amp;": "&amp;C324</f>
        <v>"labels": {"label_1": [1159, 1136, 1045, 1086, 1082, 1101, 1033, 1068, 1065, 1070, 1083, 1161, 1020, 1045, 1101, 960, 965, 949, 921, 933, 918, 901, 922, 1050, 855, 790.273708043483, 865.989816378475, 875.412525347243, 879.256081922268, 872.408825496491, 1050, 942.472158098012, 924.287897270371, 954.633208348284, 946.771489391025, 1080], "label_2": [0.154382470119522, 0.0346083788706739, -0.153160453808752, -0.0686106346483705, -0.0172570390554042, -0.0541237113402062, -0.0776785714285714, -0.00743494423791824, -0.00652985074626866, -0.0412186379928315, -0.0743589743589743, -0.0689655172413793, -0.11993097497843, -0.0801056338028169, 0.0535885167464114, -0.116022099447514, -0.108133086876155, -0.138056312443233, -0.108422071636012, -0.126404494382023, -0.138028169014085, -0.157943925233645, -0.148661126500462, -0.0956072351421189, -0.161764705882353, -0.24375721718327, -0.213451574588125, -0.0881119527632886, -0.0888538011168211, -0.0807072439446878, 0.140065146579805, 0.010152366664536, 0.00684956129670033, 0.0595263133721244, 0.0268671251529551, 0.0285714285714285]}</v>
      </c>
      <c r="C324" t="str">
        <f>"{"&amp;_xlfn.TEXTJOIN(", ",TRUE,E324:E325)&amp;"}"</f>
        <v>{"label_1": [1159, 1136, 1045, 1086, 1082, 1101, 1033, 1068, 1065, 1070, 1083, 1161, 1020, 1045, 1101, 960, 965, 949, 921, 933, 918, 901, 922, 1050, 855, 790.273708043483, 865.989816378475, 875.412525347243, 879.256081922268, 872.408825496491, 1050, 942.472158098012, 924.287897270371, 954.633208348284, 946.771489391025, 1080], "label_2": [0.154382470119522, 0.0346083788706739, -0.153160453808752, -0.0686106346483705, -0.0172570390554042, -0.0541237113402062, -0.0776785714285714, -0.00743494423791824, -0.00652985074626866, -0.0412186379928315, -0.0743589743589743, -0.0689655172413793, -0.11993097497843, -0.0801056338028169, 0.0535885167464114, -0.116022099447514, -0.108133086876155, -0.138056312443233, -0.108422071636012, -0.126404494382023, -0.138028169014085, -0.157943925233645, -0.148661126500462, -0.0956072351421189, -0.161764705882353, -0.24375721718327, -0.213451574588125, -0.0881119527632886, -0.0888538011168211, -0.0807072439446878, 0.140065146579805, 0.010152366664536, 0.00684956129670033, 0.0595263133721244, 0.0268671251529551, 0.0285714285714285]}</v>
      </c>
      <c r="E324" t="str">
        <f>CHAR(34)&amp;J324&amp;CHAR(34)&amp;": "&amp;F324</f>
        <v>"label_1": [1159, 1136, 1045, 1086, 1082, 1101, 1033, 1068, 1065, 1070, 1083, 1161, 1020, 1045, 1101, 960, 965, 949, 921, 933, 918, 901, 922, 1050, 855, 790.273708043483, 865.989816378475, 875.412525347243, 879.256081922268, 872.408825496491, 1050, 942.472158098012, 924.287897270371, 954.633208348284, 946.771489391025, 1080]</v>
      </c>
      <c r="F324" s="1" t="str" cm="1">
        <f t="array" ref="F324">"["&amp;_xlfn.TEXTJOIN(", ",FALSE,SUBSTITUTE(K324:AT324,",","."))&amp;"]"</f>
        <v>[1159, 1136, 1045, 1086, 1082, 1101, 1033, 1068, 1065, 1070, 1083, 1161, 1020, 1045, 1101, 960, 965, 949, 921, 933, 918, 901, 922, 1050, 855, 790.273708043483, 865.989816378475, 875.412525347243, 879.256081922268, 872.408825496491, 1050, 942.472158098012, 924.287897270371, 954.633208348284, 946.771489391025, 1080]</v>
      </c>
      <c r="H324" t="s">
        <v>684</v>
      </c>
      <c r="I324" t="s">
        <v>689</v>
      </c>
      <c r="J324" t="s">
        <v>690</v>
      </c>
      <c r="K324" s="1" cm="1">
        <f t="array" ref="K324:AT324">'  Експорт IT + Мігранти'!EP34:FY34</f>
        <v>1159</v>
      </c>
      <c r="L324">
        <v>1136</v>
      </c>
      <c r="M324">
        <v>1045</v>
      </c>
      <c r="N324">
        <v>1086</v>
      </c>
      <c r="O324">
        <v>1082</v>
      </c>
      <c r="P324">
        <v>1101</v>
      </c>
      <c r="Q324">
        <v>1033</v>
      </c>
      <c r="R324">
        <v>1068</v>
      </c>
      <c r="S324">
        <v>1065</v>
      </c>
      <c r="T324">
        <v>1070</v>
      </c>
      <c r="U324">
        <v>1083</v>
      </c>
      <c r="V324">
        <v>1161</v>
      </c>
      <c r="W324">
        <v>1020</v>
      </c>
      <c r="X324">
        <v>1045</v>
      </c>
      <c r="Y324">
        <v>1101</v>
      </c>
      <c r="Z324">
        <v>960</v>
      </c>
      <c r="AA324">
        <v>965</v>
      </c>
      <c r="AB324">
        <v>949</v>
      </c>
      <c r="AC324">
        <v>921</v>
      </c>
      <c r="AD324">
        <v>933</v>
      </c>
      <c r="AE324">
        <v>918</v>
      </c>
      <c r="AF324">
        <v>901</v>
      </c>
      <c r="AG324">
        <v>922</v>
      </c>
      <c r="AH324">
        <v>1050</v>
      </c>
      <c r="AI324">
        <v>855</v>
      </c>
      <c r="AJ324">
        <v>790.27370804348277</v>
      </c>
      <c r="AK324">
        <v>865.98981637847476</v>
      </c>
      <c r="AL324">
        <v>875.41252534724288</v>
      </c>
      <c r="AM324">
        <v>879.25608192226764</v>
      </c>
      <c r="AN324">
        <v>872.40882549649132</v>
      </c>
      <c r="AO324">
        <v>1050</v>
      </c>
      <c r="AP324">
        <v>942.47215809801219</v>
      </c>
      <c r="AQ324">
        <v>924.28789727037099</v>
      </c>
      <c r="AR324">
        <v>954.63320834828403</v>
      </c>
      <c r="AS324">
        <v>946.7714893910246</v>
      </c>
      <c r="AT324">
        <v>1080</v>
      </c>
    </row>
    <row r="325" spans="2:46" x14ac:dyDescent="0.35">
      <c r="E325" t="str">
        <f t="shared" ref="E325" si="87">CHAR(34)&amp;J325&amp;CHAR(34)&amp;": "&amp;F325</f>
        <v>"label_2": [0.154382470119522, 0.0346083788706739, -0.153160453808752, -0.0686106346483705, -0.0172570390554042, -0.0541237113402062, -0.0776785714285714, -0.00743494423791824, -0.00652985074626866, -0.0412186379928315, -0.0743589743589743, -0.0689655172413793, -0.11993097497843, -0.0801056338028169, 0.0535885167464114, -0.116022099447514, -0.108133086876155, -0.138056312443233, -0.108422071636012, -0.126404494382023, -0.138028169014085, -0.157943925233645, -0.148661126500462, -0.0956072351421189, -0.161764705882353, -0.24375721718327, -0.213451574588125, -0.0881119527632886, -0.0888538011168211, -0.0807072439446878, 0.140065146579805, 0.010152366664536, 0.00684956129670033, 0.0595263133721244, 0.0268671251529551, 0.0285714285714285]</v>
      </c>
      <c r="F325" s="1" t="str" cm="1">
        <f t="array" ref="F325">"["&amp;_xlfn.TEXTJOIN(", ",FALSE,SUBSTITUTE(K325:AT325,",","."))&amp;"]"</f>
        <v>[0.154382470119522, 0.0346083788706739, -0.153160453808752, -0.0686106346483705, -0.0172570390554042, -0.0541237113402062, -0.0776785714285714, -0.00743494423791824, -0.00652985074626866, -0.0412186379928315, -0.0743589743589743, -0.0689655172413793, -0.11993097497843, -0.0801056338028169, 0.0535885167464114, -0.116022099447514, -0.108133086876155, -0.138056312443233, -0.108422071636012, -0.126404494382023, -0.138028169014085, -0.157943925233645, -0.148661126500462, -0.0956072351421189, -0.161764705882353, -0.24375721718327, -0.213451574588125, -0.0881119527632886, -0.0888538011168211, -0.0807072439446878, 0.140065146579805, 0.010152366664536, 0.00684956129670033, 0.0595263133721244, 0.0268671251529551, 0.0285714285714285]</v>
      </c>
      <c r="H325" t="s">
        <v>684</v>
      </c>
      <c r="I325" t="s">
        <v>689</v>
      </c>
      <c r="J325" t="s">
        <v>691</v>
      </c>
      <c r="K325" s="1425" cm="1">
        <f t="array" ref="K325:AT325">'  Експорт IT + Мігранти'!EP35:FY35</f>
        <v>0.154382470119522</v>
      </c>
      <c r="L325">
        <v>3.4608378870673917E-2</v>
      </c>
      <c r="M325">
        <v>-0.15316045380875198</v>
      </c>
      <c r="N325">
        <v>-6.8610634648370472E-2</v>
      </c>
      <c r="O325">
        <v>-1.7257039055404211E-2</v>
      </c>
      <c r="P325">
        <v>-5.4123711340206215E-2</v>
      </c>
      <c r="Q325">
        <v>-7.7678571428571375E-2</v>
      </c>
      <c r="R325">
        <v>-7.4349442379182396E-3</v>
      </c>
      <c r="S325">
        <v>-6.5298507462686617E-3</v>
      </c>
      <c r="T325">
        <v>-4.1218637992831542E-2</v>
      </c>
      <c r="U325">
        <v>-7.4358974358974317E-2</v>
      </c>
      <c r="V325">
        <v>-6.8965517241379337E-2</v>
      </c>
      <c r="W325">
        <v>-0.11993097497842964</v>
      </c>
      <c r="X325">
        <v>-8.0105633802816878E-2</v>
      </c>
      <c r="Y325">
        <v>5.3588516746411408E-2</v>
      </c>
      <c r="Z325">
        <v>-0.11602209944751385</v>
      </c>
      <c r="AA325">
        <v>-0.1081330868761553</v>
      </c>
      <c r="AB325">
        <v>-0.13805631244323346</v>
      </c>
      <c r="AC325">
        <v>-0.10842207163601159</v>
      </c>
      <c r="AD325">
        <v>-0.1264044943820225</v>
      </c>
      <c r="AE325">
        <v>-0.13802816901408455</v>
      </c>
      <c r="AF325">
        <v>-0.15794392523364487</v>
      </c>
      <c r="AG325">
        <v>-0.1486611265004617</v>
      </c>
      <c r="AH325">
        <v>-9.5607235142118885E-2</v>
      </c>
      <c r="AI325">
        <v>-0.16176470588235292</v>
      </c>
      <c r="AJ325">
        <v>-0.24375721718327004</v>
      </c>
      <c r="AK325">
        <v>-0.21345157458812469</v>
      </c>
      <c r="AL325">
        <v>-8.8111952763288648E-2</v>
      </c>
      <c r="AM325">
        <v>-8.8853801116821063E-2</v>
      </c>
      <c r="AN325">
        <v>-8.0707243944687757E-2</v>
      </c>
      <c r="AO325">
        <v>0.14006514657980462</v>
      </c>
      <c r="AP325">
        <v>1.0152366664536006E-2</v>
      </c>
      <c r="AQ325">
        <v>6.849561296700335E-3</v>
      </c>
      <c r="AR325">
        <v>5.952631337212444E-2</v>
      </c>
      <c r="AS325">
        <v>2.6867125152955085E-2</v>
      </c>
      <c r="AT325">
        <v>2.857142857142847E-2</v>
      </c>
    </row>
    <row r="327" spans="2:46" x14ac:dyDescent="0.35">
      <c r="B327" t="str">
        <f>CHAR(34)&amp;I327&amp;CHAR(34)&amp;": "&amp;C327</f>
        <v>"label_names": {"UKR": {"label_1": "Перекази мігрантів, $ млн", "label_2": "р-р, %"}, "RU": {"label_1": "Переводы мигрантов, $ млн", "label_2": "г-г, %"}, "ENG": {"label_1": "Migrants' transfers, $Mln", "label_2": "YoY, %"}}</v>
      </c>
      <c r="C327" t="str">
        <f>"{"&amp;_xlfn.TEXTJOIN(", ",TRUE,D327:D332)&amp;"}"</f>
        <v>{"UKR": {"label_1": "Перекази мігрантів, $ млн", "label_2": "р-р, %"}, "RU": {"label_1": "Переводы мигрантов, $ млн", "label_2": "г-г, %"}, "ENG": {"label_1": "Migrants' transfers, $Mln", "label_2": "YoY, %"}}</v>
      </c>
      <c r="D327" t="str">
        <f>CHAR(34)&amp;J327&amp;CHAR(34)&amp;": "&amp;E327</f>
        <v>"UKR": {"label_1": "Перекази мігрантів, $ млн", "label_2": "р-р, %"}</v>
      </c>
      <c r="E327" t="str">
        <f>"{"&amp;_xlfn.TEXTJOIN(", ",TRUE,F327:F328)&amp;"}"</f>
        <v>{"label_1": "Перекази мігрантів, $ млн", "label_2": "р-р, %"}</v>
      </c>
      <c r="F327" t="str">
        <f>CHAR(34)&amp;K327&amp;CHAR(34)&amp;": "&amp;CHAR(34)&amp;L327&amp;CHAR(34)</f>
        <v>"label_1": "Перекази мігрантів, $ млн"</v>
      </c>
      <c r="H327" t="s">
        <v>684</v>
      </c>
      <c r="I327" t="s">
        <v>695</v>
      </c>
      <c r="J327" t="s">
        <v>334</v>
      </c>
      <c r="K327" t="s">
        <v>690</v>
      </c>
      <c r="L327" t="str">
        <f>'  Експорт IT + Мігранти'!S11</f>
        <v>Перекази мігрантів, $ млн</v>
      </c>
    </row>
    <row r="328" spans="2:46" x14ac:dyDescent="0.35">
      <c r="F328" t="str">
        <f t="shared" ref="F328:F332" si="88">CHAR(34)&amp;K328&amp;CHAR(34)&amp;": "&amp;CHAR(34)&amp;L328&amp;CHAR(34)</f>
        <v>"label_2": "р-р, %"</v>
      </c>
      <c r="H328" t="s">
        <v>684</v>
      </c>
      <c r="I328" t="s">
        <v>695</v>
      </c>
      <c r="J328" t="s">
        <v>334</v>
      </c>
      <c r="K328" t="s">
        <v>691</v>
      </c>
      <c r="L328" t="str">
        <f>'  Експорт IT + Мігранти'!S10</f>
        <v>р-р, %</v>
      </c>
    </row>
    <row r="329" spans="2:46" x14ac:dyDescent="0.35">
      <c r="D329" t="str">
        <f>CHAR(34)&amp;J329&amp;CHAR(34)&amp;": "&amp;E329</f>
        <v>"RU": {"label_1": "Переводы мигрантов, $ млн", "label_2": "г-г, %"}</v>
      </c>
      <c r="E329" t="str">
        <f>"{"&amp;_xlfn.TEXTJOIN(", ",TRUE,F329:F330)&amp;"}"</f>
        <v>{"label_1": "Переводы мигрантов, $ млн", "label_2": "г-г, %"}</v>
      </c>
      <c r="F329" t="str">
        <f t="shared" si="88"/>
        <v>"label_1": "Переводы мигрантов, $ млн"</v>
      </c>
      <c r="H329" t="s">
        <v>684</v>
      </c>
      <c r="I329" t="s">
        <v>695</v>
      </c>
      <c r="J329" t="s">
        <v>336</v>
      </c>
      <c r="K329" t="s">
        <v>690</v>
      </c>
      <c r="L329" t="str">
        <f>'  Експорт IT + Мігранти'!Q11</f>
        <v>Переводы мигрантов, $ млн</v>
      </c>
    </row>
    <row r="330" spans="2:46" x14ac:dyDescent="0.35">
      <c r="F330" t="str">
        <f t="shared" si="88"/>
        <v>"label_2": "г-г, %"</v>
      </c>
      <c r="H330" t="s">
        <v>684</v>
      </c>
      <c r="I330" t="s">
        <v>695</v>
      </c>
      <c r="J330" t="s">
        <v>336</v>
      </c>
      <c r="K330" t="s">
        <v>691</v>
      </c>
      <c r="L330" t="str">
        <f>'  Експорт IT + Мігранти'!Q10</f>
        <v>г-г, %</v>
      </c>
    </row>
    <row r="331" spans="2:46" x14ac:dyDescent="0.35">
      <c r="D331" t="str">
        <f>CHAR(34)&amp;J331&amp;CHAR(34)&amp;": "&amp;E331</f>
        <v>"ENG": {"label_1": "Migrants' transfers, $Mln", "label_2": "YoY, %"}</v>
      </c>
      <c r="E331" t="str">
        <f>"{"&amp;_xlfn.TEXTJOIN(", ",TRUE,F331:F332)&amp;"}"</f>
        <v>{"label_1": "Migrants' transfers, $Mln", "label_2": "YoY, %"}</v>
      </c>
      <c r="F331" t="str">
        <f t="shared" si="88"/>
        <v>"label_1": "Migrants' transfers, $Mln"</v>
      </c>
      <c r="H331" t="s">
        <v>684</v>
      </c>
      <c r="I331" t="s">
        <v>695</v>
      </c>
      <c r="J331" t="s">
        <v>337</v>
      </c>
      <c r="K331" t="s">
        <v>690</v>
      </c>
      <c r="L331" t="str">
        <f>'  Експорт IT + Мігранти'!R11</f>
        <v>Migrants' transfers, $Mln</v>
      </c>
    </row>
    <row r="332" spans="2:46" x14ac:dyDescent="0.35">
      <c r="F332" t="str">
        <f t="shared" si="88"/>
        <v>"label_2": "YoY, %"</v>
      </c>
      <c r="H332" t="s">
        <v>684</v>
      </c>
      <c r="I332" t="s">
        <v>695</v>
      </c>
      <c r="J332" t="s">
        <v>337</v>
      </c>
      <c r="K332" t="s">
        <v>691</v>
      </c>
      <c r="L332" t="str">
        <f>'  Експорт IT + Мігранти'!R10</f>
        <v>YoY, %</v>
      </c>
    </row>
    <row r="334" spans="2:46" x14ac:dyDescent="0.35">
      <c r="B334" t="str">
        <f>CHAR(34)&amp;I334&amp;CHAR(34)&amp;": "&amp;C334</f>
        <v>"source": {"UKR": "Джерело: НБУ, розрахунки Ukraine Economic Outlook", "RU": "Источник: НБУ, расчеты Ukraine Economic Outlook", "ENG": "Source: NBU, Ukraine Economic Outlook calculations"}</v>
      </c>
      <c r="C334" t="str">
        <f>"{"&amp;_xlfn.TEXTJOIN(", ",TRUE,F334:F336)&amp;"}"</f>
        <v>{"UKR": "Джерело: НБУ, розрахунки Ukraine Economic Outlook", "RU": "Источник: НБУ, расчеты Ukraine Economic Outlook", "ENG": "Source: NBU, Ukraine Economic Outlook calculations"}</v>
      </c>
      <c r="F334" t="str">
        <f>CHAR(34)&amp;J334&amp;CHAR(34)&amp;": "&amp;CHAR(34)&amp;K334&amp;CHAR(34)</f>
        <v>"UKR": "Джерело: НБУ, розрахунки Ukraine Economic Outlook"</v>
      </c>
      <c r="H334" t="s">
        <v>684</v>
      </c>
      <c r="I334" t="s">
        <v>696</v>
      </c>
      <c r="J334" t="s">
        <v>334</v>
      </c>
      <c r="K334" t="str">
        <f>K266</f>
        <v>Джерело: НБУ, розрахунки Ukraine Economic Outlook</v>
      </c>
    </row>
    <row r="335" spans="2:46" x14ac:dyDescent="0.35">
      <c r="F335" t="str">
        <f t="shared" ref="F335:F336" si="89">CHAR(34)&amp;J335&amp;CHAR(34)&amp;": "&amp;CHAR(34)&amp;K335&amp;CHAR(34)</f>
        <v>"RU": "Источник: НБУ, расчеты Ukraine Economic Outlook"</v>
      </c>
      <c r="H335" t="s">
        <v>684</v>
      </c>
      <c r="I335" t="s">
        <v>696</v>
      </c>
      <c r="J335" t="s">
        <v>336</v>
      </c>
      <c r="K335" t="str">
        <f t="shared" ref="K335:K336" si="90">K267</f>
        <v>Источник: НБУ, расчеты Ukraine Economic Outlook</v>
      </c>
    </row>
    <row r="336" spans="2:46" x14ac:dyDescent="0.35">
      <c r="F336" t="str">
        <f t="shared" si="89"/>
        <v>"ENG": "Source: NBU, Ukraine Economic Outlook calculations"</v>
      </c>
      <c r="H336" t="s">
        <v>684</v>
      </c>
      <c r="I336" t="s">
        <v>696</v>
      </c>
      <c r="J336" t="s">
        <v>337</v>
      </c>
      <c r="K336" t="str">
        <f t="shared" si="90"/>
        <v>Source: NBU, Ukraine Economic Outlook calculations</v>
      </c>
    </row>
    <row r="338" spans="1:58" x14ac:dyDescent="0.35">
      <c r="A338" s="1395"/>
      <c r="B338" s="1395"/>
      <c r="C338" s="1395"/>
      <c r="D338" s="1395"/>
      <c r="E338" s="1395"/>
      <c r="F338" s="1395"/>
      <c r="G338" s="1395"/>
    </row>
    <row r="339" spans="1:58" x14ac:dyDescent="0.35">
      <c r="A339" t="str">
        <f>"{"&amp;CHAR(34)&amp;H339&amp;CHAR(34)&amp;": "&amp;B339&amp;"}"</f>
        <v>{"Chart1": {"name": {"UKR": "Імпорт послуг, вимушені мігранти, $ млрд", "RU": "Импорт услуг, вынужденные мигранты, $ млрд", "ENG": "Import of services, forced migrants, $Bln"},"indexes": {"index_0": [2021, 2021, 2021, 2021, 2021, 2021, 2021, 2021, 2021, 2021, 2021, 2021, 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12, 1, 2, 3, 4, 5, 6, 7, 8, 9, 10, 11, 12]},"labels": {"label_1": [0.39, 0.383, 0.438, 0.448, 0.505, 0.562, 0.607, 0.688, 0.629, 0.565, 0.516, 0.52, 0.704, 0.814, 1.627, 1.667, 1.938, 1.917, 1.829, 1.788, 1.798, 1.792, 1.855, 2.107, 2.056, 1.987, 1.577, 1.339, 1.369, 1.338, 1.364, 1.354, 1.318, 1.286, 1.383, 1.54272666, 1.35169379419163, 1.35746860313262, 1.32789654647892, 1.26697603309206, 1.29257028969597, 1.30548610944057, 1.29198921595604, 1.31646341564606, 1.34759828093374, 1.24655324199083, 1.24140017522057, 1.45034035702327]},"label_names": {"UKR": {"label_1": "Імпорт послуг, вимушені мігранти, $ млрд"}, "RU": {"label_1": "Импорт услуг, вынужденные мигранты, $ млрд"}, "ENG": {"label_1": "Import of services, forced migrants, $Bln"}},"source": {"UKR": "Джерело: НБУ, розрахунки Ukraine Economic Outlook", "RU": "Источник: НБУ, расчеты Ukraine Economic Outlook", "ENG": "Source: NBU, Ukraine Economic Outlook calculations"}}}</v>
      </c>
      <c r="B339" t="str">
        <f>"{"&amp;_xlfn.TEXTJOIN(",",TRUE,B340:B355)&amp;"}"</f>
        <v>{"name": {"UKR": "Імпорт послуг, вимушені мігранти, $ млрд", "RU": "Импорт услуг, вынужденные мигранты, $ млрд", "ENG": "Import of services, forced migrants, $Bln"},"indexes": {"index_0": [2021, 2021, 2021, 2021, 2021, 2021, 2021, 2021, 2021, 2021, 2021, 2021, 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12, 1, 2, 3, 4, 5, 6, 7, 8, 9, 10, 11, 12]},"labels": {"label_1": [0.39, 0.383, 0.438, 0.448, 0.505, 0.562, 0.607, 0.688, 0.629, 0.565, 0.516, 0.52, 0.704, 0.814, 1.627, 1.667, 1.938, 1.917, 1.829, 1.788, 1.798, 1.792, 1.855, 2.107, 2.056, 1.987, 1.577, 1.339, 1.369, 1.338, 1.364, 1.354, 1.318, 1.286, 1.383, 1.54272666, 1.35169379419163, 1.35746860313262, 1.32789654647892, 1.26697603309206, 1.29257028969597, 1.30548610944057, 1.29198921595604, 1.31646341564606, 1.34759828093374, 1.24655324199083, 1.24140017522057, 1.45034035702327]},"label_names": {"UKR": {"label_1": "Імпорт послуг, вимушені мігранти, $ млрд"}, "RU": {"label_1": "Импорт услуг, вынужденные мигранты, $ млрд"}, "ENG": {"label_1": "Import of services, forced migrants, $Bln"}},"source": {"UKR": "Джерело: НБУ, розрахунки Ukraine Economic Outlook", "RU": "Источник: НБУ, расчеты Ukraine Economic Outlook", "ENG": "Source: NBU, Ukraine Economic Outlook calculations"}}</v>
      </c>
      <c r="H339" t="s">
        <v>684</v>
      </c>
    </row>
    <row r="340" spans="1:58" x14ac:dyDescent="0.35">
      <c r="B340" t="str">
        <f>CHAR(34)&amp;I340&amp;CHAR(34)&amp;": "&amp;C340</f>
        <v>"name": {"UKR": "Імпорт послуг, вимушені мігранти, $ млрд", "RU": "Импорт услуг, вынужденные мигранты, $ млрд", "ENG": "Import of services, forced migrants, $Bln"}</v>
      </c>
      <c r="C340" t="str">
        <f>"{"&amp;_xlfn.TEXTJOIN(", ",TRUE,F340:F342)&amp;"}"</f>
        <v>{"UKR": "Імпорт послуг, вимушені мігранти, $ млрд", "RU": "Импорт услуг, вынужденные мигранты, $ млрд", "ENG": "Import of services, forced migrants, $Bln"}</v>
      </c>
      <c r="F340" t="str">
        <f>CHAR(34)&amp;J340&amp;CHAR(34)&amp;": "&amp;CHAR(34)&amp;K340&amp;CHAR(34)</f>
        <v>"UKR": "Імпорт послуг, вимушені мігранти, $ млрд"</v>
      </c>
      <c r="H340" t="s">
        <v>684</v>
      </c>
      <c r="I340" t="s">
        <v>685</v>
      </c>
      <c r="J340" t="s">
        <v>334</v>
      </c>
      <c r="K340" t="s">
        <v>764</v>
      </c>
    </row>
    <row r="341" spans="1:58" x14ac:dyDescent="0.35">
      <c r="F341" t="str">
        <f t="shared" ref="F341:F342" si="91">CHAR(34)&amp;J341&amp;CHAR(34)&amp;": "&amp;CHAR(34)&amp;K341&amp;CHAR(34)</f>
        <v>"RU": "Импорт услуг, вынужденные мигранты, $ млрд"</v>
      </c>
      <c r="H341" t="s">
        <v>684</v>
      </c>
      <c r="I341" t="s">
        <v>685</v>
      </c>
      <c r="J341" t="s">
        <v>336</v>
      </c>
      <c r="K341" t="s">
        <v>765</v>
      </c>
    </row>
    <row r="342" spans="1:58" x14ac:dyDescent="0.35">
      <c r="F342" t="str">
        <f t="shared" si="91"/>
        <v>"ENG": "Import of services, forced migrants, $Bln"</v>
      </c>
      <c r="H342" t="s">
        <v>684</v>
      </c>
      <c r="I342" t="s">
        <v>685</v>
      </c>
      <c r="J342" t="s">
        <v>337</v>
      </c>
      <c r="K342" t="s">
        <v>766</v>
      </c>
    </row>
    <row r="344" spans="1:58" x14ac:dyDescent="0.35">
      <c r="B344" t="str">
        <f>CHAR(34)&amp;I344&amp;CHAR(34)&amp;": "&amp;C344</f>
        <v>"indexes": {"index_0": [2021, 2021, 2021, 2021, 2021, 2021, 2021, 2021, 2021, 2021, 2021, 2021, 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12, 1, 2, 3, 4, 5, 6, 7, 8, 9, 10, 11, 12]}</v>
      </c>
      <c r="C344" t="str">
        <f>"{"&amp;_xlfn.TEXTJOIN(", ",TRUE,E344:E345)&amp;"}"</f>
        <v>{"index_0": [2021, 2021, 2021, 2021, 2021, 2021, 2021, 2021, 2021, 2021, 2021, 2021, 2022, 2022, 2022, 2022, 2022, 2022, 2022, 2022, 2022, 2022, 2022, 2022, 2023, 2023, 2023, 2023, 2023, 2023, 2023, 2023, 2023, 2023, 2023, 2023, 2024, 2024, 2024, 2024, 2024, 2024, 2024, 2024, 2024, 2024, 2024, 2024], "index_1": [1, 2, 3, 4, 5, 6, 7, 8, 9, 10, 11, 12, 1, 2, 3, 4, 5, 6, 7, 8, 9, 10, 11, 12, 1, 2, 3, 4, 5, 6, 7, 8, 9, 10, 11, 12, 1, 2, 3, 4, 5, 6, 7, 8, 9, 10, 11, 12]}</v>
      </c>
      <c r="E344" t="str">
        <f>CHAR(34)&amp;J344&amp;CHAR(34)&amp;": "&amp;F344</f>
        <v>"index_0": [2021, 2021, 2021, 2021, 2021, 2021, 2021, 2021, 2021, 2021, 2021, 2021, 2022, 2022, 2022, 2022, 2022, 2022, 2022, 2022, 2022, 2022, 2022, 2022, 2023, 2023, 2023, 2023, 2023, 2023, 2023, 2023, 2023, 2023, 2023, 2023, 2024, 2024, 2024, 2024, 2024, 2024, 2024, 2024, 2024, 2024, 2024, 2024]</v>
      </c>
      <c r="F344" s="1" t="str" cm="1">
        <f t="array" ref="F344">"["&amp;_xlfn.TEXTJOIN(", ",FALSE,SUBSTITUTE(K344:BF344,",","."))&amp;"]"</f>
        <v>[2021, 2021, 2021, 2021, 2021, 2021, 2021, 2021, 2021, 2021, 2021, 2021, 2022, 2022, 2022, 2022, 2022, 2022, 2022, 2022, 2022, 2022, 2022, 2022, 2023, 2023, 2023, 2023, 2023, 2023, 2023, 2023, 2023, 2023, 2023, 2023, 2024, 2024, 2024, 2024, 2024, 2024, 2024, 2024, 2024, 2024, 2024, 2024]</v>
      </c>
      <c r="H344" t="s">
        <v>684</v>
      </c>
      <c r="I344" t="s">
        <v>686</v>
      </c>
      <c r="J344" t="s">
        <v>687</v>
      </c>
      <c r="K344">
        <f>K100</f>
        <v>2021</v>
      </c>
      <c r="L344">
        <f t="shared" ref="L344:AK344" si="92">L100</f>
        <v>2021</v>
      </c>
      <c r="M344">
        <f t="shared" si="92"/>
        <v>2021</v>
      </c>
      <c r="N344">
        <f t="shared" si="92"/>
        <v>2021</v>
      </c>
      <c r="O344">
        <f t="shared" si="92"/>
        <v>2021</v>
      </c>
      <c r="P344">
        <f t="shared" si="92"/>
        <v>2021</v>
      </c>
      <c r="Q344">
        <f t="shared" si="92"/>
        <v>2021</v>
      </c>
      <c r="R344">
        <f t="shared" si="92"/>
        <v>2021</v>
      </c>
      <c r="S344">
        <f t="shared" si="92"/>
        <v>2021</v>
      </c>
      <c r="T344">
        <f t="shared" si="92"/>
        <v>2021</v>
      </c>
      <c r="U344">
        <f t="shared" si="92"/>
        <v>2021</v>
      </c>
      <c r="V344">
        <f t="shared" si="92"/>
        <v>2021</v>
      </c>
      <c r="W344">
        <f t="shared" si="92"/>
        <v>2022</v>
      </c>
      <c r="X344">
        <f t="shared" si="92"/>
        <v>2022</v>
      </c>
      <c r="Y344">
        <f t="shared" si="92"/>
        <v>2022</v>
      </c>
      <c r="Z344">
        <f t="shared" si="92"/>
        <v>2022</v>
      </c>
      <c r="AA344">
        <f t="shared" si="92"/>
        <v>2022</v>
      </c>
      <c r="AB344">
        <f t="shared" si="92"/>
        <v>2022</v>
      </c>
      <c r="AC344">
        <f t="shared" si="92"/>
        <v>2022</v>
      </c>
      <c r="AD344">
        <f t="shared" si="92"/>
        <v>2022</v>
      </c>
      <c r="AE344">
        <f t="shared" si="92"/>
        <v>2022</v>
      </c>
      <c r="AF344">
        <f t="shared" si="92"/>
        <v>2022</v>
      </c>
      <c r="AG344">
        <f t="shared" si="92"/>
        <v>2022</v>
      </c>
      <c r="AH344">
        <f t="shared" si="92"/>
        <v>2022</v>
      </c>
      <c r="AI344">
        <f t="shared" si="92"/>
        <v>2023</v>
      </c>
      <c r="AJ344">
        <f t="shared" si="92"/>
        <v>2023</v>
      </c>
      <c r="AK344">
        <f t="shared" si="92"/>
        <v>2023</v>
      </c>
      <c r="AL344">
        <f>AL100</f>
        <v>2023</v>
      </c>
      <c r="AM344">
        <f t="shared" ref="AM344:BB344" si="93">AM100</f>
        <v>2023</v>
      </c>
      <c r="AN344">
        <f t="shared" si="93"/>
        <v>2023</v>
      </c>
      <c r="AO344">
        <f t="shared" si="93"/>
        <v>2023</v>
      </c>
      <c r="AP344">
        <f t="shared" si="93"/>
        <v>2023</v>
      </c>
      <c r="AQ344">
        <f t="shared" si="93"/>
        <v>2023</v>
      </c>
      <c r="AR344">
        <f t="shared" si="93"/>
        <v>2023</v>
      </c>
      <c r="AS344">
        <f t="shared" si="93"/>
        <v>2023</v>
      </c>
      <c r="AT344">
        <f t="shared" si="93"/>
        <v>2023</v>
      </c>
      <c r="AU344">
        <f t="shared" si="93"/>
        <v>2024</v>
      </c>
      <c r="AV344">
        <f t="shared" si="93"/>
        <v>2024</v>
      </c>
      <c r="AW344">
        <f t="shared" si="93"/>
        <v>2024</v>
      </c>
      <c r="AX344">
        <f t="shared" si="93"/>
        <v>2024</v>
      </c>
      <c r="AY344">
        <f t="shared" si="93"/>
        <v>2024</v>
      </c>
      <c r="AZ344">
        <f t="shared" si="93"/>
        <v>2024</v>
      </c>
      <c r="BA344">
        <f t="shared" si="93"/>
        <v>2024</v>
      </c>
      <c r="BB344">
        <f t="shared" si="93"/>
        <v>2024</v>
      </c>
      <c r="BC344">
        <f>BC100</f>
        <v>2024</v>
      </c>
      <c r="BD344">
        <f t="shared" ref="BD344:BF344" si="94">BD100</f>
        <v>2024</v>
      </c>
      <c r="BE344">
        <f t="shared" si="94"/>
        <v>2024</v>
      </c>
      <c r="BF344">
        <f t="shared" si="94"/>
        <v>2024</v>
      </c>
    </row>
    <row r="345" spans="1:58" x14ac:dyDescent="0.35">
      <c r="E345" t="str">
        <f>CHAR(34)&amp;J345&amp;CHAR(34)&amp;": "&amp;F345</f>
        <v>"index_1": [1, 2, 3, 4, 5, 6, 7, 8, 9, 10, 11, 12, 1, 2, 3, 4, 5, 6, 7, 8, 9, 10, 11, 12, 1, 2, 3, 4, 5, 6, 7, 8, 9, 10, 11, 12, 1, 2, 3, 4, 5, 6, 7, 8, 9, 10, 11, 12]</v>
      </c>
      <c r="F345" s="1" t="str" cm="1">
        <f t="array" ref="F345">"["&amp;_xlfn.TEXTJOIN(", ",FALSE,SUBSTITUTE(K345:BF345,",","."))&amp;"]"</f>
        <v>[1, 2, 3, 4, 5, 6, 7, 8, 9, 10, 11, 12, 1, 2, 3, 4, 5, 6, 7, 8, 9, 10, 11, 12, 1, 2, 3, 4, 5, 6, 7, 8, 9, 10, 11, 12, 1, 2, 3, 4, 5, 6, 7, 8, 9, 10, 11, 12]</v>
      </c>
      <c r="H345" t="s">
        <v>684</v>
      </c>
      <c r="I345" t="s">
        <v>686</v>
      </c>
      <c r="J345" t="s">
        <v>688</v>
      </c>
      <c r="K345">
        <f>K101</f>
        <v>1</v>
      </c>
      <c r="L345">
        <f t="shared" ref="L345:AK345" si="95">L101</f>
        <v>2</v>
      </c>
      <c r="M345">
        <f t="shared" si="95"/>
        <v>3</v>
      </c>
      <c r="N345">
        <f t="shared" si="95"/>
        <v>4</v>
      </c>
      <c r="O345">
        <f t="shared" si="95"/>
        <v>5</v>
      </c>
      <c r="P345">
        <f t="shared" si="95"/>
        <v>6</v>
      </c>
      <c r="Q345">
        <f t="shared" si="95"/>
        <v>7</v>
      </c>
      <c r="R345">
        <f t="shared" si="95"/>
        <v>8</v>
      </c>
      <c r="S345">
        <f t="shared" si="95"/>
        <v>9</v>
      </c>
      <c r="T345">
        <f t="shared" si="95"/>
        <v>10</v>
      </c>
      <c r="U345">
        <f t="shared" si="95"/>
        <v>11</v>
      </c>
      <c r="V345">
        <f t="shared" si="95"/>
        <v>12</v>
      </c>
      <c r="W345">
        <f t="shared" si="95"/>
        <v>1</v>
      </c>
      <c r="X345">
        <f t="shared" si="95"/>
        <v>2</v>
      </c>
      <c r="Y345">
        <f t="shared" si="95"/>
        <v>3</v>
      </c>
      <c r="Z345">
        <f t="shared" si="95"/>
        <v>4</v>
      </c>
      <c r="AA345">
        <f t="shared" si="95"/>
        <v>5</v>
      </c>
      <c r="AB345">
        <f t="shared" si="95"/>
        <v>6</v>
      </c>
      <c r="AC345">
        <f t="shared" si="95"/>
        <v>7</v>
      </c>
      <c r="AD345">
        <f t="shared" si="95"/>
        <v>8</v>
      </c>
      <c r="AE345">
        <f t="shared" si="95"/>
        <v>9</v>
      </c>
      <c r="AF345">
        <f t="shared" si="95"/>
        <v>10</v>
      </c>
      <c r="AG345">
        <f t="shared" si="95"/>
        <v>11</v>
      </c>
      <c r="AH345">
        <f t="shared" si="95"/>
        <v>12</v>
      </c>
      <c r="AI345">
        <f t="shared" si="95"/>
        <v>1</v>
      </c>
      <c r="AJ345">
        <f t="shared" si="95"/>
        <v>2</v>
      </c>
      <c r="AK345">
        <f t="shared" si="95"/>
        <v>3</v>
      </c>
      <c r="AL345">
        <f>AL101</f>
        <v>4</v>
      </c>
      <c r="AM345">
        <f t="shared" ref="AM345:BB345" si="96">AM101</f>
        <v>5</v>
      </c>
      <c r="AN345">
        <f t="shared" si="96"/>
        <v>6</v>
      </c>
      <c r="AO345">
        <f t="shared" si="96"/>
        <v>7</v>
      </c>
      <c r="AP345">
        <f t="shared" si="96"/>
        <v>8</v>
      </c>
      <c r="AQ345">
        <f t="shared" si="96"/>
        <v>9</v>
      </c>
      <c r="AR345">
        <f t="shared" si="96"/>
        <v>10</v>
      </c>
      <c r="AS345">
        <f t="shared" si="96"/>
        <v>11</v>
      </c>
      <c r="AT345">
        <f t="shared" si="96"/>
        <v>12</v>
      </c>
      <c r="AU345">
        <f t="shared" si="96"/>
        <v>1</v>
      </c>
      <c r="AV345">
        <f t="shared" si="96"/>
        <v>2</v>
      </c>
      <c r="AW345">
        <f t="shared" si="96"/>
        <v>3</v>
      </c>
      <c r="AX345">
        <f t="shared" si="96"/>
        <v>4</v>
      </c>
      <c r="AY345">
        <f t="shared" si="96"/>
        <v>5</v>
      </c>
      <c r="AZ345">
        <f t="shared" si="96"/>
        <v>6</v>
      </c>
      <c r="BA345">
        <f t="shared" si="96"/>
        <v>7</v>
      </c>
      <c r="BB345">
        <f t="shared" si="96"/>
        <v>8</v>
      </c>
      <c r="BC345">
        <f>BC101</f>
        <v>9</v>
      </c>
      <c r="BD345">
        <f t="shared" ref="BD345:BF345" si="97">BD101</f>
        <v>10</v>
      </c>
      <c r="BE345">
        <f t="shared" si="97"/>
        <v>11</v>
      </c>
      <c r="BF345">
        <f t="shared" si="97"/>
        <v>12</v>
      </c>
    </row>
    <row r="346" spans="1:58" x14ac:dyDescent="0.35">
      <c r="F346" s="1"/>
    </row>
    <row r="347" spans="1:58" x14ac:dyDescent="0.35">
      <c r="B347" t="str">
        <f>CHAR(34)&amp;I347&amp;CHAR(34)&amp;": "&amp;C347</f>
        <v>"labels": {"label_1": [0.39, 0.383, 0.438, 0.448, 0.505, 0.562, 0.607, 0.688, 0.629, 0.565, 0.516, 0.52, 0.704, 0.814, 1.627, 1.667, 1.938, 1.917, 1.829, 1.788, 1.798, 1.792, 1.855, 2.107, 2.056, 1.987, 1.577, 1.339, 1.369, 1.338, 1.364, 1.354, 1.318, 1.286, 1.383, 1.54272666, 1.35169379419163, 1.35746860313262, 1.32789654647892, 1.26697603309206, 1.29257028969597, 1.30548610944057, 1.29198921595604, 1.31646341564606, 1.34759828093374, 1.24655324199083, 1.24140017522057, 1.45034035702327]}</v>
      </c>
      <c r="C347" t="str">
        <f>"{"&amp;_xlfn.TEXTJOIN(", ",TRUE,E347:E347)&amp;"}"</f>
        <v>{"label_1": [0.39, 0.383, 0.438, 0.448, 0.505, 0.562, 0.607, 0.688, 0.629, 0.565, 0.516, 0.52, 0.704, 0.814, 1.627, 1.667, 1.938, 1.917, 1.829, 1.788, 1.798, 1.792, 1.855, 2.107, 2.056, 1.987, 1.577, 1.339, 1.369, 1.338, 1.364, 1.354, 1.318, 1.286, 1.383, 1.54272666, 1.35169379419163, 1.35746860313262, 1.32789654647892, 1.26697603309206, 1.29257028969597, 1.30548610944057, 1.29198921595604, 1.31646341564606, 1.34759828093374, 1.24655324199083, 1.24140017522057, 1.45034035702327]}</v>
      </c>
      <c r="E347" t="str">
        <f>CHAR(34)&amp;J347&amp;CHAR(34)&amp;": "&amp;F347</f>
        <v>"label_1": [0.39, 0.383, 0.438, 0.448, 0.505, 0.562, 0.607, 0.688, 0.629, 0.565, 0.516, 0.52, 0.704, 0.814, 1.627, 1.667, 1.938, 1.917, 1.829, 1.788, 1.798, 1.792, 1.855, 2.107, 2.056, 1.987, 1.577, 1.339, 1.369, 1.338, 1.364, 1.354, 1.318, 1.286, 1.383, 1.54272666, 1.35169379419163, 1.35746860313262, 1.32789654647892, 1.26697603309206, 1.29257028969597, 1.30548610944057, 1.29198921595604, 1.31646341564606, 1.34759828093374, 1.24655324199083, 1.24140017522057, 1.45034035702327]</v>
      </c>
      <c r="F347" s="1" t="str" cm="1">
        <f t="array" ref="F347">"["&amp;_xlfn.TEXTJOIN(", ",FALSE,SUBSTITUTE(K347:BF347,",","."))&amp;"]"</f>
        <v>[0.39, 0.383, 0.438, 0.448, 0.505, 0.562, 0.607, 0.688, 0.629, 0.565, 0.516, 0.52, 0.704, 0.814, 1.627, 1.667, 1.938, 1.917, 1.829, 1.788, 1.798, 1.792, 1.855, 2.107, 2.056, 1.987, 1.577, 1.339, 1.369, 1.338, 1.364, 1.354, 1.318, 1.286, 1.383, 1.54272666, 1.35169379419163, 1.35746860313262, 1.32789654647892, 1.26697603309206, 1.29257028969597, 1.30548610944057, 1.29198921595604, 1.31646341564606, 1.34759828093374, 1.24655324199083, 1.24140017522057, 1.45034035702327]</v>
      </c>
      <c r="H347" t="s">
        <v>684</v>
      </c>
      <c r="I347" t="s">
        <v>689</v>
      </c>
      <c r="J347" t="s">
        <v>690</v>
      </c>
      <c r="K347" cm="1">
        <f t="array" ref="K347:V347">'Імпорт послуг'!B3:M3</f>
        <v>0.39</v>
      </c>
      <c r="L347">
        <v>0.38300000000000001</v>
      </c>
      <c r="M347">
        <v>0.438</v>
      </c>
      <c r="N347">
        <v>0.44800000000000001</v>
      </c>
      <c r="O347">
        <v>0.505</v>
      </c>
      <c r="P347">
        <v>0.56200000000000006</v>
      </c>
      <c r="Q347">
        <v>0.60699999999999998</v>
      </c>
      <c r="R347">
        <v>0.68799999999999994</v>
      </c>
      <c r="S347">
        <v>0.629</v>
      </c>
      <c r="T347">
        <v>0.56499999999999995</v>
      </c>
      <c r="U347">
        <v>0.51600000000000001</v>
      </c>
      <c r="V347">
        <v>0.52</v>
      </c>
      <c r="W347" cm="1">
        <f t="array" ref="W347:AH347">'Імпорт послуг'!B4:M4</f>
        <v>0.70399999999999996</v>
      </c>
      <c r="X347">
        <v>0.81399999999999995</v>
      </c>
      <c r="Y347">
        <v>1.627</v>
      </c>
      <c r="Z347">
        <v>1.667</v>
      </c>
      <c r="AA347">
        <v>1.9379999999999999</v>
      </c>
      <c r="AB347">
        <v>1.917</v>
      </c>
      <c r="AC347">
        <v>1.829</v>
      </c>
      <c r="AD347">
        <v>1.788</v>
      </c>
      <c r="AE347">
        <v>1.798</v>
      </c>
      <c r="AF347">
        <v>1.792</v>
      </c>
      <c r="AG347">
        <v>1.855</v>
      </c>
      <c r="AH347">
        <v>2.1070000000000002</v>
      </c>
      <c r="AI347" cm="1">
        <f t="array" ref="AI347:AT347">'Імпорт послуг'!B5:M5</f>
        <v>2.056</v>
      </c>
      <c r="AJ347">
        <v>1.9870000000000001</v>
      </c>
      <c r="AK347">
        <v>1.577</v>
      </c>
      <c r="AL347">
        <v>1.339</v>
      </c>
      <c r="AM347">
        <v>1.369</v>
      </c>
      <c r="AN347">
        <v>1.3380000000000001</v>
      </c>
      <c r="AO347">
        <v>1.3640000000000001</v>
      </c>
      <c r="AP347">
        <v>1.3540000000000001</v>
      </c>
      <c r="AQ347">
        <v>1.3180000000000001</v>
      </c>
      <c r="AR347">
        <v>1.286</v>
      </c>
      <c r="AS347">
        <v>1.383</v>
      </c>
      <c r="AT347">
        <v>1.54272666</v>
      </c>
      <c r="AU347" cm="1">
        <f t="array" ref="AU347:BF347">'Імпорт послуг'!B6:M6</f>
        <v>1.3516937941916294</v>
      </c>
      <c r="AV347">
        <v>1.3574686031326169</v>
      </c>
      <c r="AW347">
        <v>1.3278965464789223</v>
      </c>
      <c r="AX347">
        <v>1.2669760330920623</v>
      </c>
      <c r="AY347">
        <v>1.2925702896959703</v>
      </c>
      <c r="AZ347">
        <v>1.3054861094405696</v>
      </c>
      <c r="BA347">
        <v>1.2919892159560369</v>
      </c>
      <c r="BB347">
        <v>1.31646341564606</v>
      </c>
      <c r="BC347">
        <v>1.3475982809337443</v>
      </c>
      <c r="BD347">
        <v>1.2465532419908256</v>
      </c>
      <c r="BE347">
        <v>1.2414001752205734</v>
      </c>
      <c r="BF347">
        <v>1.4503403570232736</v>
      </c>
    </row>
    <row r="349" spans="1:58" x14ac:dyDescent="0.35">
      <c r="B349" t="str">
        <f>CHAR(34)&amp;I349&amp;CHAR(34)&amp;": "&amp;C349</f>
        <v>"label_names": {"UKR": {"label_1": "Імпорт послуг, вимушені мігранти, $ млрд"}, "RU": {"label_1": "Импорт услуг, вынужденные мигранты, $ млрд"}, "ENG": {"label_1": "Import of services, forced migrants, $Bln"}}</v>
      </c>
      <c r="C349" t="str">
        <f>"{"&amp;_xlfn.TEXTJOIN(", ",TRUE,D349:D351)&amp;"}"</f>
        <v>{"UKR": {"label_1": "Імпорт послуг, вимушені мігранти, $ млрд"}, "RU": {"label_1": "Импорт услуг, вынужденные мигранты, $ млрд"}, "ENG": {"label_1": "Import of services, forced migrants, $Bln"}}</v>
      </c>
      <c r="D349" t="str">
        <f>CHAR(34)&amp;J349&amp;CHAR(34)&amp;": "&amp;E349</f>
        <v>"UKR": {"label_1": "Імпорт послуг, вимушені мігранти, $ млрд"}</v>
      </c>
      <c r="E349" t="str">
        <f>"{"&amp;_xlfn.TEXTJOIN(", ",TRUE,F349:F349)&amp;"}"</f>
        <v>{"label_1": "Імпорт послуг, вимушені мігранти, $ млрд"}</v>
      </c>
      <c r="F349" t="str">
        <f>CHAR(34)&amp;K349&amp;CHAR(34)&amp;": "&amp;CHAR(34)&amp;L349&amp;CHAR(34)</f>
        <v>"label_1": "Імпорт послуг, вимушені мігранти, $ млрд"</v>
      </c>
      <c r="H349" t="s">
        <v>684</v>
      </c>
      <c r="I349" t="s">
        <v>695</v>
      </c>
      <c r="J349" t="s">
        <v>334</v>
      </c>
      <c r="K349" t="s">
        <v>690</v>
      </c>
      <c r="L349" t="str">
        <f>K340</f>
        <v>Імпорт послуг, вимушені мігранти, $ млрд</v>
      </c>
    </row>
    <row r="350" spans="1:58" x14ac:dyDescent="0.35">
      <c r="D350" t="str">
        <f>CHAR(34)&amp;J350&amp;CHAR(34)&amp;": "&amp;E350</f>
        <v>"RU": {"label_1": "Импорт услуг, вынужденные мигранты, $ млрд"}</v>
      </c>
      <c r="E350" t="str">
        <f>"{"&amp;_xlfn.TEXTJOIN(", ",TRUE,F350:F350)&amp;"}"</f>
        <v>{"label_1": "Импорт услуг, вынужденные мигранты, $ млрд"}</v>
      </c>
      <c r="F350" t="str">
        <f t="shared" ref="F350:F351" si="98">CHAR(34)&amp;K350&amp;CHAR(34)&amp;": "&amp;CHAR(34)&amp;L350&amp;CHAR(34)</f>
        <v>"label_1": "Импорт услуг, вынужденные мигранты, $ млрд"</v>
      </c>
      <c r="H350" t="s">
        <v>684</v>
      </c>
      <c r="I350" t="s">
        <v>695</v>
      </c>
      <c r="J350" t="s">
        <v>336</v>
      </c>
      <c r="K350" t="s">
        <v>690</v>
      </c>
      <c r="L350" t="str">
        <f t="shared" ref="L350:L351" si="99">K341</f>
        <v>Импорт услуг, вынужденные мигранты, $ млрд</v>
      </c>
    </row>
    <row r="351" spans="1:58" x14ac:dyDescent="0.35">
      <c r="D351" t="str">
        <f>CHAR(34)&amp;J351&amp;CHAR(34)&amp;": "&amp;E351</f>
        <v>"ENG": {"label_1": "Import of services, forced migrants, $Bln"}</v>
      </c>
      <c r="E351" t="str">
        <f>"{"&amp;_xlfn.TEXTJOIN(", ",TRUE,F351:F351)&amp;"}"</f>
        <v>{"label_1": "Import of services, forced migrants, $Bln"}</v>
      </c>
      <c r="F351" t="str">
        <f t="shared" si="98"/>
        <v>"label_1": "Import of services, forced migrants, $Bln"</v>
      </c>
      <c r="H351" t="s">
        <v>684</v>
      </c>
      <c r="I351" t="s">
        <v>695</v>
      </c>
      <c r="J351" t="s">
        <v>337</v>
      </c>
      <c r="K351" t="s">
        <v>690</v>
      </c>
      <c r="L351" t="str">
        <f t="shared" si="99"/>
        <v>Import of services, forced migrants, $Bln</v>
      </c>
    </row>
    <row r="353" spans="2:11" x14ac:dyDescent="0.35">
      <c r="B353" t="str">
        <f>CHAR(34)&amp;I353&amp;CHAR(34)&amp;": "&amp;C353</f>
        <v>"source": {"UKR": "Джерело: НБУ, розрахунки Ukraine Economic Outlook", "RU": "Источник: НБУ, расчеты Ukraine Economic Outlook", "ENG": "Source: NBU, Ukraine Economic Outlook calculations"}</v>
      </c>
      <c r="C353" t="str">
        <f>"{"&amp;_xlfn.TEXTJOIN(", ",TRUE,F353:F355)&amp;"}"</f>
        <v>{"UKR": "Джерело: НБУ, розрахунки Ukraine Economic Outlook", "RU": "Источник: НБУ, расчеты Ukraine Economic Outlook", "ENG": "Source: NBU, Ukraine Economic Outlook calculations"}</v>
      </c>
      <c r="F353" t="str">
        <f>CHAR(34)&amp;J353&amp;CHAR(34)&amp;": "&amp;CHAR(34)&amp;K353&amp;CHAR(34)</f>
        <v>"UKR": "Джерело: НБУ, розрахунки Ukraine Economic Outlook"</v>
      </c>
      <c r="H353" t="s">
        <v>684</v>
      </c>
      <c r="I353" t="s">
        <v>696</v>
      </c>
      <c r="J353" t="s">
        <v>334</v>
      </c>
      <c r="K353" t="str">
        <f>K266</f>
        <v>Джерело: НБУ, розрахунки Ukraine Economic Outlook</v>
      </c>
    </row>
    <row r="354" spans="2:11" x14ac:dyDescent="0.35">
      <c r="F354" t="str">
        <f t="shared" ref="F354:F355" si="100">CHAR(34)&amp;J354&amp;CHAR(34)&amp;": "&amp;CHAR(34)&amp;K354&amp;CHAR(34)</f>
        <v>"RU": "Источник: НБУ, расчеты Ukraine Economic Outlook"</v>
      </c>
      <c r="H354" t="s">
        <v>684</v>
      </c>
      <c r="I354" t="s">
        <v>696</v>
      </c>
      <c r="J354" t="s">
        <v>336</v>
      </c>
      <c r="K354" t="str">
        <f t="shared" ref="K354:K355" si="101">K267</f>
        <v>Источник: НБУ, расчеты Ukraine Economic Outlook</v>
      </c>
    </row>
    <row r="355" spans="2:11" x14ac:dyDescent="0.35">
      <c r="F355" t="str">
        <f t="shared" si="100"/>
        <v>"ENG": "Source: NBU, Ukraine Economic Outlook calculations"</v>
      </c>
      <c r="H355" t="s">
        <v>684</v>
      </c>
      <c r="I355" t="s">
        <v>696</v>
      </c>
      <c r="J355" t="s">
        <v>337</v>
      </c>
      <c r="K355" t="str">
        <f t="shared" si="101"/>
        <v>Source: NBU, Ukraine Economic Outlook calculations</v>
      </c>
    </row>
  </sheetData>
  <autoFilter ref="A2:BF355" xr:uid="{653E60A0-E452-4543-B8BC-F0C0A4B8FA39}"/>
  <phoneticPr fontId="15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51"/>
  <sheetViews>
    <sheetView zoomScale="85" zoomScaleNormal="85" workbookViewId="0"/>
  </sheetViews>
  <sheetFormatPr defaultRowHeight="18" x14ac:dyDescent="0.35"/>
  <cols>
    <col min="12" max="12" width="8.796875" customWidth="1"/>
  </cols>
  <sheetData>
    <row r="1" spans="1:14" x14ac:dyDescent="0.35">
      <c r="A1" s="1253" t="s">
        <v>333</v>
      </c>
      <c r="B1" s="1253" t="s">
        <v>336</v>
      </c>
    </row>
    <row r="2" spans="1:14" x14ac:dyDescent="0.35">
      <c r="A2" s="1254" t="s">
        <v>614</v>
      </c>
      <c r="B2" s="1254"/>
      <c r="C2" s="1254"/>
      <c r="D2" s="1254"/>
      <c r="E2" s="1254"/>
      <c r="F2" s="1254"/>
      <c r="G2" s="1428" t="s">
        <v>335</v>
      </c>
      <c r="H2" s="1428"/>
    </row>
    <row r="3" spans="1:14" ht="18.75" x14ac:dyDescent="0.35">
      <c r="G3" s="338" t="s">
        <v>336</v>
      </c>
      <c r="H3" s="1255" t="s">
        <v>631</v>
      </c>
      <c r="K3" t="s">
        <v>475</v>
      </c>
      <c r="L3" t="str">
        <f>M3&amp;" "&amp;INDEX($H$6:$H$8,MATCH($B$1,$G$6:$G$8,0),1)</f>
        <v>$34 млрд</v>
      </c>
      <c r="M3" s="609" t="str">
        <f>IF($B$1="ENG",SUBSTITUTE(TEXT('ТБ 2023'!O5,"$0"),",","."),TEXT('ТБ 2023'!O5,"$0"))</f>
        <v>$34</v>
      </c>
    </row>
    <row r="4" spans="1:14" ht="18.75" x14ac:dyDescent="0.35">
      <c r="G4" s="338" t="s">
        <v>337</v>
      </c>
      <c r="H4" s="1255" t="s">
        <v>632</v>
      </c>
      <c r="K4" t="s">
        <v>476</v>
      </c>
      <c r="L4" t="str">
        <f>M4&amp;" "&amp;INDEX($H$6:$H$8,MATCH($B$1,$G$6:$G$8,0),1)</f>
        <v>$63 млрд</v>
      </c>
      <c r="M4" s="609" t="str">
        <f>IF($B$1="ENG",SUBSTITUTE(TEXT('ТБ 2023'!O6,"$0"),",","."),TEXT('ТБ 2023'!O6,"$0"))</f>
        <v>$63</v>
      </c>
    </row>
    <row r="5" spans="1:14" ht="18.75" x14ac:dyDescent="0.35">
      <c r="G5" s="338" t="s">
        <v>334</v>
      </c>
      <c r="H5" s="1255" t="s">
        <v>633</v>
      </c>
      <c r="K5" t="s">
        <v>477</v>
      </c>
      <c r="L5" t="str">
        <f>M5&amp;" "&amp;INDEX($H$6:$H$8,MATCH($B$1,$G$6:$G$8,0),1)</f>
        <v>$16 млрд</v>
      </c>
      <c r="M5" s="609" t="str">
        <f>IF($B$1="ENG",SUBSTITUTE(TEXT('ТБ 2023'!O7,"$0"),",","."),TEXT('ТБ 2023'!O7,"$0"))</f>
        <v>$16</v>
      </c>
    </row>
    <row r="6" spans="1:14" x14ac:dyDescent="0.35">
      <c r="G6" s="338" t="s">
        <v>336</v>
      </c>
      <c r="H6" s="1281" t="s">
        <v>486</v>
      </c>
      <c r="I6" t="s">
        <v>483</v>
      </c>
      <c r="J6" t="s">
        <v>486</v>
      </c>
      <c r="K6" t="s">
        <v>478</v>
      </c>
      <c r="L6" t="str">
        <f>M6&amp;" "&amp;INDEX($H$6:$H$8,MATCH($B$1,$G$6:$G$8,0),1)</f>
        <v>$25 млрд</v>
      </c>
      <c r="M6" s="609" t="str">
        <f>IF($B$1="ENG",SUBSTITUTE(TEXT('ТБ 2023'!O8,"$0"),",","."),TEXT('ТБ 2023'!O8,"$0"))</f>
        <v>$25</v>
      </c>
    </row>
    <row r="7" spans="1:14" x14ac:dyDescent="0.35">
      <c r="G7" s="338" t="s">
        <v>337</v>
      </c>
      <c r="H7" s="1282" t="s">
        <v>495</v>
      </c>
      <c r="I7" t="s">
        <v>484</v>
      </c>
      <c r="J7" t="s">
        <v>495</v>
      </c>
      <c r="K7" t="str">
        <f>INDEX($I$6:$I$8,MATCH($B$1,$G$6:$G$8,0),1)&amp;" "&amp;N7&amp;" "&amp;INDEX($J$6:$J$8,MATCH($B$1,$G$6:$G$8,0),1)</f>
        <v>Сальдо торгового баланса в 2023: -$38 млрд</v>
      </c>
      <c r="L7" t="str">
        <f>M7&amp;" "&amp;INDEX($H$6:$H$8,MATCH($B$1,$G$6:$G$8,0),1)</f>
        <v>-$38 млрд</v>
      </c>
      <c r="M7" s="609" t="str">
        <f>IF($B$1="ENG",SUBSTITUTE(TEXT('ТБ 2023'!O9,"$0"),",","."),TEXT('ТБ 2023'!O9,"$0"))</f>
        <v>-$38</v>
      </c>
      <c r="N7" t="str">
        <f>IF($B$1="ENG",SUBSTITUTE(TEXT('ТБ 2023'!O9,"+$0;-$0"),",","."),TEXT('ТБ 2023'!O9,"+$0;-$0"))</f>
        <v>-$38</v>
      </c>
    </row>
    <row r="8" spans="1:14" x14ac:dyDescent="0.35">
      <c r="G8" s="338" t="s">
        <v>334</v>
      </c>
      <c r="H8" t="s">
        <v>486</v>
      </c>
      <c r="I8" t="s">
        <v>485</v>
      </c>
      <c r="J8" t="s">
        <v>486</v>
      </c>
    </row>
    <row r="9" spans="1:14" x14ac:dyDescent="0.35">
      <c r="G9" s="1428" t="s">
        <v>338</v>
      </c>
      <c r="H9" s="1428"/>
    </row>
    <row r="10" spans="1:14" x14ac:dyDescent="0.35">
      <c r="G10" s="338" t="s">
        <v>336</v>
      </c>
      <c r="H10" s="1256" t="s">
        <v>368</v>
      </c>
    </row>
    <row r="11" spans="1:14" x14ac:dyDescent="0.35">
      <c r="G11" s="338" t="s">
        <v>337</v>
      </c>
      <c r="H11" s="1256" t="s">
        <v>373</v>
      </c>
    </row>
    <row r="12" spans="1:14" x14ac:dyDescent="0.35">
      <c r="G12" s="338" t="s">
        <v>334</v>
      </c>
      <c r="H12" s="1256" t="s">
        <v>372</v>
      </c>
    </row>
    <row r="18" spans="1:8" x14ac:dyDescent="0.35">
      <c r="A18" s="1254" t="s">
        <v>661</v>
      </c>
      <c r="B18" s="1254"/>
      <c r="C18" s="1254"/>
      <c r="D18" s="1254"/>
      <c r="E18" s="1254"/>
      <c r="F18" s="1254"/>
      <c r="G18" s="1428" t="s">
        <v>335</v>
      </c>
      <c r="H18" s="1428"/>
    </row>
    <row r="19" spans="1:8" ht="18.75" x14ac:dyDescent="0.35">
      <c r="G19" s="338" t="s">
        <v>336</v>
      </c>
      <c r="H19" s="1279" t="s">
        <v>700</v>
      </c>
    </row>
    <row r="20" spans="1:8" ht="18.75" x14ac:dyDescent="0.35">
      <c r="G20" s="338" t="s">
        <v>337</v>
      </c>
      <c r="H20" s="1279" t="s">
        <v>701</v>
      </c>
    </row>
    <row r="21" spans="1:8" ht="18.75" x14ac:dyDescent="0.35">
      <c r="G21" s="338" t="s">
        <v>334</v>
      </c>
      <c r="H21" s="1279" t="s">
        <v>666</v>
      </c>
    </row>
    <row r="22" spans="1:8" ht="18.75" x14ac:dyDescent="0.35">
      <c r="H22" s="1279"/>
    </row>
    <row r="25" spans="1:8" x14ac:dyDescent="0.35">
      <c r="G25" s="1428" t="s">
        <v>338</v>
      </c>
      <c r="H25" s="1428"/>
    </row>
    <row r="26" spans="1:8" x14ac:dyDescent="0.35">
      <c r="G26" s="338" t="s">
        <v>336</v>
      </c>
      <c r="H26" s="1256" t="s">
        <v>370</v>
      </c>
    </row>
    <row r="27" spans="1:8" x14ac:dyDescent="0.35">
      <c r="G27" s="338" t="s">
        <v>337</v>
      </c>
      <c r="H27" s="1256" t="s">
        <v>374</v>
      </c>
    </row>
    <row r="28" spans="1:8" x14ac:dyDescent="0.35">
      <c r="G28" s="338" t="s">
        <v>334</v>
      </c>
      <c r="H28" s="1256" t="s">
        <v>371</v>
      </c>
    </row>
    <row r="34" spans="1:11" x14ac:dyDescent="0.35">
      <c r="A34" s="1254" t="s">
        <v>615</v>
      </c>
      <c r="B34" s="1254"/>
      <c r="C34" s="1254"/>
      <c r="D34" s="1254"/>
      <c r="E34" s="1254"/>
      <c r="F34" s="1254"/>
      <c r="G34" s="1428" t="s">
        <v>335</v>
      </c>
      <c r="H34" s="1428"/>
    </row>
    <row r="35" spans="1:11" x14ac:dyDescent="0.35">
      <c r="G35" s="1357" t="s">
        <v>336</v>
      </c>
    </row>
    <row r="36" spans="1:11" x14ac:dyDescent="0.35">
      <c r="G36" s="1357" t="s">
        <v>337</v>
      </c>
    </row>
    <row r="37" spans="1:11" x14ac:dyDescent="0.35">
      <c r="G37" s="1357" t="s">
        <v>334</v>
      </c>
    </row>
    <row r="41" spans="1:11" x14ac:dyDescent="0.35">
      <c r="G41" s="1428" t="s">
        <v>338</v>
      </c>
      <c r="H41" s="1428"/>
    </row>
    <row r="42" spans="1:11" x14ac:dyDescent="0.35">
      <c r="G42" s="338" t="s">
        <v>336</v>
      </c>
      <c r="H42" s="1256" t="s">
        <v>591</v>
      </c>
    </row>
    <row r="43" spans="1:11" x14ac:dyDescent="0.35">
      <c r="G43" s="338" t="s">
        <v>337</v>
      </c>
      <c r="H43" s="1256" t="s">
        <v>592</v>
      </c>
    </row>
    <row r="44" spans="1:11" x14ac:dyDescent="0.35">
      <c r="G44" s="338" t="s">
        <v>334</v>
      </c>
      <c r="H44" s="1256" t="s">
        <v>593</v>
      </c>
    </row>
    <row r="46" spans="1:11" x14ac:dyDescent="0.35">
      <c r="I46" t="s">
        <v>336</v>
      </c>
      <c r="J46" t="s">
        <v>337</v>
      </c>
      <c r="K46" t="s">
        <v>334</v>
      </c>
    </row>
    <row r="47" spans="1:11" x14ac:dyDescent="0.35">
      <c r="G47" t="str">
        <f>INDEX($I47:$K47,1,MATCH($B$1,$I$46:$K$46,0))</f>
        <v>Прямые иностранные инвестиции (сальдо), $ млрд</v>
      </c>
      <c r="I47" t="s">
        <v>594</v>
      </c>
      <c r="J47" t="s">
        <v>595</v>
      </c>
      <c r="K47" t="s">
        <v>596</v>
      </c>
    </row>
    <row r="48" spans="1:11" x14ac:dyDescent="0.35">
      <c r="G48" t="str">
        <f>INDEX($I48:$K48,1,MATCH($B$1,$I$46:$K$46,0))</f>
        <v>Торговые кредиты пассивы, $ млрд</v>
      </c>
      <c r="I48" t="s">
        <v>597</v>
      </c>
      <c r="J48" t="s">
        <v>598</v>
      </c>
      <c r="K48" t="s">
        <v>599</v>
      </c>
    </row>
    <row r="49" spans="1:11" x14ac:dyDescent="0.35">
      <c r="G49" t="str">
        <f>INDEX($I49:$K49,1,MATCH($B$1,$I$46:$K$46,0))</f>
        <v>Полученные кредиты, $ млрд</v>
      </c>
      <c r="I49" t="s">
        <v>600</v>
      </c>
      <c r="J49" t="s">
        <v>601</v>
      </c>
      <c r="K49" t="s">
        <v>602</v>
      </c>
    </row>
    <row r="53" spans="1:11" x14ac:dyDescent="0.35">
      <c r="A53" s="1254" t="s">
        <v>616</v>
      </c>
      <c r="B53" s="1254"/>
      <c r="C53" s="1254"/>
      <c r="D53" s="1254"/>
      <c r="E53" s="1254"/>
      <c r="F53" s="1254"/>
      <c r="G53" s="1428" t="s">
        <v>335</v>
      </c>
      <c r="H53" s="1428"/>
    </row>
    <row r="54" spans="1:11" ht="18.75" x14ac:dyDescent="0.35">
      <c r="G54" s="338" t="s">
        <v>336</v>
      </c>
      <c r="H54" s="1280" t="s">
        <v>634</v>
      </c>
    </row>
    <row r="55" spans="1:11" ht="18.75" x14ac:dyDescent="0.35">
      <c r="G55" s="338" t="s">
        <v>337</v>
      </c>
      <c r="H55" s="1279" t="s">
        <v>635</v>
      </c>
    </row>
    <row r="56" spans="1:11" ht="18.75" x14ac:dyDescent="0.35">
      <c r="G56" s="338" t="s">
        <v>334</v>
      </c>
      <c r="H56" s="1279" t="s">
        <v>636</v>
      </c>
    </row>
    <row r="57" spans="1:11" ht="18.75" x14ac:dyDescent="0.35">
      <c r="H57" s="1279"/>
    </row>
    <row r="60" spans="1:11" x14ac:dyDescent="0.35">
      <c r="G60" s="1428" t="s">
        <v>338</v>
      </c>
      <c r="H60" s="1428"/>
    </row>
    <row r="61" spans="1:11" x14ac:dyDescent="0.35">
      <c r="G61" s="338" t="s">
        <v>336</v>
      </c>
      <c r="H61" s="1256" t="s">
        <v>370</v>
      </c>
    </row>
    <row r="62" spans="1:11" x14ac:dyDescent="0.35">
      <c r="G62" s="338" t="s">
        <v>337</v>
      </c>
      <c r="H62" s="1256" t="s">
        <v>374</v>
      </c>
    </row>
    <row r="63" spans="1:11" x14ac:dyDescent="0.35">
      <c r="G63" s="338" t="s">
        <v>334</v>
      </c>
      <c r="H63" s="1256" t="s">
        <v>371</v>
      </c>
    </row>
    <row r="69" spans="1:8" x14ac:dyDescent="0.35">
      <c r="A69" s="1254" t="s">
        <v>617</v>
      </c>
      <c r="B69" s="1254"/>
      <c r="C69" s="1254"/>
      <c r="D69" s="1254"/>
      <c r="E69" s="1254"/>
      <c r="F69" s="1254"/>
      <c r="G69" s="1428" t="s">
        <v>335</v>
      </c>
      <c r="H69" s="1428"/>
    </row>
    <row r="70" spans="1:8" ht="18.75" x14ac:dyDescent="0.35">
      <c r="G70" s="338" t="s">
        <v>336</v>
      </c>
      <c r="H70" s="1255" t="s">
        <v>637</v>
      </c>
    </row>
    <row r="71" spans="1:8" ht="18.75" x14ac:dyDescent="0.35">
      <c r="G71" s="338" t="s">
        <v>337</v>
      </c>
      <c r="H71" s="1255" t="s">
        <v>638</v>
      </c>
    </row>
    <row r="72" spans="1:8" ht="18.75" x14ac:dyDescent="0.35">
      <c r="G72" s="338" t="s">
        <v>334</v>
      </c>
      <c r="H72" s="1255" t="s">
        <v>639</v>
      </c>
    </row>
    <row r="73" spans="1:8" ht="18.75" x14ac:dyDescent="0.35">
      <c r="H73" s="1279"/>
    </row>
    <row r="76" spans="1:8" x14ac:dyDescent="0.35">
      <c r="G76" s="1428" t="s">
        <v>338</v>
      </c>
      <c r="H76" s="1428"/>
    </row>
    <row r="77" spans="1:8" x14ac:dyDescent="0.35">
      <c r="G77" s="338" t="s">
        <v>336</v>
      </c>
      <c r="H77" s="1256" t="s">
        <v>370</v>
      </c>
    </row>
    <row r="78" spans="1:8" x14ac:dyDescent="0.35">
      <c r="G78" s="338" t="s">
        <v>337</v>
      </c>
      <c r="H78" s="1256" t="s">
        <v>374</v>
      </c>
    </row>
    <row r="79" spans="1:8" x14ac:dyDescent="0.35">
      <c r="G79" s="338" t="s">
        <v>334</v>
      </c>
      <c r="H79" s="1256" t="s">
        <v>371</v>
      </c>
    </row>
    <row r="85" spans="1:18" x14ac:dyDescent="0.35">
      <c r="A85" s="1254" t="s">
        <v>618</v>
      </c>
      <c r="B85" s="1254"/>
      <c r="C85" s="1254"/>
      <c r="D85" s="1254"/>
      <c r="E85" s="1254"/>
      <c r="F85" s="1254"/>
      <c r="G85" s="1276"/>
      <c r="H85" s="1276"/>
      <c r="I85" s="1277"/>
      <c r="J85" s="1277"/>
      <c r="K85" s="1277"/>
      <c r="L85" s="1428" t="s">
        <v>335</v>
      </c>
      <c r="M85" s="1428"/>
      <c r="N85" s="1275" t="s">
        <v>369</v>
      </c>
    </row>
    <row r="86" spans="1:18" ht="18.75" x14ac:dyDescent="0.35">
      <c r="L86" s="338" t="s">
        <v>336</v>
      </c>
      <c r="M86" s="1255" t="s">
        <v>480</v>
      </c>
    </row>
    <row r="87" spans="1:18" ht="18.75" x14ac:dyDescent="0.35">
      <c r="L87" s="338" t="s">
        <v>337</v>
      </c>
      <c r="M87" s="1255" t="s">
        <v>481</v>
      </c>
    </row>
    <row r="88" spans="1:18" ht="18.75" x14ac:dyDescent="0.35">
      <c r="L88" s="338" t="s">
        <v>334</v>
      </c>
      <c r="M88" s="1255" t="s">
        <v>482</v>
      </c>
    </row>
    <row r="89" spans="1:18" x14ac:dyDescent="0.35">
      <c r="L89" t="str">
        <f>INDEX(N89:N91,MATCH($B$1,M89:M91,0),1)&amp;IF($B$1="ENG",SUBSTITUTE(TEXT(R89,"+$0,0;-$0,0"),",","."),TEXT(R89,"+$0,0;-$0,0"))&amp;INDEX(O89:O91,MATCH($B$1,M89:M91,0),1)&amp;IF($B$1="ENG",SUBSTITUTE(TEXT(R90,"+$0,0;-$0,0"),",","."),TEXT(R90,"+$0,0;-$0,0"))&amp;INDEX(P89:P91,MATCH($B$1,M89:M91,0),1)&amp;" ("&amp;IF($B$1="ENG",SUBSTITUTE(TEXT(R91,"+$0,0;-$0,0"),",","."),TEXT(R91,"+$0,0;-$0,0"))&amp;INDEX(P89:P91,MATCH($B$1,M89:M91,0),1)&amp;INDEX(Q89:Q91,MATCH($B$1,M89:M91,0),1)</f>
        <v>Итого: +$12,0 млрд, из них за счет государственных привлечений +$28,4 млрд (+$40,0 млрд с учетом грантов)</v>
      </c>
      <c r="M89" s="1287" t="s">
        <v>336</v>
      </c>
      <c r="N89" s="1288" t="s">
        <v>488</v>
      </c>
      <c r="O89" t="s">
        <v>487</v>
      </c>
      <c r="P89" t="s">
        <v>489</v>
      </c>
      <c r="Q89" t="s">
        <v>562</v>
      </c>
      <c r="R89" s="609">
        <f>'ПБ V-1 (fin min)'!CB79/1000</f>
        <v>12.013879999999997</v>
      </c>
    </row>
    <row r="90" spans="1:18" x14ac:dyDescent="0.35">
      <c r="M90" s="1287" t="s">
        <v>337</v>
      </c>
      <c r="N90" s="1288" t="s">
        <v>490</v>
      </c>
      <c r="O90" t="s">
        <v>491</v>
      </c>
      <c r="P90" t="s">
        <v>492</v>
      </c>
      <c r="Q90" t="s">
        <v>563</v>
      </c>
      <c r="R90" s="609">
        <f>'ПБ V-1 (fin min)'!BW58/1000</f>
        <v>28.409569129850471</v>
      </c>
    </row>
    <row r="91" spans="1:18" x14ac:dyDescent="0.35">
      <c r="M91" s="1287" t="s">
        <v>334</v>
      </c>
      <c r="N91" s="1288" t="s">
        <v>493</v>
      </c>
      <c r="O91" t="s">
        <v>494</v>
      </c>
      <c r="P91" t="s">
        <v>489</v>
      </c>
      <c r="Q91" t="s">
        <v>564</v>
      </c>
      <c r="R91" s="209">
        <f>('ПБ V-1 (fin min)'!BW58+'ПБ V-1 (fin min)'!BW55)/1000</f>
        <v>39.992569129850466</v>
      </c>
    </row>
    <row r="92" spans="1:18" x14ac:dyDescent="0.35">
      <c r="L92" s="1428" t="s">
        <v>338</v>
      </c>
      <c r="M92" s="1428"/>
      <c r="Q92" s="1"/>
    </row>
    <row r="93" spans="1:18" x14ac:dyDescent="0.35">
      <c r="L93" s="338" t="s">
        <v>336</v>
      </c>
      <c r="M93" s="1256" t="s">
        <v>370</v>
      </c>
    </row>
    <row r="94" spans="1:18" x14ac:dyDescent="0.35">
      <c r="L94" s="338" t="s">
        <v>337</v>
      </c>
      <c r="M94" s="1256" t="s">
        <v>374</v>
      </c>
    </row>
    <row r="95" spans="1:18" x14ac:dyDescent="0.35">
      <c r="L95" s="338" t="s">
        <v>334</v>
      </c>
      <c r="M95" s="1256" t="s">
        <v>371</v>
      </c>
    </row>
    <row r="97" spans="12:12" x14ac:dyDescent="0.35">
      <c r="L97" s="1">
        <f>'ПБ V-1 (fin min)'!BW62</f>
        <v>10976.489052450317</v>
      </c>
    </row>
    <row r="98" spans="12:12" x14ac:dyDescent="0.35">
      <c r="L98" s="1">
        <f>'ПБ V-1 (fin min)'!BW57</f>
        <v>27729.623732546293</v>
      </c>
    </row>
    <row r="99" spans="12:12" x14ac:dyDescent="0.35">
      <c r="L99" s="1"/>
    </row>
    <row r="115" spans="1:8" x14ac:dyDescent="0.35">
      <c r="A115" s="1254" t="s">
        <v>619</v>
      </c>
      <c r="B115" s="1254"/>
      <c r="C115" s="1254"/>
      <c r="D115" s="1254"/>
      <c r="E115" s="1254"/>
      <c r="F115" s="1254"/>
      <c r="G115" s="1428" t="s">
        <v>335</v>
      </c>
      <c r="H115" s="1428"/>
    </row>
    <row r="116" spans="1:8" ht="18.75" x14ac:dyDescent="0.35">
      <c r="G116" s="338" t="s">
        <v>336</v>
      </c>
      <c r="H116" s="1279" t="s">
        <v>640</v>
      </c>
    </row>
    <row r="117" spans="1:8" ht="18.75" x14ac:dyDescent="0.35">
      <c r="G117" s="338" t="s">
        <v>337</v>
      </c>
      <c r="H117" s="1280" t="s">
        <v>641</v>
      </c>
    </row>
    <row r="118" spans="1:8" ht="18.75" x14ac:dyDescent="0.35">
      <c r="G118" s="338" t="s">
        <v>334</v>
      </c>
      <c r="H118" s="1279" t="s">
        <v>642</v>
      </c>
    </row>
    <row r="122" spans="1:8" x14ac:dyDescent="0.35">
      <c r="G122" s="1428" t="s">
        <v>338</v>
      </c>
      <c r="H122" s="1428"/>
    </row>
    <row r="123" spans="1:8" x14ac:dyDescent="0.35">
      <c r="G123" s="338" t="s">
        <v>336</v>
      </c>
      <c r="H123" s="1256" t="s">
        <v>370</v>
      </c>
    </row>
    <row r="124" spans="1:8" x14ac:dyDescent="0.35">
      <c r="G124" s="338" t="s">
        <v>337</v>
      </c>
      <c r="H124" s="1256" t="s">
        <v>374</v>
      </c>
    </row>
    <row r="125" spans="1:8" x14ac:dyDescent="0.35">
      <c r="G125" s="338" t="s">
        <v>334</v>
      </c>
      <c r="H125" s="1256" t="s">
        <v>371</v>
      </c>
    </row>
    <row r="131" spans="1:8" x14ac:dyDescent="0.35">
      <c r="A131" s="1364" t="s">
        <v>625</v>
      </c>
      <c r="B131" s="1364"/>
      <c r="C131" s="1364"/>
      <c r="D131" s="1364"/>
      <c r="E131" s="1364"/>
      <c r="F131" s="1364"/>
      <c r="G131" s="1429" t="s">
        <v>335</v>
      </c>
      <c r="H131" s="1429"/>
    </row>
    <row r="132" spans="1:8" ht="18.75" x14ac:dyDescent="0.35">
      <c r="G132" s="338" t="s">
        <v>336</v>
      </c>
      <c r="H132" s="1279" t="s">
        <v>588</v>
      </c>
    </row>
    <row r="133" spans="1:8" ht="18.75" x14ac:dyDescent="0.35">
      <c r="G133" s="338" t="s">
        <v>337</v>
      </c>
      <c r="H133" s="1279" t="s">
        <v>643</v>
      </c>
    </row>
    <row r="134" spans="1:8" ht="18.75" x14ac:dyDescent="0.35">
      <c r="G134" s="338" t="s">
        <v>334</v>
      </c>
      <c r="H134" s="1279" t="s">
        <v>590</v>
      </c>
    </row>
    <row r="138" spans="1:8" x14ac:dyDescent="0.35">
      <c r="G138" s="1428" t="s">
        <v>338</v>
      </c>
      <c r="H138" s="1428"/>
    </row>
    <row r="139" spans="1:8" x14ac:dyDescent="0.35">
      <c r="G139" s="338" t="s">
        <v>336</v>
      </c>
      <c r="H139" s="1256" t="s">
        <v>370</v>
      </c>
    </row>
    <row r="140" spans="1:8" x14ac:dyDescent="0.35">
      <c r="G140" s="338" t="s">
        <v>337</v>
      </c>
      <c r="H140" s="1256" t="s">
        <v>374</v>
      </c>
    </row>
    <row r="141" spans="1:8" x14ac:dyDescent="0.35">
      <c r="G141" s="338" t="s">
        <v>334</v>
      </c>
      <c r="H141" s="1256" t="s">
        <v>371</v>
      </c>
    </row>
    <row r="147" spans="1:14" x14ac:dyDescent="0.35">
      <c r="A147" s="1254" t="s">
        <v>620</v>
      </c>
      <c r="B147" s="1254"/>
      <c r="C147" s="1254"/>
      <c r="D147" s="1254"/>
      <c r="E147" s="1254"/>
      <c r="F147" s="1254"/>
      <c r="G147" s="1428" t="s">
        <v>335</v>
      </c>
      <c r="H147" s="1428"/>
    </row>
    <row r="148" spans="1:14" ht="18.75" x14ac:dyDescent="0.35">
      <c r="G148" s="338" t="s">
        <v>336</v>
      </c>
      <c r="H148" s="1255" t="s">
        <v>644</v>
      </c>
      <c r="K148" t="s">
        <v>475</v>
      </c>
      <c r="L148" t="str">
        <f>M148&amp;" "&amp;INDEX($H$6:$H$8,MATCH($B$1,$G$6:$G$8,0),1)</f>
        <v>$37 млрд</v>
      </c>
      <c r="M148" s="609" t="str">
        <f>IF($B$1="ENG",SUBSTITUTE(TEXT('ТБ 2024'!O5,"$0"),",","."),TEXT('ТБ 2024'!O5,"$0"))</f>
        <v>$37</v>
      </c>
    </row>
    <row r="149" spans="1:14" ht="18.75" x14ac:dyDescent="0.35">
      <c r="G149" s="338" t="s">
        <v>337</v>
      </c>
      <c r="H149" s="1255" t="s">
        <v>645</v>
      </c>
      <c r="K149" t="s">
        <v>476</v>
      </c>
      <c r="L149" t="str">
        <f>M149&amp;" "&amp;INDEX($H$6:$H$8,MATCH($B$1,$G$6:$G$8,0),1)</f>
        <v>$65 млрд</v>
      </c>
      <c r="M149" s="609" t="str">
        <f>IF($B$1="ENG",SUBSTITUTE(TEXT('ТБ 2024'!O6,"$0"),",","."),TEXT('ТБ 2024'!O6,"$0"))</f>
        <v>$65</v>
      </c>
    </row>
    <row r="150" spans="1:14" ht="18.75" x14ac:dyDescent="0.35">
      <c r="G150" s="338" t="s">
        <v>334</v>
      </c>
      <c r="H150" s="1255" t="s">
        <v>646</v>
      </c>
      <c r="K150" t="s">
        <v>477</v>
      </c>
      <c r="L150" t="str">
        <f>M150&amp;" "&amp;INDEX($H$6:$H$8,MATCH($B$1,$G$6:$G$8,0),1)</f>
        <v>$16 млрд</v>
      </c>
      <c r="M150" s="609" t="str">
        <f>IF($B$1="ENG",SUBSTITUTE(TEXT('ТБ 2024'!O7,"$0"),",","."),TEXT('ТБ 2024'!O7,"$0"))</f>
        <v>$16</v>
      </c>
    </row>
    <row r="151" spans="1:14" x14ac:dyDescent="0.35">
      <c r="G151" s="338" t="s">
        <v>336</v>
      </c>
      <c r="H151" s="1281" t="s">
        <v>486</v>
      </c>
      <c r="I151" t="s">
        <v>568</v>
      </c>
      <c r="J151" t="s">
        <v>486</v>
      </c>
      <c r="K151" t="s">
        <v>478</v>
      </c>
      <c r="L151" t="str">
        <f>M151&amp;" "&amp;INDEX($H$6:$H$8,MATCH($B$1,$G$6:$G$8,0),1)</f>
        <v>$23 млрд</v>
      </c>
      <c r="M151" s="609" t="str">
        <f>IF($B$1="ENG",SUBSTITUTE(TEXT('ТБ 2024'!O8,"$0"),",","."),TEXT('ТБ 2024'!O8,"$0"))</f>
        <v>$23</v>
      </c>
    </row>
    <row r="152" spans="1:14" x14ac:dyDescent="0.35">
      <c r="G152" s="338" t="s">
        <v>337</v>
      </c>
      <c r="H152" s="1282" t="s">
        <v>495</v>
      </c>
      <c r="I152" t="s">
        <v>569</v>
      </c>
      <c r="J152" t="s">
        <v>495</v>
      </c>
      <c r="K152" t="str">
        <f>INDEX($I$151:$I$153,MATCH($B$1,$G$6:$G$8,0),1)&amp;" "&amp;N152&amp;" "&amp;INDEX($J$6:$J$8,MATCH($B$1,$G$6:$G$8,0),1)</f>
        <v>Сальдо торгового баланса в 2024: -$35 млрд</v>
      </c>
      <c r="L152" t="str">
        <f>M152&amp;" "&amp;INDEX($H$6:$H$8,MATCH($B$1,$G$6:$G$8,0),1)</f>
        <v>-$35 млрд</v>
      </c>
      <c r="M152" s="609" t="str">
        <f>IF($B$1="ENG",SUBSTITUTE(TEXT('ТБ 2024'!O9,"$0"),",","."),TEXT('ТБ 2024'!O9,"$0"))</f>
        <v>-$35</v>
      </c>
      <c r="N152" t="str">
        <f>IF($B$1="ENG",SUBSTITUTE(TEXT('ТБ 2024'!O9,"+$0;-$0"),",","."),TEXT('ТБ 2024'!O9,"+$0;-$0"))</f>
        <v>-$35</v>
      </c>
    </row>
    <row r="153" spans="1:14" x14ac:dyDescent="0.35">
      <c r="G153" s="338" t="s">
        <v>334</v>
      </c>
      <c r="H153" t="s">
        <v>486</v>
      </c>
      <c r="I153" t="s">
        <v>570</v>
      </c>
      <c r="J153" t="s">
        <v>486</v>
      </c>
    </row>
    <row r="154" spans="1:14" x14ac:dyDescent="0.35">
      <c r="G154" s="1428" t="s">
        <v>338</v>
      </c>
      <c r="H154" s="1428"/>
    </row>
    <row r="155" spans="1:14" x14ac:dyDescent="0.35">
      <c r="G155" s="338" t="s">
        <v>336</v>
      </c>
      <c r="H155" s="1256" t="s">
        <v>368</v>
      </c>
    </row>
    <row r="156" spans="1:14" x14ac:dyDescent="0.35">
      <c r="G156" s="338" t="s">
        <v>337</v>
      </c>
      <c r="H156" s="1256" t="s">
        <v>373</v>
      </c>
    </row>
    <row r="157" spans="1:14" x14ac:dyDescent="0.35">
      <c r="G157" s="338" t="s">
        <v>334</v>
      </c>
      <c r="H157" s="1256" t="s">
        <v>372</v>
      </c>
    </row>
    <row r="163" spans="1:8" x14ac:dyDescent="0.35">
      <c r="A163" s="1254" t="s">
        <v>621</v>
      </c>
      <c r="B163" s="1254"/>
      <c r="C163" s="1254"/>
      <c r="D163" s="1254"/>
      <c r="E163" s="1254"/>
      <c r="F163" s="1254"/>
      <c r="G163" s="1428" t="s">
        <v>335</v>
      </c>
      <c r="H163" s="1428"/>
    </row>
    <row r="164" spans="1:8" ht="18.75" x14ac:dyDescent="0.35">
      <c r="G164" s="338" t="s">
        <v>336</v>
      </c>
      <c r="H164" s="1280" t="s">
        <v>647</v>
      </c>
    </row>
    <row r="165" spans="1:8" ht="18.75" x14ac:dyDescent="0.35">
      <c r="G165" s="338" t="s">
        <v>337</v>
      </c>
      <c r="H165" s="1279" t="s">
        <v>648</v>
      </c>
    </row>
    <row r="166" spans="1:8" ht="18.75" x14ac:dyDescent="0.35">
      <c r="G166" s="338" t="s">
        <v>334</v>
      </c>
      <c r="H166" s="1279" t="s">
        <v>649</v>
      </c>
    </row>
    <row r="167" spans="1:8" ht="18.75" x14ac:dyDescent="0.35">
      <c r="H167" s="1279"/>
    </row>
    <row r="170" spans="1:8" x14ac:dyDescent="0.35">
      <c r="G170" s="1428" t="s">
        <v>338</v>
      </c>
      <c r="H170" s="1428"/>
    </row>
    <row r="171" spans="1:8" x14ac:dyDescent="0.35">
      <c r="G171" s="338" t="s">
        <v>336</v>
      </c>
      <c r="H171" s="1256" t="s">
        <v>370</v>
      </c>
    </row>
    <row r="172" spans="1:8" x14ac:dyDescent="0.35">
      <c r="G172" s="338" t="s">
        <v>337</v>
      </c>
      <c r="H172" s="1256" t="s">
        <v>374</v>
      </c>
    </row>
    <row r="173" spans="1:8" x14ac:dyDescent="0.35">
      <c r="G173" s="338" t="s">
        <v>334</v>
      </c>
      <c r="H173" s="1256" t="s">
        <v>371</v>
      </c>
    </row>
    <row r="179" spans="1:8" x14ac:dyDescent="0.35">
      <c r="A179" s="1254" t="s">
        <v>626</v>
      </c>
      <c r="B179" s="1254"/>
      <c r="C179" s="1254"/>
      <c r="D179" s="1254"/>
      <c r="E179" s="1254"/>
      <c r="F179" s="1254"/>
      <c r="G179" s="1428" t="s">
        <v>335</v>
      </c>
      <c r="H179" s="1428"/>
    </row>
    <row r="180" spans="1:8" ht="18.75" x14ac:dyDescent="0.35">
      <c r="G180" s="338" t="s">
        <v>336</v>
      </c>
      <c r="H180" s="1255" t="s">
        <v>650</v>
      </c>
    </row>
    <row r="181" spans="1:8" ht="18.75" x14ac:dyDescent="0.35">
      <c r="G181" s="338" t="s">
        <v>337</v>
      </c>
      <c r="H181" s="1255" t="s">
        <v>651</v>
      </c>
    </row>
    <row r="182" spans="1:8" ht="18.75" x14ac:dyDescent="0.35">
      <c r="G182" s="338" t="s">
        <v>334</v>
      </c>
      <c r="H182" s="1255" t="s">
        <v>652</v>
      </c>
    </row>
    <row r="183" spans="1:8" ht="18.75" x14ac:dyDescent="0.35">
      <c r="H183" s="1279"/>
    </row>
    <row r="186" spans="1:8" x14ac:dyDescent="0.35">
      <c r="G186" s="1428" t="s">
        <v>338</v>
      </c>
      <c r="H186" s="1428"/>
    </row>
    <row r="187" spans="1:8" x14ac:dyDescent="0.35">
      <c r="G187" s="338" t="s">
        <v>336</v>
      </c>
      <c r="H187" s="1256" t="s">
        <v>370</v>
      </c>
    </row>
    <row r="188" spans="1:8" x14ac:dyDescent="0.35">
      <c r="G188" s="338" t="s">
        <v>337</v>
      </c>
      <c r="H188" s="1256" t="s">
        <v>374</v>
      </c>
    </row>
    <row r="189" spans="1:8" x14ac:dyDescent="0.35">
      <c r="G189" s="338" t="s">
        <v>334</v>
      </c>
      <c r="H189" s="1256" t="s">
        <v>371</v>
      </c>
    </row>
    <row r="195" spans="1:18" x14ac:dyDescent="0.35">
      <c r="A195" s="1254" t="s">
        <v>622</v>
      </c>
      <c r="B195" s="1254"/>
      <c r="C195" s="1254"/>
      <c r="D195" s="1254"/>
      <c r="E195" s="1254"/>
      <c r="F195" s="1254"/>
      <c r="G195" s="1276"/>
      <c r="H195" s="1276"/>
      <c r="I195" s="1277"/>
      <c r="J195" s="1277"/>
      <c r="K195" s="1277"/>
      <c r="L195" s="1428" t="s">
        <v>335</v>
      </c>
      <c r="M195" s="1428"/>
      <c r="N195" s="1275" t="s">
        <v>369</v>
      </c>
    </row>
    <row r="196" spans="1:18" ht="18.75" x14ac:dyDescent="0.35">
      <c r="L196" s="338" t="s">
        <v>336</v>
      </c>
      <c r="M196" s="1255" t="s">
        <v>571</v>
      </c>
    </row>
    <row r="197" spans="1:18" ht="18.75" x14ac:dyDescent="0.35">
      <c r="L197" s="338" t="s">
        <v>337</v>
      </c>
      <c r="M197" s="1255" t="s">
        <v>572</v>
      </c>
    </row>
    <row r="198" spans="1:18" ht="18.75" x14ac:dyDescent="0.35">
      <c r="L198" s="338" t="s">
        <v>334</v>
      </c>
      <c r="M198" s="1255" t="s">
        <v>573</v>
      </c>
    </row>
    <row r="199" spans="1:18" x14ac:dyDescent="0.35">
      <c r="L199" t="str">
        <f>INDEX(N199:N201,MATCH($B$1,M199:M201,0),1)&amp;IF($B$1="ENG",SUBSTITUTE(TEXT(R199,"+$0,0;-$0,0"),",","."),TEXT(R199,"+$0,0;-$0,0"))&amp;INDEX(O199:O201,MATCH($B$1,M199:M201,0),1)&amp;IF($B$1="ENG",SUBSTITUTE(TEXT(R200,"+$0,0;-$0,0"),",","."),TEXT(R200,"+$0,0;-$0,0"))&amp;INDEX(P199:P201,MATCH($B$1,M199:M201,0),1)&amp;" ("&amp;IF($B$1="ENG",SUBSTITUTE(TEXT(R201,"+$0,0;-$0,0"),",","."),TEXT(R201,"+$0,0;-$0,0"))&amp;INDEX(P199:P201,MATCH($B$1,M199:M201,0),1)&amp;INDEX(Q199:Q201,MATCH($B$1,M199:M201,0),1)</f>
        <v>Итого: +$12,9 млрд, из них за счет государственных привлечений +$24,9 млрд (+$37,9 млрд с учетом грантов)</v>
      </c>
      <c r="M199" s="1287" t="s">
        <v>336</v>
      </c>
      <c r="N199" s="1288" t="s">
        <v>488</v>
      </c>
      <c r="O199" t="s">
        <v>487</v>
      </c>
      <c r="P199" t="s">
        <v>489</v>
      </c>
      <c r="Q199" t="s">
        <v>562</v>
      </c>
      <c r="R199" s="609">
        <f>'ПБ V-1 (fin min)'!CA79/1000</f>
        <v>12.935403275895675</v>
      </c>
    </row>
    <row r="200" spans="1:18" x14ac:dyDescent="0.35">
      <c r="M200" s="1287" t="s">
        <v>337</v>
      </c>
      <c r="N200" s="1288" t="s">
        <v>490</v>
      </c>
      <c r="O200" t="s">
        <v>491</v>
      </c>
      <c r="P200" t="s">
        <v>492</v>
      </c>
      <c r="Q200" t="s">
        <v>563</v>
      </c>
      <c r="R200" s="609">
        <f>'ПБ V-1 (fin min)'!BV58/1000</f>
        <v>24.869461603685203</v>
      </c>
    </row>
    <row r="201" spans="1:18" x14ac:dyDescent="0.35">
      <c r="M201" s="1287" t="s">
        <v>334</v>
      </c>
      <c r="N201" s="1288" t="s">
        <v>493</v>
      </c>
      <c r="O201" t="s">
        <v>494</v>
      </c>
      <c r="P201" t="s">
        <v>489</v>
      </c>
      <c r="Q201" t="s">
        <v>564</v>
      </c>
      <c r="R201" s="209">
        <f>('ПБ V-1 (fin min)'!BV58+'ПБ V-1 (fin min)'!BV55)/1000</f>
        <v>37.869461603685203</v>
      </c>
    </row>
    <row r="202" spans="1:18" x14ac:dyDescent="0.35">
      <c r="L202" s="1428" t="s">
        <v>338</v>
      </c>
      <c r="M202" s="1428"/>
      <c r="Q202" s="1"/>
    </row>
    <row r="203" spans="1:18" x14ac:dyDescent="0.35">
      <c r="L203" s="338" t="s">
        <v>336</v>
      </c>
      <c r="M203" s="1256" t="s">
        <v>370</v>
      </c>
    </row>
    <row r="204" spans="1:18" x14ac:dyDescent="0.35">
      <c r="L204" s="338" t="s">
        <v>337</v>
      </c>
      <c r="M204" s="1256" t="s">
        <v>374</v>
      </c>
    </row>
    <row r="205" spans="1:18" x14ac:dyDescent="0.35">
      <c r="L205" s="338" t="s">
        <v>334</v>
      </c>
      <c r="M205" s="1256" t="s">
        <v>371</v>
      </c>
    </row>
    <row r="207" spans="1:18" x14ac:dyDescent="0.35">
      <c r="L207" s="1">
        <f>'ПБ V-1 (fin min)'!BV62</f>
        <v>11159.546218581738</v>
      </c>
    </row>
    <row r="208" spans="1:18" x14ac:dyDescent="0.35">
      <c r="L208" s="1">
        <f>'ПБ V-1 (fin min)'!BV57</f>
        <v>24869.461603685202</v>
      </c>
    </row>
    <row r="209" spans="12:12" x14ac:dyDescent="0.35">
      <c r="L209" s="1"/>
    </row>
    <row r="225" spans="1:8" x14ac:dyDescent="0.35">
      <c r="A225" s="1254" t="s">
        <v>623</v>
      </c>
      <c r="B225" s="1254"/>
      <c r="C225" s="1254"/>
      <c r="D225" s="1254"/>
      <c r="E225" s="1254"/>
      <c r="F225" s="1254"/>
      <c r="G225" s="1428" t="s">
        <v>335</v>
      </c>
      <c r="H225" s="1428"/>
    </row>
    <row r="226" spans="1:8" ht="18.75" x14ac:dyDescent="0.35">
      <c r="G226" s="338" t="s">
        <v>336</v>
      </c>
      <c r="H226" s="1279" t="s">
        <v>653</v>
      </c>
    </row>
    <row r="227" spans="1:8" ht="18.75" x14ac:dyDescent="0.35">
      <c r="G227" s="338" t="s">
        <v>337</v>
      </c>
      <c r="H227" s="1280" t="s">
        <v>654</v>
      </c>
    </row>
    <row r="228" spans="1:8" ht="18.75" x14ac:dyDescent="0.35">
      <c r="G228" s="338" t="s">
        <v>334</v>
      </c>
      <c r="H228" s="1279" t="s">
        <v>655</v>
      </c>
    </row>
    <row r="232" spans="1:8" x14ac:dyDescent="0.35">
      <c r="G232" s="1428" t="s">
        <v>338</v>
      </c>
      <c r="H232" s="1428"/>
    </row>
    <row r="233" spans="1:8" x14ac:dyDescent="0.35">
      <c r="G233" s="338" t="s">
        <v>336</v>
      </c>
      <c r="H233" s="1256" t="s">
        <v>370</v>
      </c>
    </row>
    <row r="234" spans="1:8" x14ac:dyDescent="0.35">
      <c r="G234" s="338" t="s">
        <v>337</v>
      </c>
      <c r="H234" s="1256" t="s">
        <v>374</v>
      </c>
    </row>
    <row r="235" spans="1:8" x14ac:dyDescent="0.35">
      <c r="G235" s="338" t="s">
        <v>334</v>
      </c>
      <c r="H235" s="1256" t="s">
        <v>371</v>
      </c>
    </row>
    <row r="241" spans="1:8" x14ac:dyDescent="0.35">
      <c r="A241" s="1254" t="s">
        <v>624</v>
      </c>
      <c r="B241" s="1254"/>
      <c r="C241" s="1254"/>
      <c r="D241" s="1254"/>
      <c r="E241" s="1254"/>
      <c r="F241" s="1254"/>
      <c r="G241" s="1428" t="s">
        <v>335</v>
      </c>
      <c r="H241" s="1428"/>
    </row>
    <row r="242" spans="1:8" ht="18.75" x14ac:dyDescent="0.35">
      <c r="G242" s="338" t="s">
        <v>336</v>
      </c>
      <c r="H242" s="1279" t="s">
        <v>588</v>
      </c>
    </row>
    <row r="243" spans="1:8" ht="18.75" x14ac:dyDescent="0.35">
      <c r="G243" s="338" t="s">
        <v>337</v>
      </c>
      <c r="H243" s="1279" t="s">
        <v>589</v>
      </c>
    </row>
    <row r="244" spans="1:8" ht="18.75" x14ac:dyDescent="0.35">
      <c r="G244" s="338" t="s">
        <v>334</v>
      </c>
      <c r="H244" s="1279" t="s">
        <v>590</v>
      </c>
    </row>
    <row r="248" spans="1:8" x14ac:dyDescent="0.35">
      <c r="G248" s="1428" t="s">
        <v>338</v>
      </c>
      <c r="H248" s="1428"/>
    </row>
    <row r="249" spans="1:8" x14ac:dyDescent="0.35">
      <c r="G249" s="338" t="s">
        <v>336</v>
      </c>
      <c r="H249" s="1256" t="s">
        <v>370</v>
      </c>
    </row>
    <row r="250" spans="1:8" x14ac:dyDescent="0.35">
      <c r="G250" s="338" t="s">
        <v>337</v>
      </c>
      <c r="H250" s="1256" t="s">
        <v>374</v>
      </c>
    </row>
    <row r="251" spans="1:8" x14ac:dyDescent="0.35">
      <c r="G251" s="338" t="s">
        <v>334</v>
      </c>
      <c r="H251" s="1256" t="s">
        <v>371</v>
      </c>
    </row>
  </sheetData>
  <mergeCells count="28">
    <mergeCell ref="G122:H122"/>
    <mergeCell ref="G131:H131"/>
    <mergeCell ref="G232:H232"/>
    <mergeCell ref="G241:H241"/>
    <mergeCell ref="G248:H248"/>
    <mergeCell ref="G147:H147"/>
    <mergeCell ref="G154:H154"/>
    <mergeCell ref="G163:H163"/>
    <mergeCell ref="G170:H170"/>
    <mergeCell ref="G179:H179"/>
    <mergeCell ref="L195:M195"/>
    <mergeCell ref="L202:M202"/>
    <mergeCell ref="G225:H225"/>
    <mergeCell ref="G186:H186"/>
    <mergeCell ref="G138:H138"/>
    <mergeCell ref="G9:H9"/>
    <mergeCell ref="L85:M85"/>
    <mergeCell ref="G2:H2"/>
    <mergeCell ref="L92:M92"/>
    <mergeCell ref="G115:H115"/>
    <mergeCell ref="G34:H34"/>
    <mergeCell ref="G41:H41"/>
    <mergeCell ref="G53:H53"/>
    <mergeCell ref="G60:H60"/>
    <mergeCell ref="G69:H69"/>
    <mergeCell ref="G76:H76"/>
    <mergeCell ref="G18:H18"/>
    <mergeCell ref="G25:H25"/>
  </mergeCells>
  <dataValidations count="1">
    <dataValidation type="list" allowBlank="1" showInputMessage="1" showErrorMessage="1" sqref="B1" xr:uid="{00000000-0002-0000-0000-000000000000}">
      <formula1>$G$3:$G$5</formula1>
    </dataValidation>
  </dataValidation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9B687-6FC3-4FFC-9F59-CFECF85E8835}">
  <dimension ref="A1:FY56"/>
  <sheetViews>
    <sheetView topLeftCell="A37" zoomScale="70" zoomScaleNormal="70" workbookViewId="0">
      <selection activeCell="F76" sqref="F76"/>
    </sheetView>
  </sheetViews>
  <sheetFormatPr defaultRowHeight="18" x14ac:dyDescent="0.35"/>
  <cols>
    <col min="1" max="1" width="24.09765625" style="1399" customWidth="1"/>
    <col min="2" max="16384" width="8.796875" style="1399"/>
  </cols>
  <sheetData>
    <row r="1" spans="1:181" x14ac:dyDescent="0.35">
      <c r="A1" s="1398" t="s">
        <v>333</v>
      </c>
      <c r="B1" s="1398" t="str">
        <f>Чарти!B1</f>
        <v>RU</v>
      </c>
      <c r="C1" s="1399" t="s">
        <v>336</v>
      </c>
      <c r="D1" s="1399" t="s">
        <v>337</v>
      </c>
      <c r="E1" s="1399" t="s">
        <v>334</v>
      </c>
    </row>
    <row r="2" spans="1:181" ht="30" customHeight="1" x14ac:dyDescent="0.35">
      <c r="A2" s="1435" t="s">
        <v>722</v>
      </c>
      <c r="B2" s="1435"/>
      <c r="C2" s="1435"/>
      <c r="D2" s="1435"/>
      <c r="E2" s="1435"/>
      <c r="F2" s="1435"/>
      <c r="G2" s="1435"/>
      <c r="H2" s="1435"/>
      <c r="I2" s="1435"/>
      <c r="J2" s="1435"/>
      <c r="K2" s="1435"/>
      <c r="L2" s="1435"/>
      <c r="M2" s="1435"/>
      <c r="N2" s="1435"/>
      <c r="O2" s="1435"/>
      <c r="P2" s="1435"/>
      <c r="Q2" s="1435"/>
      <c r="R2" s="1435"/>
      <c r="S2" s="1435"/>
      <c r="T2" s="1435"/>
      <c r="U2" s="1435"/>
      <c r="V2" s="1435"/>
      <c r="W2" s="1435"/>
      <c r="X2" s="1435"/>
    </row>
    <row r="3" spans="1:181" x14ac:dyDescent="0.35">
      <c r="B3" s="1400">
        <v>2010</v>
      </c>
      <c r="C3" s="1401"/>
      <c r="D3" s="1401"/>
      <c r="E3" s="1401"/>
      <c r="F3" s="1401"/>
      <c r="G3" s="1401"/>
      <c r="H3" s="1401"/>
      <c r="I3" s="1401"/>
      <c r="J3" s="1401"/>
      <c r="K3" s="1401"/>
      <c r="L3" s="1402"/>
      <c r="M3" s="1400"/>
      <c r="N3" s="1400">
        <v>2011</v>
      </c>
      <c r="O3" s="1401"/>
      <c r="P3" s="1401"/>
      <c r="Q3" s="1401"/>
      <c r="R3" s="1401"/>
      <c r="S3" s="1401"/>
      <c r="T3" s="1401"/>
      <c r="U3" s="1401"/>
      <c r="V3" s="1401"/>
      <c r="W3" s="1401"/>
      <c r="X3" s="1402"/>
      <c r="Y3" s="1400"/>
      <c r="Z3" s="1400">
        <v>2012</v>
      </c>
      <c r="AA3" s="1401"/>
      <c r="AB3" s="1401"/>
      <c r="AC3" s="1401"/>
      <c r="AD3" s="1401"/>
      <c r="AE3" s="1401"/>
      <c r="AF3" s="1401"/>
      <c r="AG3" s="1401"/>
      <c r="AH3" s="1401"/>
      <c r="AI3" s="1401"/>
      <c r="AJ3" s="1402"/>
      <c r="AK3" s="1400"/>
      <c r="AL3" s="1400">
        <v>2013</v>
      </c>
      <c r="AM3" s="1401"/>
      <c r="AN3" s="1401"/>
      <c r="AO3" s="1401"/>
      <c r="AP3" s="1401"/>
      <c r="AQ3" s="1401"/>
      <c r="AR3" s="1401"/>
      <c r="AS3" s="1401"/>
      <c r="AT3" s="1401"/>
      <c r="AU3" s="1401"/>
      <c r="AV3" s="1402"/>
      <c r="AW3" s="1400"/>
      <c r="AX3" s="1400">
        <v>2014</v>
      </c>
      <c r="AY3" s="1401"/>
      <c r="AZ3" s="1401"/>
      <c r="BA3" s="1401"/>
      <c r="BB3" s="1401"/>
      <c r="BC3" s="1401"/>
      <c r="BD3" s="1401"/>
      <c r="BE3" s="1401"/>
      <c r="BF3" s="1401"/>
      <c r="BG3" s="1401"/>
      <c r="BH3" s="1402"/>
      <c r="BI3" s="1400"/>
      <c r="BJ3" s="1400">
        <v>2015</v>
      </c>
      <c r="BK3" s="1401"/>
      <c r="BL3" s="1401"/>
      <c r="BM3" s="1401"/>
      <c r="BN3" s="1401"/>
      <c r="BO3" s="1401"/>
      <c r="BP3" s="1401"/>
      <c r="BQ3" s="1401"/>
      <c r="BR3" s="1401"/>
      <c r="BS3" s="1401"/>
      <c r="BT3" s="1402"/>
      <c r="BU3" s="1400"/>
      <c r="BV3" s="1400">
        <v>2016</v>
      </c>
      <c r="BW3" s="1401"/>
      <c r="BX3" s="1401"/>
      <c r="BY3" s="1401"/>
      <c r="BZ3" s="1401"/>
      <c r="CA3" s="1401"/>
      <c r="CB3" s="1401"/>
      <c r="CC3" s="1401"/>
      <c r="CD3" s="1401"/>
      <c r="CE3" s="1401"/>
      <c r="CF3" s="1402"/>
      <c r="CG3" s="1400"/>
      <c r="CH3" s="1400">
        <v>2017</v>
      </c>
      <c r="CI3" s="1401"/>
      <c r="CJ3" s="1401"/>
      <c r="CK3" s="1401"/>
      <c r="CL3" s="1401"/>
      <c r="CM3" s="1401"/>
      <c r="CN3" s="1401"/>
      <c r="CO3" s="1401"/>
      <c r="CP3" s="1401"/>
      <c r="CQ3" s="1401"/>
      <c r="CR3" s="1402"/>
      <c r="CS3" s="1400"/>
      <c r="CT3" s="1400">
        <v>2018</v>
      </c>
      <c r="CU3" s="1401"/>
      <c r="CV3" s="1401"/>
      <c r="CW3" s="1401"/>
      <c r="CX3" s="1401"/>
      <c r="CY3" s="1401"/>
      <c r="CZ3" s="1401"/>
      <c r="DA3" s="1401"/>
      <c r="DB3" s="1401"/>
      <c r="DC3" s="1401"/>
      <c r="DD3" s="1402"/>
      <c r="DE3" s="1401"/>
      <c r="DF3" s="1403">
        <v>2019</v>
      </c>
      <c r="DG3" s="1400"/>
      <c r="DH3" s="1400"/>
      <c r="DI3" s="1400"/>
      <c r="DJ3" s="1400"/>
      <c r="DK3" s="1400"/>
      <c r="DL3" s="1400"/>
      <c r="DM3" s="1400"/>
      <c r="DN3" s="1400"/>
      <c r="DO3" s="1400"/>
      <c r="DP3" s="1400"/>
      <c r="DQ3" s="1404"/>
      <c r="DR3" s="1403">
        <v>2020</v>
      </c>
      <c r="DS3" s="1400"/>
      <c r="DT3" s="1405"/>
      <c r="DU3" s="1405"/>
      <c r="DV3" s="1405"/>
      <c r="DW3" s="1405"/>
      <c r="DX3" s="1405"/>
      <c r="DY3" s="1405"/>
      <c r="DZ3" s="1405"/>
      <c r="EA3" s="1405"/>
      <c r="EB3" s="1405"/>
      <c r="EC3" s="1405"/>
      <c r="ED3" s="1430">
        <v>2021</v>
      </c>
      <c r="EE3" s="1431"/>
      <c r="EF3" s="1431"/>
      <c r="EG3" s="1431"/>
      <c r="EH3" s="1431"/>
      <c r="EI3" s="1431"/>
      <c r="EJ3" s="1431"/>
      <c r="EK3" s="1431"/>
      <c r="EL3" s="1431"/>
      <c r="EM3" s="1431"/>
      <c r="EN3" s="1431"/>
      <c r="EO3" s="1432"/>
      <c r="EP3" s="1433">
        <v>2022</v>
      </c>
      <c r="EQ3" s="1434"/>
      <c r="ER3" s="1434"/>
      <c r="ES3" s="1434"/>
      <c r="ET3" s="1434"/>
      <c r="EU3" s="1434"/>
      <c r="EV3" s="1434"/>
      <c r="EW3" s="1434"/>
      <c r="EX3" s="1434"/>
      <c r="EY3" s="1434"/>
      <c r="EZ3" s="1434"/>
      <c r="FA3" s="1434"/>
      <c r="FB3" s="1433">
        <v>2023</v>
      </c>
      <c r="FC3" s="1434"/>
      <c r="FD3" s="1434"/>
      <c r="FE3" s="1434"/>
      <c r="FF3" s="1434"/>
      <c r="FG3" s="1434"/>
      <c r="FH3" s="1434"/>
      <c r="FI3" s="1434"/>
      <c r="FJ3" s="1434"/>
      <c r="FK3" s="1434"/>
      <c r="FL3" s="1434"/>
      <c r="FM3" s="1434"/>
      <c r="FN3" s="1433">
        <v>2024</v>
      </c>
      <c r="FO3" s="1434"/>
      <c r="FP3" s="1434"/>
      <c r="FQ3" s="1434"/>
      <c r="FR3" s="1434"/>
      <c r="FS3" s="1434"/>
      <c r="FT3" s="1434"/>
      <c r="FU3" s="1434"/>
      <c r="FV3" s="1434"/>
      <c r="FW3" s="1434"/>
      <c r="FX3" s="1434"/>
      <c r="FY3" s="1434"/>
    </row>
    <row r="4" spans="1:181" x14ac:dyDescent="0.35">
      <c r="B4" s="1406">
        <v>1</v>
      </c>
      <c r="C4" s="1407">
        <v>2</v>
      </c>
      <c r="D4" s="1407">
        <v>3</v>
      </c>
      <c r="E4" s="1407">
        <v>4</v>
      </c>
      <c r="F4" s="1407">
        <v>5</v>
      </c>
      <c r="G4" s="1407">
        <v>6</v>
      </c>
      <c r="H4" s="1407">
        <v>7</v>
      </c>
      <c r="I4" s="1407">
        <v>8</v>
      </c>
      <c r="J4" s="1407">
        <v>9</v>
      </c>
      <c r="K4" s="1407">
        <v>10</v>
      </c>
      <c r="L4" s="1407">
        <v>11</v>
      </c>
      <c r="M4" s="1407">
        <v>12</v>
      </c>
      <c r="N4" s="1407">
        <v>1</v>
      </c>
      <c r="O4" s="1407"/>
      <c r="P4" s="1407"/>
      <c r="Q4" s="1407"/>
      <c r="R4" s="1407"/>
      <c r="S4" s="1407"/>
      <c r="T4" s="1407"/>
      <c r="U4" s="1407"/>
      <c r="V4" s="1407"/>
      <c r="W4" s="1407"/>
      <c r="X4" s="1407"/>
      <c r="Y4" s="1407"/>
      <c r="Z4" s="1407"/>
      <c r="AA4" s="1407"/>
      <c r="AB4" s="1407"/>
      <c r="AC4" s="1407"/>
      <c r="AD4" s="1407"/>
      <c r="AE4" s="1407"/>
      <c r="AF4" s="1407"/>
      <c r="AG4" s="1407"/>
      <c r="AH4" s="1407"/>
      <c r="AI4" s="1407"/>
      <c r="AJ4" s="1407"/>
      <c r="AK4" s="1407"/>
      <c r="AL4" s="1407"/>
      <c r="AM4" s="1407"/>
      <c r="AN4" s="1407"/>
      <c r="AO4" s="1407"/>
      <c r="AP4" s="1407"/>
      <c r="AQ4" s="1407"/>
      <c r="AR4" s="1407"/>
      <c r="AS4" s="1407"/>
      <c r="AT4" s="1407"/>
      <c r="AU4" s="1407"/>
      <c r="AV4" s="1407"/>
      <c r="AW4" s="1407"/>
      <c r="AX4" s="1407"/>
      <c r="AY4" s="1407"/>
      <c r="AZ4" s="1407"/>
      <c r="BA4" s="1407"/>
      <c r="BB4" s="1407"/>
      <c r="BC4" s="1407"/>
      <c r="BD4" s="1407"/>
      <c r="BE4" s="1407"/>
      <c r="BF4" s="1407"/>
      <c r="BG4" s="1407"/>
      <c r="BH4" s="1407"/>
      <c r="BI4" s="1407"/>
      <c r="BJ4" s="1407"/>
      <c r="BK4" s="1407"/>
      <c r="BL4" s="1407"/>
      <c r="BM4" s="1407"/>
      <c r="BN4" s="1407"/>
      <c r="BO4" s="1407"/>
      <c r="BP4" s="1407"/>
      <c r="BQ4" s="1407"/>
      <c r="BR4" s="1407"/>
      <c r="BS4" s="1407"/>
      <c r="BT4" s="1407"/>
      <c r="BU4" s="1407"/>
      <c r="BV4" s="1407"/>
      <c r="BW4" s="1407"/>
      <c r="BX4" s="1407"/>
      <c r="BY4" s="1407"/>
      <c r="BZ4" s="1407"/>
      <c r="CA4" s="1407"/>
      <c r="CB4" s="1407"/>
      <c r="CC4" s="1407"/>
      <c r="CD4" s="1407"/>
      <c r="CE4" s="1407"/>
      <c r="CF4" s="1407"/>
      <c r="CG4" s="1407"/>
      <c r="CH4" s="1407"/>
      <c r="CI4" s="1407"/>
      <c r="CJ4" s="1407"/>
      <c r="CK4" s="1407"/>
      <c r="CL4" s="1407"/>
      <c r="CM4" s="1407"/>
      <c r="CN4" s="1407"/>
      <c r="CO4" s="1407"/>
      <c r="CP4" s="1407"/>
      <c r="CQ4" s="1407"/>
      <c r="CR4" s="1407"/>
      <c r="CS4" s="1407"/>
      <c r="CT4" s="1407"/>
      <c r="CU4" s="1407"/>
      <c r="CV4" s="1407"/>
      <c r="CW4" s="1407"/>
      <c r="CX4" s="1407"/>
      <c r="CY4" s="1407"/>
      <c r="CZ4" s="1407"/>
      <c r="DA4" s="1407"/>
      <c r="DB4" s="1407"/>
      <c r="DC4" s="1407"/>
      <c r="DD4" s="1407"/>
      <c r="DE4" s="1407"/>
      <c r="DF4" s="1407"/>
      <c r="DG4" s="1407"/>
      <c r="DH4" s="1407"/>
      <c r="DI4" s="1407"/>
      <c r="DJ4" s="1407"/>
      <c r="DK4" s="1407"/>
      <c r="DL4" s="1407"/>
      <c r="DM4" s="1407"/>
      <c r="DN4" s="1407"/>
      <c r="DO4" s="1407"/>
      <c r="DP4" s="1407"/>
      <c r="DQ4" s="1407"/>
      <c r="DR4" s="1407"/>
      <c r="DS4" s="1407"/>
      <c r="DT4" s="1407"/>
      <c r="DU4" s="1407"/>
      <c r="DV4" s="1407"/>
      <c r="DW4" s="1407"/>
      <c r="DX4" s="1407"/>
      <c r="DY4" s="1407"/>
      <c r="DZ4" s="1407"/>
      <c r="EA4" s="1407"/>
      <c r="EB4" s="1407"/>
      <c r="EC4" s="1407"/>
      <c r="ED4" s="1406">
        <v>1</v>
      </c>
      <c r="EE4" s="1407">
        <v>2</v>
      </c>
      <c r="EF4" s="1407">
        <v>3</v>
      </c>
      <c r="EG4" s="1407">
        <v>4</v>
      </c>
      <c r="EH4" s="1407">
        <v>5</v>
      </c>
      <c r="EI4" s="1407">
        <v>6</v>
      </c>
      <c r="EJ4" s="1407">
        <v>7</v>
      </c>
      <c r="EK4" s="1407">
        <v>8</v>
      </c>
      <c r="EL4" s="1407">
        <v>9</v>
      </c>
      <c r="EM4" s="1407">
        <v>10</v>
      </c>
      <c r="EN4" s="1407">
        <v>11</v>
      </c>
      <c r="EO4" s="1407">
        <v>12</v>
      </c>
      <c r="EP4" s="1406">
        <v>1</v>
      </c>
      <c r="EQ4" s="1407">
        <v>2</v>
      </c>
      <c r="ER4" s="1407">
        <v>3</v>
      </c>
      <c r="ES4" s="1407">
        <v>4</v>
      </c>
      <c r="ET4" s="1407">
        <v>5</v>
      </c>
      <c r="EU4" s="1407">
        <v>6</v>
      </c>
      <c r="EV4" s="1407">
        <v>7</v>
      </c>
      <c r="EW4" s="1407">
        <v>8</v>
      </c>
      <c r="EX4" s="1407">
        <v>9</v>
      </c>
      <c r="EY4" s="1407">
        <v>10</v>
      </c>
      <c r="EZ4" s="1407">
        <v>11</v>
      </c>
      <c r="FA4" s="1407">
        <v>12</v>
      </c>
      <c r="FB4" s="1406">
        <v>1</v>
      </c>
      <c r="FC4" s="1407">
        <v>2</v>
      </c>
      <c r="FD4" s="1407">
        <v>3</v>
      </c>
      <c r="FE4" s="1407">
        <v>4</v>
      </c>
      <c r="FF4" s="1407">
        <v>5</v>
      </c>
      <c r="FG4" s="1407">
        <v>6</v>
      </c>
      <c r="FH4" s="1407">
        <v>7</v>
      </c>
      <c r="FI4" s="1407">
        <v>8</v>
      </c>
      <c r="FJ4" s="1407">
        <v>9</v>
      </c>
      <c r="FK4" s="1407">
        <v>10</v>
      </c>
      <c r="FL4" s="1407">
        <v>11</v>
      </c>
      <c r="FM4" s="1407">
        <v>12</v>
      </c>
      <c r="FN4" s="1406">
        <v>1</v>
      </c>
      <c r="FO4" s="1407">
        <v>2</v>
      </c>
      <c r="FP4" s="1407">
        <v>3</v>
      </c>
      <c r="FQ4" s="1407">
        <v>4</v>
      </c>
      <c r="FR4" s="1407">
        <v>5</v>
      </c>
      <c r="FS4" s="1407">
        <v>6</v>
      </c>
      <c r="FT4" s="1407">
        <v>7</v>
      </c>
      <c r="FU4" s="1407">
        <v>8</v>
      </c>
      <c r="FV4" s="1407">
        <v>9</v>
      </c>
      <c r="FW4" s="1407">
        <v>10</v>
      </c>
      <c r="FX4" s="1407">
        <v>11</v>
      </c>
      <c r="FY4" s="1407">
        <v>12</v>
      </c>
    </row>
    <row r="5" spans="1:181" x14ac:dyDescent="0.35">
      <c r="A5" s="1399" t="str">
        <f>INDEX($Q$8:$S$8,1,MATCH($B$1,$C$1:$E$1,0))</f>
        <v>Экспорт, $ млн</v>
      </c>
      <c r="B5" s="1408">
        <v>42</v>
      </c>
      <c r="C5" s="1409">
        <v>47</v>
      </c>
      <c r="D5" s="1409">
        <v>59</v>
      </c>
      <c r="E5" s="1409">
        <v>61</v>
      </c>
      <c r="F5" s="1409">
        <v>52</v>
      </c>
      <c r="G5" s="1409">
        <v>53</v>
      </c>
      <c r="H5" s="1409">
        <v>64</v>
      </c>
      <c r="I5" s="1409">
        <v>56</v>
      </c>
      <c r="J5" s="1409">
        <v>68</v>
      </c>
      <c r="K5" s="1409">
        <v>61</v>
      </c>
      <c r="L5" s="1409">
        <v>76</v>
      </c>
      <c r="M5" s="1409">
        <v>80</v>
      </c>
      <c r="N5" s="1409">
        <v>58</v>
      </c>
      <c r="O5" s="1409">
        <v>58</v>
      </c>
      <c r="P5" s="1409">
        <v>80</v>
      </c>
      <c r="Q5" s="1409">
        <v>75</v>
      </c>
      <c r="R5" s="1409">
        <v>75</v>
      </c>
      <c r="S5" s="1409">
        <v>83</v>
      </c>
      <c r="T5" s="1409">
        <v>85</v>
      </c>
      <c r="U5" s="1409">
        <v>99</v>
      </c>
      <c r="V5" s="1409">
        <v>96</v>
      </c>
      <c r="W5" s="1409">
        <v>104</v>
      </c>
      <c r="X5" s="1409">
        <v>114</v>
      </c>
      <c r="Y5" s="1409">
        <v>113</v>
      </c>
      <c r="Z5" s="1409">
        <v>71</v>
      </c>
      <c r="AA5" s="1409">
        <v>99</v>
      </c>
      <c r="AB5" s="1409">
        <v>92</v>
      </c>
      <c r="AC5" s="1409">
        <v>100</v>
      </c>
      <c r="AD5" s="1409">
        <v>102</v>
      </c>
      <c r="AE5" s="1409">
        <v>98</v>
      </c>
      <c r="AF5" s="1409">
        <v>130</v>
      </c>
      <c r="AG5" s="1409">
        <v>117</v>
      </c>
      <c r="AH5" s="1409">
        <v>101</v>
      </c>
      <c r="AI5" s="1409">
        <v>129</v>
      </c>
      <c r="AJ5" s="1409">
        <v>126</v>
      </c>
      <c r="AK5" s="1409">
        <v>156</v>
      </c>
      <c r="AL5" s="1409">
        <v>125</v>
      </c>
      <c r="AM5" s="1409">
        <v>118</v>
      </c>
      <c r="AN5" s="1409">
        <v>127</v>
      </c>
      <c r="AO5" s="1409">
        <v>153</v>
      </c>
      <c r="AP5" s="1409">
        <v>128</v>
      </c>
      <c r="AQ5" s="1409">
        <v>127</v>
      </c>
      <c r="AR5" s="1409">
        <v>165</v>
      </c>
      <c r="AS5" s="1409">
        <v>152</v>
      </c>
      <c r="AT5" s="1409">
        <v>144</v>
      </c>
      <c r="AU5" s="1409">
        <v>181</v>
      </c>
      <c r="AV5" s="1409">
        <v>160</v>
      </c>
      <c r="AW5" s="1409">
        <v>202</v>
      </c>
      <c r="AX5" s="1409">
        <v>153</v>
      </c>
      <c r="AY5" s="1409">
        <v>153</v>
      </c>
      <c r="AZ5" s="1409">
        <v>152</v>
      </c>
      <c r="BA5" s="1409">
        <v>177</v>
      </c>
      <c r="BB5" s="1409">
        <v>142</v>
      </c>
      <c r="BC5" s="1409">
        <v>141</v>
      </c>
      <c r="BD5" s="1409">
        <v>197</v>
      </c>
      <c r="BE5" s="1409">
        <v>145</v>
      </c>
      <c r="BF5" s="1409">
        <v>159</v>
      </c>
      <c r="BG5" s="1409">
        <v>233</v>
      </c>
      <c r="BH5" s="1409">
        <v>174</v>
      </c>
      <c r="BI5" s="1409">
        <v>216</v>
      </c>
      <c r="BJ5" s="1409">
        <v>151</v>
      </c>
      <c r="BK5" s="1409">
        <v>145</v>
      </c>
      <c r="BL5" s="1409">
        <v>200</v>
      </c>
      <c r="BM5" s="1409">
        <v>181</v>
      </c>
      <c r="BN5" s="1409">
        <v>144</v>
      </c>
      <c r="BO5" s="1409">
        <v>193</v>
      </c>
      <c r="BP5" s="1409">
        <v>166</v>
      </c>
      <c r="BQ5" s="1409">
        <v>164</v>
      </c>
      <c r="BR5" s="1409">
        <v>183</v>
      </c>
      <c r="BS5" s="1409">
        <v>166</v>
      </c>
      <c r="BT5" s="1409">
        <v>174</v>
      </c>
      <c r="BU5" s="1409">
        <v>238</v>
      </c>
      <c r="BV5" s="1409">
        <v>135</v>
      </c>
      <c r="BW5" s="1409">
        <v>181</v>
      </c>
      <c r="BX5" s="1409">
        <v>208</v>
      </c>
      <c r="BY5" s="1409">
        <v>187</v>
      </c>
      <c r="BZ5" s="1409">
        <v>170</v>
      </c>
      <c r="CA5" s="1409">
        <v>192</v>
      </c>
      <c r="CB5" s="1409">
        <v>196</v>
      </c>
      <c r="CC5" s="1409">
        <v>192</v>
      </c>
      <c r="CD5" s="1409">
        <v>211</v>
      </c>
      <c r="CE5" s="1409">
        <v>198</v>
      </c>
      <c r="CF5" s="1409">
        <v>207</v>
      </c>
      <c r="CG5" s="1409">
        <v>233</v>
      </c>
      <c r="CH5" s="1409">
        <v>183</v>
      </c>
      <c r="CI5" s="1409">
        <v>205</v>
      </c>
      <c r="CJ5" s="1409">
        <v>214</v>
      </c>
      <c r="CK5" s="1409">
        <v>215</v>
      </c>
      <c r="CL5" s="1409">
        <v>235</v>
      </c>
      <c r="CM5" s="1409">
        <v>217</v>
      </c>
      <c r="CN5" s="1409">
        <v>238</v>
      </c>
      <c r="CO5" s="1409">
        <v>238</v>
      </c>
      <c r="CP5" s="1409">
        <v>220</v>
      </c>
      <c r="CQ5" s="1409">
        <v>266</v>
      </c>
      <c r="CR5" s="1409">
        <v>266</v>
      </c>
      <c r="CS5" s="1409">
        <v>263</v>
      </c>
      <c r="CT5" s="1409">
        <v>245</v>
      </c>
      <c r="CU5" s="1409">
        <v>254</v>
      </c>
      <c r="CV5" s="1409">
        <v>270</v>
      </c>
      <c r="CW5" s="1409">
        <v>273</v>
      </c>
      <c r="CX5" s="1409">
        <v>296</v>
      </c>
      <c r="CY5" s="1409">
        <v>264</v>
      </c>
      <c r="CZ5" s="1409">
        <v>298</v>
      </c>
      <c r="DA5" s="1409">
        <v>303</v>
      </c>
      <c r="DB5" s="1409">
        <v>296</v>
      </c>
      <c r="DC5" s="1409">
        <v>303</v>
      </c>
      <c r="DD5" s="1409">
        <v>319</v>
      </c>
      <c r="DE5" s="1409">
        <v>352</v>
      </c>
      <c r="DF5" s="1409">
        <v>301</v>
      </c>
      <c r="DG5" s="1409">
        <v>315</v>
      </c>
      <c r="DH5" s="1409">
        <v>327</v>
      </c>
      <c r="DI5" s="1409">
        <v>332</v>
      </c>
      <c r="DJ5" s="1409">
        <v>367</v>
      </c>
      <c r="DK5" s="1409">
        <v>342</v>
      </c>
      <c r="DL5" s="1409">
        <v>375</v>
      </c>
      <c r="DM5" s="1409">
        <v>364</v>
      </c>
      <c r="DN5" s="1409">
        <v>359</v>
      </c>
      <c r="DO5" s="1409">
        <v>384</v>
      </c>
      <c r="DP5" s="1409">
        <v>393</v>
      </c>
      <c r="DQ5" s="1409">
        <v>472</v>
      </c>
      <c r="DR5" s="1409">
        <v>382</v>
      </c>
      <c r="DS5" s="1409">
        <v>399</v>
      </c>
      <c r="DT5" s="1409">
        <v>437</v>
      </c>
      <c r="DU5" s="1409">
        <v>398</v>
      </c>
      <c r="DV5" s="1409">
        <v>389</v>
      </c>
      <c r="DW5" s="1409">
        <v>404</v>
      </c>
      <c r="DX5" s="1409">
        <v>426</v>
      </c>
      <c r="DY5" s="1409">
        <v>437</v>
      </c>
      <c r="DZ5" s="1409">
        <v>434</v>
      </c>
      <c r="EA5" s="1409">
        <v>451</v>
      </c>
      <c r="EB5" s="1409">
        <v>459</v>
      </c>
      <c r="EC5" s="1409">
        <v>565</v>
      </c>
      <c r="ED5" s="1409">
        <v>430</v>
      </c>
      <c r="EE5" s="1409">
        <v>492</v>
      </c>
      <c r="EF5" s="1409">
        <v>559</v>
      </c>
      <c r="EG5" s="1409">
        <v>568</v>
      </c>
      <c r="EH5" s="1409">
        <v>515</v>
      </c>
      <c r="EI5" s="1409">
        <v>558</v>
      </c>
      <c r="EJ5" s="1409">
        <v>587</v>
      </c>
      <c r="EK5" s="1409">
        <v>608</v>
      </c>
      <c r="EL5" s="1409">
        <v>636</v>
      </c>
      <c r="EM5" s="1409">
        <v>656</v>
      </c>
      <c r="EN5" s="1409">
        <v>689</v>
      </c>
      <c r="EO5" s="1409">
        <v>809</v>
      </c>
      <c r="EP5" s="1409">
        <v>656</v>
      </c>
      <c r="EQ5" s="1409">
        <v>854</v>
      </c>
      <c r="ER5" s="1409">
        <v>531</v>
      </c>
      <c r="ES5" s="1409">
        <v>589</v>
      </c>
      <c r="ET5" s="1409">
        <v>617</v>
      </c>
      <c r="EU5" s="1409">
        <v>581</v>
      </c>
      <c r="EV5" s="1409">
        <v>558</v>
      </c>
      <c r="EW5" s="1409">
        <v>637</v>
      </c>
      <c r="EX5" s="1409">
        <v>592</v>
      </c>
      <c r="EY5" s="1409">
        <v>546</v>
      </c>
      <c r="EZ5" s="1409">
        <v>598</v>
      </c>
      <c r="FA5" s="1410">
        <v>762</v>
      </c>
      <c r="FB5" s="1410">
        <v>542</v>
      </c>
      <c r="FC5" s="1410">
        <v>558</v>
      </c>
      <c r="FD5" s="1410">
        <v>616</v>
      </c>
      <c r="FE5" s="1410">
        <v>551</v>
      </c>
      <c r="FF5" s="1410">
        <v>605</v>
      </c>
      <c r="FG5" s="1410">
        <v>586</v>
      </c>
      <c r="FH5" s="1410">
        <v>574</v>
      </c>
      <c r="FI5" s="1410">
        <v>578</v>
      </c>
      <c r="FJ5" s="1410">
        <v>533</v>
      </c>
      <c r="FK5" s="1410">
        <v>542</v>
      </c>
      <c r="FL5" s="1410">
        <v>576</v>
      </c>
      <c r="FM5" s="1410">
        <v>593</v>
      </c>
      <c r="FN5" s="1410">
        <v>542</v>
      </c>
      <c r="FO5" s="1410">
        <v>523.49540398163299</v>
      </c>
      <c r="FP5" s="1410">
        <v>586.00927954816189</v>
      </c>
      <c r="FQ5" s="1410">
        <v>562.40081353601806</v>
      </c>
      <c r="FR5" s="1410">
        <v>556.18323837268781</v>
      </c>
      <c r="FS5" s="1410">
        <v>580.15180212346354</v>
      </c>
      <c r="FT5" s="1410">
        <v>584.50562413040984</v>
      </c>
      <c r="FU5" s="1410">
        <v>599.89232911334534</v>
      </c>
      <c r="FV5" s="1410">
        <v>589.86192182269485</v>
      </c>
      <c r="FW5" s="1410">
        <v>610.18893283877208</v>
      </c>
      <c r="FX5" s="1410">
        <v>633.37244772077304</v>
      </c>
      <c r="FY5" s="1410">
        <v>704</v>
      </c>
    </row>
    <row r="6" spans="1:181" x14ac:dyDescent="0.35">
      <c r="A6" s="1399" t="str">
        <f>INDEX($Q$10:$S$10,1,MATCH($B$1,$C$1:$E$1,0))</f>
        <v>г-г, %</v>
      </c>
      <c r="ED6" s="1411">
        <f t="shared" ref="ED6:EZ6" si="0">ED5/DR5-1</f>
        <v>0.12565445026178002</v>
      </c>
      <c r="EE6" s="1411">
        <f t="shared" si="0"/>
        <v>0.23308270676691722</v>
      </c>
      <c r="EF6" s="1411">
        <f t="shared" si="0"/>
        <v>0.2791762013729977</v>
      </c>
      <c r="EG6" s="1411">
        <f t="shared" si="0"/>
        <v>0.42713567839195976</v>
      </c>
      <c r="EH6" s="1411">
        <f t="shared" si="0"/>
        <v>0.32390745501285356</v>
      </c>
      <c r="EI6" s="1411">
        <f t="shared" si="0"/>
        <v>0.38118811881188108</v>
      </c>
      <c r="EJ6" s="1411">
        <f t="shared" si="0"/>
        <v>0.3779342723004695</v>
      </c>
      <c r="EK6" s="1411">
        <f t="shared" si="0"/>
        <v>0.39130434782608692</v>
      </c>
      <c r="EL6" s="1411">
        <f t="shared" si="0"/>
        <v>0.46543778801843327</v>
      </c>
      <c r="EM6" s="1411">
        <f t="shared" si="0"/>
        <v>0.45454545454545459</v>
      </c>
      <c r="EN6" s="1411">
        <f t="shared" si="0"/>
        <v>0.50108932461873645</v>
      </c>
      <c r="EO6" s="1411">
        <f t="shared" si="0"/>
        <v>0.43185840707964607</v>
      </c>
      <c r="EP6" s="1411">
        <f t="shared" si="0"/>
        <v>0.5255813953488373</v>
      </c>
      <c r="EQ6" s="1411">
        <f t="shared" si="0"/>
        <v>0.7357723577235773</v>
      </c>
      <c r="ER6" s="1411">
        <f t="shared" si="0"/>
        <v>-5.0089445438282643E-2</v>
      </c>
      <c r="ES6" s="1411">
        <f t="shared" si="0"/>
        <v>3.6971830985915499E-2</v>
      </c>
      <c r="ET6" s="1411">
        <f t="shared" si="0"/>
        <v>0.19805825242718456</v>
      </c>
      <c r="EU6" s="1411">
        <f t="shared" si="0"/>
        <v>4.1218637992831431E-2</v>
      </c>
      <c r="EV6" s="1411">
        <f t="shared" si="0"/>
        <v>-4.9403747870528147E-2</v>
      </c>
      <c r="EW6" s="1411">
        <f t="shared" si="0"/>
        <v>4.7697368421052655E-2</v>
      </c>
      <c r="EX6" s="1411">
        <f t="shared" si="0"/>
        <v>-6.9182389937106903E-2</v>
      </c>
      <c r="EY6" s="1411">
        <f t="shared" si="0"/>
        <v>-0.16768292682926833</v>
      </c>
      <c r="EZ6" s="1411">
        <f t="shared" si="0"/>
        <v>-0.13207547169811318</v>
      </c>
      <c r="FA6" s="1411">
        <f>FA5/EO5-1</f>
        <v>-5.8096415327564932E-2</v>
      </c>
      <c r="FB6" s="1411">
        <f t="shared" ref="FB6:FY6" si="1">FB5/EP5-1</f>
        <v>-0.17378048780487809</v>
      </c>
      <c r="FC6" s="1411">
        <f t="shared" si="1"/>
        <v>-0.34660421545667452</v>
      </c>
      <c r="FD6" s="1411">
        <f t="shared" si="1"/>
        <v>0.16007532956685488</v>
      </c>
      <c r="FE6" s="1411">
        <f t="shared" si="1"/>
        <v>-6.4516129032258118E-2</v>
      </c>
      <c r="FF6" s="1411">
        <f t="shared" si="1"/>
        <v>-1.9448946515397081E-2</v>
      </c>
      <c r="FG6" s="1411">
        <f t="shared" si="1"/>
        <v>8.6058519793459354E-3</v>
      </c>
      <c r="FH6" s="1411">
        <f t="shared" si="1"/>
        <v>2.8673835125448077E-2</v>
      </c>
      <c r="FI6" s="1411">
        <f t="shared" si="1"/>
        <v>-9.262166405023553E-2</v>
      </c>
      <c r="FJ6" s="1411">
        <f t="shared" si="1"/>
        <v>-9.9662162162162171E-2</v>
      </c>
      <c r="FK6" s="1411">
        <f t="shared" si="1"/>
        <v>-7.3260073260073E-3</v>
      </c>
      <c r="FL6" s="1411">
        <f t="shared" si="1"/>
        <v>-3.6789297658862852E-2</v>
      </c>
      <c r="FM6" s="1411">
        <f t="shared" si="1"/>
        <v>-0.22178477690288712</v>
      </c>
      <c r="FN6" s="1411">
        <f t="shared" si="1"/>
        <v>0</v>
      </c>
      <c r="FO6" s="1411">
        <f t="shared" si="1"/>
        <v>-6.1836193581302878E-2</v>
      </c>
      <c r="FP6" s="1411">
        <f t="shared" si="1"/>
        <v>-4.8686234499737191E-2</v>
      </c>
      <c r="FQ6" s="1411">
        <f t="shared" si="1"/>
        <v>2.0691131644315908E-2</v>
      </c>
      <c r="FR6" s="1411">
        <f t="shared" si="1"/>
        <v>-8.0688862193904476E-2</v>
      </c>
      <c r="FS6" s="1411">
        <f t="shared" si="1"/>
        <v>-9.979859857570772E-3</v>
      </c>
      <c r="FT6" s="1411">
        <f t="shared" si="1"/>
        <v>1.8302481063431797E-2</v>
      </c>
      <c r="FU6" s="1411">
        <f t="shared" si="1"/>
        <v>3.7876001926202996E-2</v>
      </c>
      <c r="FV6" s="1411">
        <f t="shared" si="1"/>
        <v>0.10668278015514976</v>
      </c>
      <c r="FW6" s="1411">
        <f t="shared" si="1"/>
        <v>0.12580983918592636</v>
      </c>
      <c r="FX6" s="1411">
        <f t="shared" si="1"/>
        <v>9.9604943959675341E-2</v>
      </c>
      <c r="FY6" s="1411">
        <f t="shared" si="1"/>
        <v>0.18718381112984828</v>
      </c>
    </row>
    <row r="8" spans="1:181" x14ac:dyDescent="0.35">
      <c r="B8" s="1399">
        <v>2010</v>
      </c>
      <c r="C8" s="1399">
        <v>2011</v>
      </c>
      <c r="D8" s="1399">
        <v>2012</v>
      </c>
      <c r="E8" s="1399">
        <v>2013</v>
      </c>
      <c r="F8" s="1399">
        <v>2014</v>
      </c>
      <c r="G8" s="1399">
        <v>2015</v>
      </c>
      <c r="H8" s="1399">
        <v>2016</v>
      </c>
      <c r="I8" s="1399">
        <v>2017</v>
      </c>
      <c r="J8" s="1399">
        <v>2018</v>
      </c>
      <c r="K8" s="1399">
        <v>2019</v>
      </c>
      <c r="L8" s="1399">
        <v>2020</v>
      </c>
      <c r="M8" s="1412">
        <v>2021</v>
      </c>
      <c r="N8" s="1412">
        <v>2022</v>
      </c>
      <c r="O8" s="1412" t="s">
        <v>585</v>
      </c>
      <c r="P8" s="1412" t="s">
        <v>586</v>
      </c>
      <c r="Q8" s="1413" t="s">
        <v>723</v>
      </c>
      <c r="R8" s="1413" t="s">
        <v>724</v>
      </c>
      <c r="S8" s="1413" t="s">
        <v>725</v>
      </c>
    </row>
    <row r="9" spans="1:181" x14ac:dyDescent="0.35">
      <c r="A9" s="1399" t="str">
        <f>INDEX($Q$9:$S$9,1,MATCH($B$1,$C$1:$E$1,0))</f>
        <v>Экспорт, $ млрд</v>
      </c>
      <c r="B9" s="1414">
        <v>0.71899999999999997</v>
      </c>
      <c r="C9" s="1414">
        <v>1.04</v>
      </c>
      <c r="D9" s="1414">
        <v>1.321</v>
      </c>
      <c r="E9" s="1414">
        <v>1.782</v>
      </c>
      <c r="F9" s="1414">
        <v>2.0419999999999998</v>
      </c>
      <c r="G9" s="1414">
        <v>2.105</v>
      </c>
      <c r="H9" s="1414">
        <v>2.31</v>
      </c>
      <c r="I9" s="1414">
        <v>2.76</v>
      </c>
      <c r="J9" s="1414">
        <v>3.4729999999999999</v>
      </c>
      <c r="K9" s="1414">
        <v>4.3310000000000004</v>
      </c>
      <c r="L9" s="1414">
        <v>5.181</v>
      </c>
      <c r="M9" s="1414">
        <v>7.1070000000000002</v>
      </c>
      <c r="N9" s="1414">
        <f>SUM(EP5:FA5)/1000</f>
        <v>7.5209999999999999</v>
      </c>
      <c r="O9" s="1414">
        <f>SUM(FB5:FM5)/1000</f>
        <v>6.8540000000000001</v>
      </c>
      <c r="P9" s="1414">
        <f>SUM(FN5:FY5)/1000</f>
        <v>7.0720617931879604</v>
      </c>
      <c r="Q9" s="1413" t="s">
        <v>729</v>
      </c>
      <c r="R9" s="1413" t="s">
        <v>730</v>
      </c>
      <c r="S9" s="1413" t="s">
        <v>731</v>
      </c>
      <c r="U9" s="1413"/>
      <c r="V9" s="1413"/>
      <c r="W9" s="1413"/>
    </row>
    <row r="10" spans="1:181" x14ac:dyDescent="0.35">
      <c r="A10" s="1399" t="str">
        <f>INDEX($Q$10:$S$10,1,MATCH($B$1,$C$1:$E$1,0))</f>
        <v>г-г, %</v>
      </c>
      <c r="B10" s="1424">
        <f>B9/(B13/1000)-1</f>
        <v>0.22696245733788389</v>
      </c>
      <c r="C10" s="1411">
        <f>C9/B9-1</f>
        <v>0.44645340751043117</v>
      </c>
      <c r="D10" s="1411">
        <f t="shared" ref="D10:N10" si="2">D9/C9-1</f>
        <v>0.27019230769230762</v>
      </c>
      <c r="E10" s="1411">
        <f t="shared" si="2"/>
        <v>0.34897804693414081</v>
      </c>
      <c r="F10" s="1411">
        <f t="shared" si="2"/>
        <v>0.14590347923681235</v>
      </c>
      <c r="G10" s="1411">
        <f t="shared" si="2"/>
        <v>3.0852105778648387E-2</v>
      </c>
      <c r="H10" s="1411">
        <f t="shared" si="2"/>
        <v>9.7387173396674687E-2</v>
      </c>
      <c r="I10" s="1411">
        <f t="shared" si="2"/>
        <v>0.19480519480519476</v>
      </c>
      <c r="J10" s="1411">
        <f t="shared" si="2"/>
        <v>0.2583333333333333</v>
      </c>
      <c r="K10" s="1411">
        <f t="shared" si="2"/>
        <v>0.24704866109991386</v>
      </c>
      <c r="L10" s="1411">
        <f t="shared" si="2"/>
        <v>0.19625952435927019</v>
      </c>
      <c r="M10" s="1411">
        <f t="shared" si="2"/>
        <v>0.37174290677475397</v>
      </c>
      <c r="N10" s="1411">
        <f t="shared" si="2"/>
        <v>5.8252427184465994E-2</v>
      </c>
      <c r="O10" s="1411">
        <f>O9/N9-1</f>
        <v>-8.8685015290519864E-2</v>
      </c>
      <c r="P10" s="1411">
        <f>P9/O9-1</f>
        <v>3.1815260167487702E-2</v>
      </c>
      <c r="Q10" s="1399" t="s">
        <v>726</v>
      </c>
      <c r="R10" s="1399" t="s">
        <v>727</v>
      </c>
      <c r="S10" s="1399" t="s">
        <v>728</v>
      </c>
      <c r="EK10" s="1410">
        <f>MEDIAN(ED5:FA5)</f>
        <v>590.5</v>
      </c>
    </row>
    <row r="11" spans="1:181" x14ac:dyDescent="0.35">
      <c r="Q11" s="1413" t="s">
        <v>732</v>
      </c>
      <c r="R11" s="1413" t="s">
        <v>733</v>
      </c>
      <c r="S11" s="1413" t="s">
        <v>734</v>
      </c>
    </row>
    <row r="12" spans="1:181" x14ac:dyDescent="0.35">
      <c r="B12" s="1423">
        <v>2009</v>
      </c>
      <c r="Q12" s="1413" t="s">
        <v>735</v>
      </c>
      <c r="R12" s="1413" t="s">
        <v>736</v>
      </c>
      <c r="S12" s="1413" t="s">
        <v>737</v>
      </c>
    </row>
    <row r="13" spans="1:181" x14ac:dyDescent="0.35">
      <c r="B13" s="1423">
        <v>586</v>
      </c>
    </row>
    <row r="14" spans="1:181" x14ac:dyDescent="0.35">
      <c r="Q14" s="1399" t="s">
        <v>738</v>
      </c>
    </row>
    <row r="17" spans="2:181" x14ac:dyDescent="0.35">
      <c r="O17" s="1399" t="s">
        <v>739</v>
      </c>
    </row>
    <row r="18" spans="2:181" x14ac:dyDescent="0.35">
      <c r="O18" s="1399" t="s">
        <v>336</v>
      </c>
      <c r="P18" s="1399" t="s">
        <v>740</v>
      </c>
    </row>
    <row r="19" spans="2:181" x14ac:dyDescent="0.35">
      <c r="O19" s="1399" t="s">
        <v>337</v>
      </c>
      <c r="P19" s="1399" t="s">
        <v>741</v>
      </c>
    </row>
    <row r="20" spans="2:181" x14ac:dyDescent="0.35">
      <c r="O20" s="1399" t="s">
        <v>334</v>
      </c>
      <c r="P20" s="1427" t="s">
        <v>742</v>
      </c>
    </row>
    <row r="22" spans="2:181" x14ac:dyDescent="0.35">
      <c r="O22" s="1399" t="s">
        <v>743</v>
      </c>
    </row>
    <row r="23" spans="2:181" x14ac:dyDescent="0.35">
      <c r="O23" s="1399" t="s">
        <v>336</v>
      </c>
      <c r="P23" s="1399" t="s">
        <v>744</v>
      </c>
    </row>
    <row r="24" spans="2:181" x14ac:dyDescent="0.35">
      <c r="O24" s="1399" t="s">
        <v>337</v>
      </c>
      <c r="P24" s="1399" t="s">
        <v>745</v>
      </c>
    </row>
    <row r="25" spans="2:181" x14ac:dyDescent="0.35">
      <c r="O25" s="1399" t="s">
        <v>334</v>
      </c>
      <c r="P25" s="1399" t="s">
        <v>746</v>
      </c>
    </row>
    <row r="32" spans="2:181" x14ac:dyDescent="0.35">
      <c r="B32" s="1400">
        <v>2010</v>
      </c>
      <c r="C32" s="1401"/>
      <c r="D32" s="1401"/>
      <c r="E32" s="1401"/>
      <c r="F32" s="1401"/>
      <c r="G32" s="1401"/>
      <c r="H32" s="1401"/>
      <c r="I32" s="1401"/>
      <c r="J32" s="1401"/>
      <c r="K32" s="1401"/>
      <c r="L32" s="1402"/>
      <c r="M32" s="1400"/>
      <c r="N32" s="1400">
        <v>2011</v>
      </c>
      <c r="O32" s="1401"/>
      <c r="P32" s="1401"/>
      <c r="Q32" s="1401"/>
      <c r="R32" s="1401"/>
      <c r="S32" s="1401"/>
      <c r="T32" s="1401"/>
      <c r="U32" s="1401"/>
      <c r="V32" s="1401"/>
      <c r="W32" s="1401"/>
      <c r="X32" s="1402"/>
      <c r="Y32" s="1400"/>
      <c r="Z32" s="1400">
        <v>2012</v>
      </c>
      <c r="AA32" s="1401"/>
      <c r="AB32" s="1401"/>
      <c r="AC32" s="1401"/>
      <c r="AD32" s="1401"/>
      <c r="AE32" s="1401"/>
      <c r="AF32" s="1401"/>
      <c r="AG32" s="1401"/>
      <c r="AH32" s="1401"/>
      <c r="AI32" s="1401"/>
      <c r="AJ32" s="1402"/>
      <c r="AK32" s="1400"/>
      <c r="AL32" s="1400">
        <v>2013</v>
      </c>
      <c r="AM32" s="1401"/>
      <c r="AN32" s="1401"/>
      <c r="AO32" s="1401"/>
      <c r="AP32" s="1401"/>
      <c r="AQ32" s="1401"/>
      <c r="AR32" s="1401"/>
      <c r="AS32" s="1401"/>
      <c r="AT32" s="1401"/>
      <c r="AU32" s="1401"/>
      <c r="AV32" s="1402"/>
      <c r="AW32" s="1400"/>
      <c r="AX32" s="1400">
        <v>2014</v>
      </c>
      <c r="AY32" s="1401"/>
      <c r="AZ32" s="1401"/>
      <c r="BA32" s="1401"/>
      <c r="BB32" s="1401"/>
      <c r="BC32" s="1401"/>
      <c r="BD32" s="1401"/>
      <c r="BE32" s="1401"/>
      <c r="BF32" s="1401"/>
      <c r="BG32" s="1401"/>
      <c r="BH32" s="1402"/>
      <c r="BI32" s="1400"/>
      <c r="BJ32" s="1400">
        <v>2015</v>
      </c>
      <c r="BK32" s="1401"/>
      <c r="BL32" s="1401"/>
      <c r="BM32" s="1401"/>
      <c r="BN32" s="1401"/>
      <c r="BO32" s="1401"/>
      <c r="BP32" s="1401"/>
      <c r="BQ32" s="1401"/>
      <c r="BR32" s="1401"/>
      <c r="BS32" s="1401"/>
      <c r="BT32" s="1402"/>
      <c r="BU32" s="1400"/>
      <c r="BV32" s="1400">
        <v>2016</v>
      </c>
      <c r="BW32" s="1401"/>
      <c r="BX32" s="1401"/>
      <c r="BY32" s="1401"/>
      <c r="BZ32" s="1401"/>
      <c r="CA32" s="1401"/>
      <c r="CB32" s="1401"/>
      <c r="CC32" s="1401"/>
      <c r="CD32" s="1401"/>
      <c r="CE32" s="1401"/>
      <c r="CF32" s="1402"/>
      <c r="CG32" s="1400"/>
      <c r="CH32" s="1400">
        <v>2017</v>
      </c>
      <c r="CI32" s="1401"/>
      <c r="CJ32" s="1401"/>
      <c r="CK32" s="1401"/>
      <c r="CL32" s="1401"/>
      <c r="CM32" s="1401"/>
      <c r="CN32" s="1401"/>
      <c r="CO32" s="1401"/>
      <c r="CP32" s="1401"/>
      <c r="CQ32" s="1401"/>
      <c r="CR32" s="1402"/>
      <c r="CS32" s="1400"/>
      <c r="CT32" s="1400">
        <v>2018</v>
      </c>
      <c r="CU32" s="1401"/>
      <c r="CV32" s="1401"/>
      <c r="CW32" s="1401"/>
      <c r="CX32" s="1401"/>
      <c r="CY32" s="1401"/>
      <c r="CZ32" s="1401"/>
      <c r="DA32" s="1401"/>
      <c r="DB32" s="1401"/>
      <c r="DC32" s="1401"/>
      <c r="DD32" s="1402"/>
      <c r="DE32" s="1401"/>
      <c r="DF32" s="1403">
        <v>2019</v>
      </c>
      <c r="DG32" s="1400"/>
      <c r="DH32" s="1400"/>
      <c r="DI32" s="1400"/>
      <c r="DJ32" s="1400"/>
      <c r="DK32" s="1400"/>
      <c r="DL32" s="1400"/>
      <c r="DM32" s="1400"/>
      <c r="DN32" s="1400"/>
      <c r="DO32" s="1400"/>
      <c r="DP32" s="1400"/>
      <c r="DQ32" s="1404"/>
      <c r="DR32" s="1403">
        <v>2020</v>
      </c>
      <c r="DS32" s="1400"/>
      <c r="DT32" s="1405"/>
      <c r="DU32" s="1405"/>
      <c r="DV32" s="1405"/>
      <c r="DW32" s="1405"/>
      <c r="DX32" s="1405"/>
      <c r="DY32" s="1405"/>
      <c r="DZ32" s="1405"/>
      <c r="EA32" s="1405"/>
      <c r="EB32" s="1405"/>
      <c r="EC32" s="1405"/>
      <c r="ED32" s="1430">
        <v>2021</v>
      </c>
      <c r="EE32" s="1431"/>
      <c r="EF32" s="1431"/>
      <c r="EG32" s="1431"/>
      <c r="EH32" s="1431"/>
      <c r="EI32" s="1431"/>
      <c r="EJ32" s="1431"/>
      <c r="EK32" s="1431"/>
      <c r="EL32" s="1431"/>
      <c r="EM32" s="1431"/>
      <c r="EN32" s="1431"/>
      <c r="EO32" s="1432"/>
      <c r="EP32" s="1433">
        <v>2022</v>
      </c>
      <c r="EQ32" s="1434"/>
      <c r="ER32" s="1434"/>
      <c r="ES32" s="1434"/>
      <c r="ET32" s="1434"/>
      <c r="EU32" s="1434"/>
      <c r="EV32" s="1434"/>
      <c r="EW32" s="1434"/>
      <c r="EX32" s="1434"/>
      <c r="EY32" s="1434"/>
      <c r="EZ32" s="1434"/>
      <c r="FA32" s="1434"/>
      <c r="FB32" s="1433">
        <v>2023</v>
      </c>
      <c r="FC32" s="1434"/>
      <c r="FD32" s="1434"/>
      <c r="FE32" s="1434"/>
      <c r="FF32" s="1434"/>
      <c r="FG32" s="1434"/>
      <c r="FH32" s="1434"/>
      <c r="FI32" s="1434"/>
      <c r="FJ32" s="1434"/>
      <c r="FK32" s="1434"/>
      <c r="FL32" s="1434"/>
      <c r="FM32" s="1434"/>
      <c r="FN32" s="1433">
        <v>2024</v>
      </c>
      <c r="FO32" s="1434"/>
      <c r="FP32" s="1434"/>
      <c r="FQ32" s="1434"/>
      <c r="FR32" s="1434"/>
      <c r="FS32" s="1434"/>
      <c r="FT32" s="1434"/>
      <c r="FU32" s="1434"/>
      <c r="FV32" s="1434"/>
      <c r="FW32" s="1434"/>
      <c r="FX32" s="1434"/>
      <c r="FY32" s="1434"/>
    </row>
    <row r="33" spans="1:181" x14ac:dyDescent="0.35">
      <c r="B33" s="1406">
        <v>1</v>
      </c>
      <c r="C33" s="1407">
        <v>2</v>
      </c>
      <c r="D33" s="1407">
        <v>3</v>
      </c>
      <c r="E33" s="1407">
        <v>4</v>
      </c>
      <c r="F33" s="1407">
        <v>5</v>
      </c>
      <c r="G33" s="1407">
        <v>6</v>
      </c>
      <c r="H33" s="1407">
        <v>7</v>
      </c>
      <c r="I33" s="1407">
        <v>8</v>
      </c>
      <c r="J33" s="1407">
        <v>9</v>
      </c>
      <c r="K33" s="1407">
        <v>10</v>
      </c>
      <c r="L33" s="1407">
        <v>11</v>
      </c>
      <c r="M33" s="1407">
        <v>12</v>
      </c>
      <c r="N33" s="1407">
        <v>1</v>
      </c>
      <c r="O33" s="1407"/>
      <c r="P33" s="1407"/>
      <c r="Q33" s="1407"/>
      <c r="R33" s="1407"/>
      <c r="S33" s="1407"/>
      <c r="T33" s="1407"/>
      <c r="U33" s="1407"/>
      <c r="V33" s="1407"/>
      <c r="W33" s="1407"/>
      <c r="X33" s="1407"/>
      <c r="Y33" s="1407"/>
      <c r="Z33" s="1407"/>
      <c r="AA33" s="1407"/>
      <c r="AB33" s="1407"/>
      <c r="AC33" s="1407"/>
      <c r="AD33" s="1407"/>
      <c r="AE33" s="1407"/>
      <c r="AF33" s="1407"/>
      <c r="AG33" s="1407"/>
      <c r="AH33" s="1407"/>
      <c r="AI33" s="1407"/>
      <c r="AJ33" s="1407"/>
      <c r="AK33" s="1407"/>
      <c r="AL33" s="1407"/>
      <c r="AM33" s="1407"/>
      <c r="AN33" s="1407"/>
      <c r="AO33" s="1407"/>
      <c r="AP33" s="1407"/>
      <c r="AQ33" s="1407"/>
      <c r="AR33" s="1407"/>
      <c r="AS33" s="1407"/>
      <c r="AT33" s="1407"/>
      <c r="AU33" s="1407"/>
      <c r="AV33" s="1407"/>
      <c r="AW33" s="1407"/>
      <c r="AX33" s="1407"/>
      <c r="AY33" s="1407"/>
      <c r="AZ33" s="1407"/>
      <c r="BA33" s="1407"/>
      <c r="BB33" s="1407"/>
      <c r="BC33" s="1407"/>
      <c r="BD33" s="1407"/>
      <c r="BE33" s="1407"/>
      <c r="BF33" s="1407"/>
      <c r="BG33" s="1407"/>
      <c r="BH33" s="1407"/>
      <c r="BI33" s="1407"/>
      <c r="BJ33" s="1407"/>
      <c r="BK33" s="1407"/>
      <c r="BL33" s="1407"/>
      <c r="BM33" s="1407"/>
      <c r="BN33" s="1407"/>
      <c r="BO33" s="1407"/>
      <c r="BP33" s="1407"/>
      <c r="BQ33" s="1407"/>
      <c r="BR33" s="1407"/>
      <c r="BS33" s="1407"/>
      <c r="BT33" s="1407"/>
      <c r="BU33" s="1407"/>
      <c r="BV33" s="1407"/>
      <c r="BW33" s="1407"/>
      <c r="BX33" s="1407"/>
      <c r="BY33" s="1407"/>
      <c r="BZ33" s="1407"/>
      <c r="CA33" s="1407"/>
      <c r="CB33" s="1407"/>
      <c r="CC33" s="1407"/>
      <c r="CD33" s="1407"/>
      <c r="CE33" s="1407"/>
      <c r="CF33" s="1407"/>
      <c r="CG33" s="1407"/>
      <c r="CH33" s="1407"/>
      <c r="CI33" s="1407"/>
      <c r="CJ33" s="1407"/>
      <c r="CK33" s="1407"/>
      <c r="CL33" s="1407"/>
      <c r="CM33" s="1407"/>
      <c r="CN33" s="1407"/>
      <c r="CO33" s="1407"/>
      <c r="CP33" s="1407"/>
      <c r="CQ33" s="1407"/>
      <c r="CR33" s="1407"/>
      <c r="CS33" s="1407"/>
      <c r="CT33" s="1407"/>
      <c r="CU33" s="1407"/>
      <c r="CV33" s="1407"/>
      <c r="CW33" s="1407"/>
      <c r="CX33" s="1407"/>
      <c r="CY33" s="1407"/>
      <c r="CZ33" s="1407"/>
      <c r="DA33" s="1407"/>
      <c r="DB33" s="1407"/>
      <c r="DC33" s="1407"/>
      <c r="DD33" s="1407"/>
      <c r="DE33" s="1407"/>
      <c r="DF33" s="1407"/>
      <c r="DG33" s="1407"/>
      <c r="DH33" s="1407"/>
      <c r="DI33" s="1407"/>
      <c r="DJ33" s="1407"/>
      <c r="DK33" s="1407"/>
      <c r="DL33" s="1407"/>
      <c r="DM33" s="1407"/>
      <c r="DN33" s="1407"/>
      <c r="DO33" s="1407"/>
      <c r="DP33" s="1407"/>
      <c r="DQ33" s="1407"/>
      <c r="DR33" s="1407"/>
      <c r="DS33" s="1407"/>
      <c r="DT33" s="1407"/>
      <c r="DU33" s="1407"/>
      <c r="DV33" s="1407"/>
      <c r="DW33" s="1407"/>
      <c r="DX33" s="1407"/>
      <c r="DY33" s="1407"/>
      <c r="DZ33" s="1407"/>
      <c r="EA33" s="1407"/>
      <c r="EB33" s="1407"/>
      <c r="EC33" s="1407"/>
      <c r="ED33" s="1406">
        <v>1</v>
      </c>
      <c r="EE33" s="1407">
        <v>2</v>
      </c>
      <c r="EF33" s="1407">
        <v>3</v>
      </c>
      <c r="EG33" s="1407">
        <v>4</v>
      </c>
      <c r="EH33" s="1407">
        <v>5</v>
      </c>
      <c r="EI33" s="1407">
        <v>6</v>
      </c>
      <c r="EJ33" s="1407">
        <v>7</v>
      </c>
      <c r="EK33" s="1407">
        <v>8</v>
      </c>
      <c r="EL33" s="1407">
        <v>9</v>
      </c>
      <c r="EM33" s="1407">
        <v>10</v>
      </c>
      <c r="EN33" s="1407">
        <v>11</v>
      </c>
      <c r="EO33" s="1407">
        <v>12</v>
      </c>
      <c r="EP33" s="1406">
        <v>1</v>
      </c>
      <c r="EQ33" s="1407">
        <v>2</v>
      </c>
      <c r="ER33" s="1407">
        <v>3</v>
      </c>
      <c r="ES33" s="1407">
        <v>4</v>
      </c>
      <c r="ET33" s="1407">
        <v>5</v>
      </c>
      <c r="EU33" s="1407">
        <v>6</v>
      </c>
      <c r="EV33" s="1407">
        <v>7</v>
      </c>
      <c r="EW33" s="1407">
        <v>8</v>
      </c>
      <c r="EX33" s="1407">
        <v>9</v>
      </c>
      <c r="EY33" s="1407">
        <v>10</v>
      </c>
      <c r="EZ33" s="1407">
        <v>11</v>
      </c>
      <c r="FA33" s="1407">
        <v>12</v>
      </c>
      <c r="FB33" s="1406">
        <v>1</v>
      </c>
      <c r="FC33" s="1407">
        <v>2</v>
      </c>
      <c r="FD33" s="1407">
        <v>3</v>
      </c>
      <c r="FE33" s="1407">
        <v>4</v>
      </c>
      <c r="FF33" s="1407">
        <v>5</v>
      </c>
      <c r="FG33" s="1407">
        <v>6</v>
      </c>
      <c r="FH33" s="1407">
        <v>7</v>
      </c>
      <c r="FI33" s="1407">
        <v>8</v>
      </c>
      <c r="FJ33" s="1407">
        <v>9</v>
      </c>
      <c r="FK33" s="1407">
        <v>10</v>
      </c>
      <c r="FL33" s="1407">
        <v>11</v>
      </c>
      <c r="FM33" s="1407">
        <v>12</v>
      </c>
      <c r="FN33" s="1406">
        <v>1</v>
      </c>
      <c r="FO33" s="1407">
        <v>2</v>
      </c>
      <c r="FP33" s="1407">
        <v>3</v>
      </c>
      <c r="FQ33" s="1407">
        <v>4</v>
      </c>
      <c r="FR33" s="1407">
        <v>5</v>
      </c>
      <c r="FS33" s="1407">
        <v>6</v>
      </c>
      <c r="FT33" s="1407">
        <v>7</v>
      </c>
      <c r="FU33" s="1407">
        <v>8</v>
      </c>
      <c r="FV33" s="1407">
        <v>9</v>
      </c>
      <c r="FW33" s="1407">
        <v>10</v>
      </c>
      <c r="FX33" s="1407">
        <v>11</v>
      </c>
      <c r="FY33" s="1407">
        <v>12</v>
      </c>
    </row>
    <row r="34" spans="1:181" x14ac:dyDescent="0.35">
      <c r="A34" s="1399" t="str">
        <f>INDEX($Q$11:$S$11,1,MATCH($B$1,$C$1:$E$1,0))</f>
        <v>Переводы мигрантов, $ млн</v>
      </c>
      <c r="B34" s="1408"/>
      <c r="C34" s="1409"/>
      <c r="D34" s="1409"/>
      <c r="E34" s="1409"/>
      <c r="F34" s="1409"/>
      <c r="G34" s="1409"/>
      <c r="H34" s="1409"/>
      <c r="I34" s="1409"/>
      <c r="J34" s="1409"/>
      <c r="K34" s="1409"/>
      <c r="L34" s="1409"/>
      <c r="M34" s="1409"/>
      <c r="N34" s="1409"/>
      <c r="O34" s="1409"/>
      <c r="P34" s="1409"/>
      <c r="Q34" s="1409"/>
      <c r="R34" s="1409"/>
      <c r="S34" s="1409"/>
      <c r="T34" s="1409"/>
      <c r="U34" s="1409"/>
      <c r="V34" s="1409"/>
      <c r="W34" s="1409"/>
      <c r="X34" s="1409"/>
      <c r="Y34" s="1409"/>
      <c r="Z34" s="1409"/>
      <c r="AA34" s="1409"/>
      <c r="AB34" s="1409"/>
      <c r="AC34" s="1409"/>
      <c r="AD34" s="1409"/>
      <c r="AE34" s="1409"/>
      <c r="AF34" s="1409"/>
      <c r="AG34" s="1409"/>
      <c r="AH34" s="1409"/>
      <c r="AI34" s="1409"/>
      <c r="AJ34" s="1409"/>
      <c r="AK34" s="1409"/>
      <c r="AL34" s="1409"/>
      <c r="AM34" s="1409"/>
      <c r="AN34" s="1409"/>
      <c r="AO34" s="1409"/>
      <c r="AP34" s="1409"/>
      <c r="AQ34" s="1409"/>
      <c r="AR34" s="1409"/>
      <c r="AS34" s="1409"/>
      <c r="AT34" s="1409"/>
      <c r="AU34" s="1409"/>
      <c r="AV34" s="1409"/>
      <c r="AW34" s="1409"/>
      <c r="AX34" s="1409"/>
      <c r="AY34" s="1409"/>
      <c r="AZ34" s="1409"/>
      <c r="BA34" s="1409"/>
      <c r="BB34" s="1409"/>
      <c r="BC34" s="1409"/>
      <c r="BD34" s="1409"/>
      <c r="BE34" s="1409"/>
      <c r="BF34" s="1409"/>
      <c r="BG34" s="1409"/>
      <c r="BH34" s="1409"/>
      <c r="BI34" s="1409"/>
      <c r="BJ34" s="1409"/>
      <c r="BK34" s="1409"/>
      <c r="BL34" s="1409"/>
      <c r="BM34" s="1409"/>
      <c r="BN34" s="1409"/>
      <c r="BO34" s="1409"/>
      <c r="BP34" s="1409"/>
      <c r="BQ34" s="1409"/>
      <c r="BR34" s="1409"/>
      <c r="BS34" s="1409"/>
      <c r="BT34" s="1409"/>
      <c r="BU34" s="1409"/>
      <c r="BV34" s="1409"/>
      <c r="BW34" s="1409"/>
      <c r="BX34" s="1409"/>
      <c r="BY34" s="1409"/>
      <c r="BZ34" s="1409"/>
      <c r="CA34" s="1409"/>
      <c r="CB34" s="1409"/>
      <c r="CC34" s="1409"/>
      <c r="CD34" s="1409"/>
      <c r="CE34" s="1409"/>
      <c r="CF34" s="1409"/>
      <c r="CG34" s="1409"/>
      <c r="CH34" s="1409"/>
      <c r="CI34" s="1409"/>
      <c r="CJ34" s="1409"/>
      <c r="CK34" s="1409"/>
      <c r="CL34" s="1409"/>
      <c r="CM34" s="1409"/>
      <c r="CN34" s="1409"/>
      <c r="CO34" s="1409"/>
      <c r="CP34" s="1409"/>
      <c r="CQ34" s="1409"/>
      <c r="CR34" s="1409"/>
      <c r="CS34" s="1409"/>
      <c r="CT34" s="1409"/>
      <c r="CU34" s="1409"/>
      <c r="CV34" s="1409"/>
      <c r="CW34" s="1409"/>
      <c r="CX34" s="1409"/>
      <c r="CY34" s="1409"/>
      <c r="CZ34" s="1409"/>
      <c r="DA34" s="1409"/>
      <c r="DB34" s="1409"/>
      <c r="DC34" s="1409"/>
      <c r="DD34" s="1409"/>
      <c r="DE34" s="1409"/>
      <c r="DF34" s="1409"/>
      <c r="DG34" s="1409"/>
      <c r="DH34" s="1409"/>
      <c r="DI34" s="1409"/>
      <c r="DJ34" s="1409"/>
      <c r="DK34" s="1409"/>
      <c r="DL34" s="1409"/>
      <c r="DM34" s="1409"/>
      <c r="DN34" s="1409"/>
      <c r="DO34" s="1409"/>
      <c r="DP34" s="1409"/>
      <c r="DQ34" s="1409"/>
      <c r="DR34" s="1409">
        <v>977</v>
      </c>
      <c r="DS34" s="1409">
        <v>1013</v>
      </c>
      <c r="DT34" s="1409">
        <v>974</v>
      </c>
      <c r="DU34" s="1409">
        <v>863</v>
      </c>
      <c r="DV34" s="1409">
        <v>851</v>
      </c>
      <c r="DW34" s="1409">
        <v>897</v>
      </c>
      <c r="DX34" s="1409">
        <v>972</v>
      </c>
      <c r="DY34" s="1409">
        <v>961</v>
      </c>
      <c r="DZ34" s="1409">
        <v>963</v>
      </c>
      <c r="EA34" s="1409">
        <v>1055</v>
      </c>
      <c r="EB34" s="1409">
        <v>1046</v>
      </c>
      <c r="EC34" s="1409">
        <v>1145</v>
      </c>
      <c r="ED34" s="1409">
        <v>1004</v>
      </c>
      <c r="EE34" s="1409">
        <v>1098</v>
      </c>
      <c r="EF34" s="1409">
        <v>1234</v>
      </c>
      <c r="EG34" s="1409">
        <v>1166</v>
      </c>
      <c r="EH34" s="1409">
        <v>1101</v>
      </c>
      <c r="EI34" s="1409">
        <v>1164</v>
      </c>
      <c r="EJ34" s="1409">
        <v>1120</v>
      </c>
      <c r="EK34" s="1409">
        <v>1076</v>
      </c>
      <c r="EL34" s="1409">
        <v>1072</v>
      </c>
      <c r="EM34" s="1409">
        <v>1116</v>
      </c>
      <c r="EN34" s="1409">
        <v>1170</v>
      </c>
      <c r="EO34" s="1409">
        <v>1247</v>
      </c>
      <c r="EP34" s="1409">
        <v>1159</v>
      </c>
      <c r="EQ34" s="1409">
        <v>1136</v>
      </c>
      <c r="ER34" s="1409">
        <v>1045</v>
      </c>
      <c r="ES34" s="1409">
        <v>1086</v>
      </c>
      <c r="ET34" s="1409">
        <v>1082</v>
      </c>
      <c r="EU34" s="1409">
        <v>1101</v>
      </c>
      <c r="EV34" s="1409">
        <v>1033</v>
      </c>
      <c r="EW34" s="1409">
        <v>1068</v>
      </c>
      <c r="EX34" s="1409">
        <v>1065</v>
      </c>
      <c r="EY34" s="1409">
        <v>1070</v>
      </c>
      <c r="EZ34" s="1409">
        <v>1083</v>
      </c>
      <c r="FA34" s="1399">
        <v>1161</v>
      </c>
      <c r="FB34" s="1410">
        <v>1020</v>
      </c>
      <c r="FC34" s="1410">
        <v>1045</v>
      </c>
      <c r="FD34" s="1410">
        <v>1101</v>
      </c>
      <c r="FE34" s="1410">
        <v>960</v>
      </c>
      <c r="FF34" s="1410">
        <v>965</v>
      </c>
      <c r="FG34" s="1410">
        <v>949</v>
      </c>
      <c r="FH34" s="1410">
        <v>921</v>
      </c>
      <c r="FI34" s="1410">
        <v>933</v>
      </c>
      <c r="FJ34" s="1410">
        <v>918</v>
      </c>
      <c r="FK34" s="1410">
        <v>901</v>
      </c>
      <c r="FL34" s="1410">
        <v>922</v>
      </c>
      <c r="FM34" s="1410">
        <v>1050</v>
      </c>
      <c r="FN34" s="1410">
        <v>855</v>
      </c>
      <c r="FO34" s="1410">
        <v>790.27370804348277</v>
      </c>
      <c r="FP34" s="1410">
        <v>865.98981637847476</v>
      </c>
      <c r="FQ34" s="1410">
        <v>875.41252534724288</v>
      </c>
      <c r="FR34" s="1410">
        <v>879.25608192226764</v>
      </c>
      <c r="FS34" s="1410">
        <v>872.40882549649132</v>
      </c>
      <c r="FT34" s="1410">
        <v>1050</v>
      </c>
      <c r="FU34" s="1410">
        <v>942.47215809801219</v>
      </c>
      <c r="FV34" s="1410">
        <v>924.28789727037099</v>
      </c>
      <c r="FW34" s="1410">
        <v>954.63320834828403</v>
      </c>
      <c r="FX34" s="1410">
        <v>946.7714893910246</v>
      </c>
      <c r="FY34" s="1410">
        <v>1080</v>
      </c>
    </row>
    <row r="35" spans="1:181" x14ac:dyDescent="0.35">
      <c r="A35" s="1399" t="str">
        <f>INDEX($Q$10:$S$10,1,MATCH($B$1,$C$1:$E$1,0))</f>
        <v>г-г, %</v>
      </c>
      <c r="ED35" s="1411">
        <f t="shared" ref="ED35:EZ35" si="3">ED34/DR34-1</f>
        <v>2.763561924257929E-2</v>
      </c>
      <c r="EE35" s="1411">
        <f t="shared" si="3"/>
        <v>8.3909180651530191E-2</v>
      </c>
      <c r="EF35" s="1411">
        <f t="shared" si="3"/>
        <v>0.26694045174537995</v>
      </c>
      <c r="EG35" s="1411">
        <f t="shared" si="3"/>
        <v>0.35110081112398617</v>
      </c>
      <c r="EH35" s="1411">
        <f t="shared" si="3"/>
        <v>0.29377203290246778</v>
      </c>
      <c r="EI35" s="1411">
        <f t="shared" si="3"/>
        <v>0.2976588628762542</v>
      </c>
      <c r="EJ35" s="1411">
        <f t="shared" si="3"/>
        <v>0.15226337448559679</v>
      </c>
      <c r="EK35" s="1411">
        <f t="shared" si="3"/>
        <v>0.11966701352757547</v>
      </c>
      <c r="EL35" s="1411">
        <f t="shared" si="3"/>
        <v>0.11318795430944961</v>
      </c>
      <c r="EM35" s="1411">
        <f t="shared" si="3"/>
        <v>5.7819905213270184E-2</v>
      </c>
      <c r="EN35" s="1411">
        <f t="shared" si="3"/>
        <v>0.11854684512428304</v>
      </c>
      <c r="EO35" s="1411">
        <f t="shared" si="3"/>
        <v>8.9082969432314307E-2</v>
      </c>
      <c r="EP35" s="1411">
        <f t="shared" si="3"/>
        <v>0.154382470119522</v>
      </c>
      <c r="EQ35" s="1411">
        <f t="shared" si="3"/>
        <v>3.4608378870673917E-2</v>
      </c>
      <c r="ER35" s="1411">
        <f t="shared" si="3"/>
        <v>-0.15316045380875198</v>
      </c>
      <c r="ES35" s="1411">
        <f t="shared" si="3"/>
        <v>-6.8610634648370472E-2</v>
      </c>
      <c r="ET35" s="1411">
        <f t="shared" si="3"/>
        <v>-1.7257039055404211E-2</v>
      </c>
      <c r="EU35" s="1411">
        <f t="shared" si="3"/>
        <v>-5.4123711340206215E-2</v>
      </c>
      <c r="EV35" s="1411">
        <f t="shared" si="3"/>
        <v>-7.7678571428571375E-2</v>
      </c>
      <c r="EW35" s="1411">
        <f t="shared" si="3"/>
        <v>-7.4349442379182396E-3</v>
      </c>
      <c r="EX35" s="1411">
        <f t="shared" si="3"/>
        <v>-6.5298507462686617E-3</v>
      </c>
      <c r="EY35" s="1411">
        <f t="shared" si="3"/>
        <v>-4.1218637992831542E-2</v>
      </c>
      <c r="EZ35" s="1411">
        <f t="shared" si="3"/>
        <v>-7.4358974358974317E-2</v>
      </c>
      <c r="FA35" s="1411">
        <f>FA34/EO34-1</f>
        <v>-6.8965517241379337E-2</v>
      </c>
      <c r="FB35" s="1411">
        <f t="shared" ref="FB35:FM35" si="4">FB34/EP34-1</f>
        <v>-0.11993097497842964</v>
      </c>
      <c r="FC35" s="1411">
        <f t="shared" si="4"/>
        <v>-8.0105633802816878E-2</v>
      </c>
      <c r="FD35" s="1411">
        <f t="shared" si="4"/>
        <v>5.3588516746411408E-2</v>
      </c>
      <c r="FE35" s="1411">
        <f t="shared" si="4"/>
        <v>-0.11602209944751385</v>
      </c>
      <c r="FF35" s="1411">
        <f t="shared" si="4"/>
        <v>-0.1081330868761553</v>
      </c>
      <c r="FG35" s="1411">
        <f t="shared" si="4"/>
        <v>-0.13805631244323346</v>
      </c>
      <c r="FH35" s="1411">
        <f t="shared" si="4"/>
        <v>-0.10842207163601159</v>
      </c>
      <c r="FI35" s="1411">
        <f t="shared" si="4"/>
        <v>-0.1264044943820225</v>
      </c>
      <c r="FJ35" s="1411">
        <f t="shared" si="4"/>
        <v>-0.13802816901408455</v>
      </c>
      <c r="FK35" s="1411">
        <f t="shared" si="4"/>
        <v>-0.15794392523364487</v>
      </c>
      <c r="FL35" s="1411">
        <f t="shared" si="4"/>
        <v>-0.1486611265004617</v>
      </c>
      <c r="FM35" s="1411">
        <f t="shared" si="4"/>
        <v>-9.5607235142118885E-2</v>
      </c>
      <c r="FN35" s="1411">
        <f t="shared" ref="FN35" si="5">FN34/FB34-1</f>
        <v>-0.16176470588235292</v>
      </c>
      <c r="FO35" s="1411">
        <f t="shared" ref="FO35" si="6">FO34/FC34-1</f>
        <v>-0.24375721718327004</v>
      </c>
      <c r="FP35" s="1411">
        <f t="shared" ref="FP35" si="7">FP34/FD34-1</f>
        <v>-0.21345157458812469</v>
      </c>
      <c r="FQ35" s="1411">
        <f t="shared" ref="FQ35" si="8">FQ34/FE34-1</f>
        <v>-8.8111952763288648E-2</v>
      </c>
      <c r="FR35" s="1411">
        <f t="shared" ref="FR35" si="9">FR34/FF34-1</f>
        <v>-8.8853801116821063E-2</v>
      </c>
      <c r="FS35" s="1411">
        <f t="shared" ref="FS35" si="10">FS34/FG34-1</f>
        <v>-8.0707243944687757E-2</v>
      </c>
      <c r="FT35" s="1411">
        <f t="shared" ref="FT35" si="11">FT34/FH34-1</f>
        <v>0.14006514657980462</v>
      </c>
      <c r="FU35" s="1411">
        <f t="shared" ref="FU35" si="12">FU34/FI34-1</f>
        <v>1.0152366664536006E-2</v>
      </c>
      <c r="FV35" s="1411">
        <f t="shared" ref="FV35" si="13">FV34/FJ34-1</f>
        <v>6.849561296700335E-3</v>
      </c>
      <c r="FW35" s="1411">
        <f t="shared" ref="FW35" si="14">FW34/FK34-1</f>
        <v>5.952631337212444E-2</v>
      </c>
      <c r="FX35" s="1411">
        <f t="shared" ref="FX35" si="15">FX34/FL34-1</f>
        <v>2.6867125152955085E-2</v>
      </c>
      <c r="FY35" s="1411">
        <f t="shared" ref="FY35" si="16">FY34/FM34-1</f>
        <v>2.857142857142847E-2</v>
      </c>
    </row>
    <row r="39" spans="1:181" x14ac:dyDescent="0.35">
      <c r="B39" s="1399">
        <v>2010</v>
      </c>
      <c r="C39" s="1399">
        <v>2011</v>
      </c>
      <c r="D39" s="1399">
        <v>2012</v>
      </c>
      <c r="E39" s="1399">
        <v>2013</v>
      </c>
      <c r="F39" s="1399">
        <v>2014</v>
      </c>
      <c r="G39" s="1399">
        <v>2015</v>
      </c>
      <c r="H39" s="1399">
        <v>2016</v>
      </c>
      <c r="I39" s="1399">
        <v>2017</v>
      </c>
      <c r="J39" s="1399">
        <v>2018</v>
      </c>
      <c r="K39" s="1399">
        <v>2019</v>
      </c>
      <c r="L39" s="1399">
        <v>2020</v>
      </c>
      <c r="M39" s="1412">
        <v>2021</v>
      </c>
      <c r="N39" s="1412">
        <v>2022</v>
      </c>
      <c r="O39" s="1412" t="s">
        <v>585</v>
      </c>
      <c r="P39" s="1412" t="s">
        <v>586</v>
      </c>
    </row>
    <row r="40" spans="1:181" x14ac:dyDescent="0.35">
      <c r="A40" s="1399" t="str">
        <f>INDEX($Q$12:$S$12,1,MATCH($B$1,$C$1:$E$1,0))</f>
        <v>Переводы мигрантов, $ млрд</v>
      </c>
      <c r="B40" s="1414">
        <v>4.0460000000000003</v>
      </c>
      <c r="C40" s="1414">
        <v>4.8250000000000002</v>
      </c>
      <c r="D40" s="1414">
        <v>5.5419999999999998</v>
      </c>
      <c r="E40" s="1414">
        <v>6.782</v>
      </c>
      <c r="F40" s="1414">
        <v>5.1829999999999998</v>
      </c>
      <c r="G40" s="1414">
        <v>5.6310000000000002</v>
      </c>
      <c r="H40" s="1414">
        <v>6.7309999999999999</v>
      </c>
      <c r="I40" s="1414">
        <v>9.1370000000000005</v>
      </c>
      <c r="J40" s="1414">
        <v>11.494</v>
      </c>
      <c r="K40" s="1414">
        <v>12.773999999999999</v>
      </c>
      <c r="L40" s="1414">
        <v>11.738</v>
      </c>
      <c r="M40" s="1414">
        <v>13.590999999999999</v>
      </c>
      <c r="N40" s="1414">
        <f>SUM(EP34:FA34)/1000</f>
        <v>13.089</v>
      </c>
      <c r="O40" s="1414">
        <f>SUM(FB34:FM34)/1000</f>
        <v>11.685</v>
      </c>
      <c r="P40" s="1414">
        <f>SUM(FN34:FY34)/1000</f>
        <v>11.036505710295653</v>
      </c>
    </row>
    <row r="41" spans="1:181" x14ac:dyDescent="0.35">
      <c r="A41" s="1399" t="str">
        <f>INDEX($Q$10:$S$10,1,MATCH($B$1,$C$1:$E$1,0))</f>
        <v>г-г, %</v>
      </c>
      <c r="B41" s="1424">
        <f>B40/(B44/1000)-1</f>
        <v>0.18096906012842973</v>
      </c>
      <c r="C41" s="1411">
        <f>C40/B40-1</f>
        <v>0.19253583786455764</v>
      </c>
      <c r="D41" s="1411">
        <f t="shared" ref="D41:L41" si="17">D40/C40-1</f>
        <v>0.14860103626942989</v>
      </c>
      <c r="E41" s="1411">
        <f t="shared" si="17"/>
        <v>0.22374594009382909</v>
      </c>
      <c r="F41" s="1411">
        <f t="shared" si="17"/>
        <v>-0.23577115895016221</v>
      </c>
      <c r="G41" s="1411">
        <f t="shared" si="17"/>
        <v>8.6436426779857412E-2</v>
      </c>
      <c r="H41" s="1411">
        <f t="shared" si="17"/>
        <v>0.19534718522464911</v>
      </c>
      <c r="I41" s="1411">
        <f t="shared" si="17"/>
        <v>0.35745060169365628</v>
      </c>
      <c r="J41" s="1411">
        <f t="shared" si="17"/>
        <v>0.25796213199080653</v>
      </c>
      <c r="K41" s="1411">
        <f t="shared" si="17"/>
        <v>0.11136244997389944</v>
      </c>
      <c r="L41" s="1411">
        <f t="shared" si="17"/>
        <v>-8.1102238922811987E-2</v>
      </c>
      <c r="M41" s="1411">
        <f>M40/L40-1</f>
        <v>0.15786334980405514</v>
      </c>
      <c r="N41" s="1411">
        <f>N40/M40-1</f>
        <v>-3.6936207784563191E-2</v>
      </c>
      <c r="O41" s="1411">
        <f t="shared" ref="O41:P41" si="18">O40/N40-1</f>
        <v>-0.10726564290625717</v>
      </c>
      <c r="P41" s="1411">
        <f t="shared" si="18"/>
        <v>-5.5498013667466539E-2</v>
      </c>
    </row>
    <row r="43" spans="1:181" x14ac:dyDescent="0.35">
      <c r="B43" s="1423">
        <v>2009</v>
      </c>
    </row>
    <row r="44" spans="1:181" x14ac:dyDescent="0.35">
      <c r="B44" s="1423">
        <v>3426</v>
      </c>
      <c r="O44" s="1415"/>
      <c r="P44" s="1415"/>
    </row>
    <row r="49" spans="15:16" x14ac:dyDescent="0.35">
      <c r="O49" s="1399" t="s">
        <v>739</v>
      </c>
    </row>
    <row r="50" spans="15:16" x14ac:dyDescent="0.35">
      <c r="O50" s="1399" t="s">
        <v>336</v>
      </c>
      <c r="P50" s="1399" t="s">
        <v>747</v>
      </c>
    </row>
    <row r="51" spans="15:16" x14ac:dyDescent="0.35">
      <c r="O51" s="1399" t="s">
        <v>337</v>
      </c>
      <c r="P51" s="1399" t="s">
        <v>748</v>
      </c>
    </row>
    <row r="52" spans="15:16" x14ac:dyDescent="0.35">
      <c r="O52" s="1399" t="s">
        <v>334</v>
      </c>
      <c r="P52" s="1399" t="s">
        <v>749</v>
      </c>
    </row>
    <row r="53" spans="15:16" x14ac:dyDescent="0.35">
      <c r="O53" s="1399" t="s">
        <v>743</v>
      </c>
    </row>
    <row r="54" spans="15:16" x14ac:dyDescent="0.35">
      <c r="O54" s="1399" t="s">
        <v>336</v>
      </c>
      <c r="P54" s="1399" t="s">
        <v>750</v>
      </c>
    </row>
    <row r="55" spans="15:16" x14ac:dyDescent="0.35">
      <c r="O55" s="1399" t="s">
        <v>337</v>
      </c>
      <c r="P55" s="1399" t="s">
        <v>751</v>
      </c>
    </row>
    <row r="56" spans="15:16" x14ac:dyDescent="0.35">
      <c r="O56" s="1399" t="s">
        <v>334</v>
      </c>
      <c r="P56" s="1399" t="s">
        <v>752</v>
      </c>
    </row>
  </sheetData>
  <mergeCells count="9">
    <mergeCell ref="ED32:EO32"/>
    <mergeCell ref="EP32:FA32"/>
    <mergeCell ref="FB32:FM32"/>
    <mergeCell ref="FN32:FY32"/>
    <mergeCell ref="A2:X2"/>
    <mergeCell ref="ED3:EO3"/>
    <mergeCell ref="EP3:FA3"/>
    <mergeCell ref="FB3:FM3"/>
    <mergeCell ref="FN3:FY3"/>
  </mergeCells>
  <dataValidations count="1">
    <dataValidation type="list" allowBlank="1" showInputMessage="1" showErrorMessage="1" sqref="B1" xr:uid="{D7A2B7DD-9F9F-45C7-8DAA-3FD536C3B560}">
      <formula1>$C$1:$E$1</formula1>
    </dataValidation>
  </dataValidations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1727E-E43D-4C6C-80E8-9B55FFE5695A}">
  <dimension ref="A1:Q29"/>
  <sheetViews>
    <sheetView zoomScale="92" zoomScaleNormal="70" workbookViewId="0">
      <selection activeCell="I11" sqref="I11"/>
    </sheetView>
  </sheetViews>
  <sheetFormatPr defaultRowHeight="18" x14ac:dyDescent="0.35"/>
  <cols>
    <col min="1" max="1" width="24.8984375" style="1399" customWidth="1"/>
    <col min="2" max="4" width="9" style="1399" bestFit="1" customWidth="1"/>
    <col min="5" max="5" width="9.09765625" style="1399" bestFit="1" customWidth="1"/>
    <col min="6" max="8" width="9" style="1399" bestFit="1" customWidth="1"/>
    <col min="9" max="9" width="9.09765625" style="1399" bestFit="1" customWidth="1"/>
    <col min="10" max="13" width="9" style="1399" bestFit="1" customWidth="1"/>
    <col min="14" max="14" width="13.5" style="1399" customWidth="1"/>
    <col min="15" max="15" width="18.09765625" style="1399" customWidth="1"/>
    <col min="16" max="16384" width="8.796875" style="1399"/>
  </cols>
  <sheetData>
    <row r="1" spans="1:17" s="1416" customFormat="1" ht="29.25" customHeight="1" x14ac:dyDescent="0.35">
      <c r="A1" s="1436" t="s">
        <v>603</v>
      </c>
      <c r="B1" s="1436"/>
      <c r="C1" s="1436"/>
      <c r="D1" s="1436"/>
      <c r="E1" s="1436"/>
      <c r="F1" s="1436"/>
      <c r="G1" s="1436"/>
      <c r="H1" s="1436"/>
      <c r="I1" s="1436"/>
      <c r="J1" s="1436"/>
      <c r="K1" s="1436"/>
      <c r="L1" s="1436"/>
      <c r="M1" s="1436"/>
      <c r="N1" s="1436"/>
      <c r="O1" s="1436"/>
    </row>
    <row r="2" spans="1:17" s="1416" customFormat="1" ht="33.6" customHeight="1" x14ac:dyDescent="0.35">
      <c r="A2" s="1417" t="s">
        <v>604</v>
      </c>
      <c r="B2" s="1417">
        <v>1</v>
      </c>
      <c r="C2" s="1417">
        <v>2</v>
      </c>
      <c r="D2" s="1417">
        <v>3</v>
      </c>
      <c r="E2" s="1417">
        <v>4</v>
      </c>
      <c r="F2" s="1417">
        <v>5</v>
      </c>
      <c r="G2" s="1417">
        <v>6</v>
      </c>
      <c r="H2" s="1417">
        <v>7</v>
      </c>
      <c r="I2" s="1417">
        <v>8</v>
      </c>
      <c r="J2" s="1417">
        <v>9</v>
      </c>
      <c r="K2" s="1417">
        <v>10</v>
      </c>
      <c r="L2" s="1417">
        <v>11</v>
      </c>
      <c r="M2" s="1417">
        <v>12</v>
      </c>
      <c r="N2" s="1418" t="s">
        <v>605</v>
      </c>
      <c r="O2" s="1418" t="s">
        <v>606</v>
      </c>
    </row>
    <row r="3" spans="1:17" x14ac:dyDescent="0.35">
      <c r="A3" s="1419">
        <v>2021</v>
      </c>
      <c r="B3" s="1420">
        <v>0.39</v>
      </c>
      <c r="C3" s="1420">
        <v>0.38300000000000001</v>
      </c>
      <c r="D3" s="1420">
        <v>0.438</v>
      </c>
      <c r="E3" s="1420">
        <v>0.44800000000000001</v>
      </c>
      <c r="F3" s="1420">
        <v>0.505</v>
      </c>
      <c r="G3" s="1420">
        <v>0.56200000000000006</v>
      </c>
      <c r="H3" s="1420">
        <v>0.60699999999999998</v>
      </c>
      <c r="I3" s="1420">
        <v>0.68799999999999994</v>
      </c>
      <c r="J3" s="1420">
        <v>0.629</v>
      </c>
      <c r="K3" s="1420">
        <v>0.56499999999999995</v>
      </c>
      <c r="L3" s="1420">
        <v>0.51600000000000001</v>
      </c>
      <c r="M3" s="1420">
        <v>0.52</v>
      </c>
      <c r="N3" s="1420">
        <f>SUM(B3:M3)</f>
        <v>6.2509999999999994</v>
      </c>
      <c r="O3" s="1419" t="str">
        <f>ROUND(N3,1)&amp;" Bln USD "</f>
        <v xml:space="preserve">6,3 Bln USD </v>
      </c>
    </row>
    <row r="4" spans="1:17" x14ac:dyDescent="0.35">
      <c r="A4" s="1419">
        <v>2022</v>
      </c>
      <c r="B4" s="1420">
        <v>0.70399999999999996</v>
      </c>
      <c r="C4" s="1420">
        <v>0.81399999999999995</v>
      </c>
      <c r="D4" s="1420">
        <v>1.627</v>
      </c>
      <c r="E4" s="1420">
        <v>1.667</v>
      </c>
      <c r="F4" s="1420">
        <v>1.9379999999999999</v>
      </c>
      <c r="G4" s="1420">
        <v>1.917</v>
      </c>
      <c r="H4" s="1420">
        <v>1.829</v>
      </c>
      <c r="I4" s="1420">
        <v>1.788</v>
      </c>
      <c r="J4" s="1420">
        <v>1.798</v>
      </c>
      <c r="K4" s="1420">
        <v>1.792</v>
      </c>
      <c r="L4" s="1420">
        <v>1.855</v>
      </c>
      <c r="M4" s="1420">
        <v>2.1070000000000002</v>
      </c>
      <c r="N4" s="1420">
        <f t="shared" ref="N4" si="0">SUM(B4:M4)</f>
        <v>19.835999999999999</v>
      </c>
      <c r="O4" s="1419" t="str">
        <f t="shared" ref="O4" si="1">ROUND(N4,1)&amp;" Bln USD "</f>
        <v xml:space="preserve">19,8 Bln USD </v>
      </c>
    </row>
    <row r="5" spans="1:17" x14ac:dyDescent="0.35">
      <c r="A5" s="1419">
        <v>2023</v>
      </c>
      <c r="B5" s="1421">
        <f>B28/1000</f>
        <v>2.056</v>
      </c>
      <c r="C5" s="1421">
        <f t="shared" ref="C5:M6" si="2">C28/1000</f>
        <v>1.9870000000000001</v>
      </c>
      <c r="D5" s="1421">
        <f t="shared" si="2"/>
        <v>1.577</v>
      </c>
      <c r="E5" s="1421">
        <f t="shared" si="2"/>
        <v>1.339</v>
      </c>
      <c r="F5" s="1421">
        <f t="shared" si="2"/>
        <v>1.369</v>
      </c>
      <c r="G5" s="1421">
        <f t="shared" si="2"/>
        <v>1.3380000000000001</v>
      </c>
      <c r="H5" s="1421">
        <f t="shared" si="2"/>
        <v>1.3640000000000001</v>
      </c>
      <c r="I5" s="1421">
        <f t="shared" si="2"/>
        <v>1.3540000000000001</v>
      </c>
      <c r="J5" s="1421">
        <f t="shared" si="2"/>
        <v>1.3180000000000001</v>
      </c>
      <c r="K5" s="1421">
        <f t="shared" si="2"/>
        <v>1.286</v>
      </c>
      <c r="L5" s="1421">
        <f t="shared" si="2"/>
        <v>1.383</v>
      </c>
      <c r="M5" s="1421">
        <f t="shared" si="2"/>
        <v>1.54272666</v>
      </c>
      <c r="N5" s="1420">
        <f>SUM(B5:M5)</f>
        <v>17.913726659999998</v>
      </c>
      <c r="O5" s="1419" t="str">
        <f>ROUND(N5,1)&amp;" Bln USD "</f>
        <v xml:space="preserve">17,9 Bln USD </v>
      </c>
    </row>
    <row r="6" spans="1:17" x14ac:dyDescent="0.35">
      <c r="A6" s="1422">
        <v>2024</v>
      </c>
      <c r="B6" s="1421">
        <f>B29/1000</f>
        <v>1.3516937941916294</v>
      </c>
      <c r="C6" s="1421">
        <f t="shared" si="2"/>
        <v>1.3574686031326169</v>
      </c>
      <c r="D6" s="1421">
        <f t="shared" si="2"/>
        <v>1.3278965464789223</v>
      </c>
      <c r="E6" s="1421">
        <f t="shared" si="2"/>
        <v>1.2669760330920623</v>
      </c>
      <c r="F6" s="1421">
        <f t="shared" si="2"/>
        <v>1.2925702896959703</v>
      </c>
      <c r="G6" s="1421">
        <f t="shared" si="2"/>
        <v>1.3054861094405696</v>
      </c>
      <c r="H6" s="1421">
        <f t="shared" si="2"/>
        <v>1.2919892159560369</v>
      </c>
      <c r="I6" s="1421">
        <f t="shared" si="2"/>
        <v>1.31646341564606</v>
      </c>
      <c r="J6" s="1421">
        <f t="shared" si="2"/>
        <v>1.3475982809337443</v>
      </c>
      <c r="K6" s="1421">
        <f t="shared" si="2"/>
        <v>1.2465532419908256</v>
      </c>
      <c r="L6" s="1421">
        <f t="shared" si="2"/>
        <v>1.2414001752205734</v>
      </c>
      <c r="M6" s="1421">
        <f t="shared" si="2"/>
        <v>1.4503403570232736</v>
      </c>
      <c r="N6" s="1420">
        <f>SUM(B6:M6)</f>
        <v>15.796436062802286</v>
      </c>
      <c r="O6" s="1419" t="str">
        <f>ROUND(N6,1)&amp;" Bln USD "</f>
        <v xml:space="preserve">15,8 Bln USD </v>
      </c>
    </row>
    <row r="7" spans="1:17" x14ac:dyDescent="0.35">
      <c r="B7" s="1399">
        <v>2036</v>
      </c>
      <c r="C7" s="1399">
        <v>1966</v>
      </c>
      <c r="D7" s="1399">
        <v>1558</v>
      </c>
      <c r="E7" s="1399">
        <v>1353</v>
      </c>
      <c r="F7" s="1399">
        <v>1383</v>
      </c>
      <c r="G7" s="1399">
        <v>1353</v>
      </c>
      <c r="H7" s="1399">
        <v>1410</v>
      </c>
    </row>
    <row r="9" spans="1:17" x14ac:dyDescent="0.35">
      <c r="K9" s="1399">
        <v>1000</v>
      </c>
      <c r="N9" s="1399" t="str">
        <f>IF(Чарти!$B$1="ENG",SUBSTITUTE(TEXT(N3,"0,0"),",","."),TEXT(N3,"0,0"))&amp;" "&amp;INDEX($O$9:$Q$9,1,MATCH(Чарти!$B$1,'  Експорт IT + Мігранти'!$C$1:$E$1,0))</f>
        <v xml:space="preserve">6,3 млрд </v>
      </c>
      <c r="O9" s="1399" t="s">
        <v>753</v>
      </c>
      <c r="P9" s="1399" t="s">
        <v>754</v>
      </c>
      <c r="Q9" s="1399" t="s">
        <v>753</v>
      </c>
    </row>
    <row r="10" spans="1:17" x14ac:dyDescent="0.35">
      <c r="I10" s="1399" t="s">
        <v>335</v>
      </c>
      <c r="N10" s="1399" t="str">
        <f>IF(Чарти!$B$1="ENG",SUBSTITUTE(TEXT(N4,"0,0"),",","."),TEXT(N4,"0,0"))&amp;" "&amp;INDEX($O$9:$Q$9,1,MATCH(Чарти!$B$1,'  Експорт IT + Мігранти'!$C$1:$E$1,0))</f>
        <v xml:space="preserve">19,8 млрд </v>
      </c>
      <c r="O10" s="1399" t="s">
        <v>753</v>
      </c>
      <c r="P10" s="1399" t="s">
        <v>754</v>
      </c>
      <c r="Q10" s="1399" t="s">
        <v>753</v>
      </c>
    </row>
    <row r="11" spans="1:17" x14ac:dyDescent="0.35">
      <c r="H11" s="1399" t="s">
        <v>334</v>
      </c>
      <c r="I11" s="1399" t="s">
        <v>755</v>
      </c>
      <c r="N11" s="1399" t="str">
        <f>IF(Чарти!$B$1="ENG",SUBSTITUTE(TEXT(N5,"0,0"),",","."),TEXT(N5,"0,0"))&amp;" "&amp;INDEX($O$9:$Q$9,1,MATCH(Чарти!$B$1,'  Експорт IT + Мігранти'!$C$1:$E$1,0))</f>
        <v xml:space="preserve">17,9 млрд </v>
      </c>
      <c r="O11" s="1399" t="s">
        <v>753</v>
      </c>
      <c r="P11" s="1399" t="s">
        <v>754</v>
      </c>
      <c r="Q11" s="1399" t="s">
        <v>753</v>
      </c>
    </row>
    <row r="12" spans="1:17" x14ac:dyDescent="0.35">
      <c r="H12" s="1399" t="s">
        <v>337</v>
      </c>
      <c r="I12" s="1399" t="s">
        <v>756</v>
      </c>
      <c r="N12" s="1399" t="str">
        <f>IF(Чарти!$B$1="ENG",SUBSTITUTE(TEXT(N6,"0,0"),",","."),TEXT(N6,"0,0"))&amp;" "&amp;INDEX($O$9:$Q$9,1,MATCH(Чарти!$B$1,'  Експорт IT + Мігранти'!$C$1:$E$1,0))</f>
        <v xml:space="preserve">15,8 млрд </v>
      </c>
      <c r="O12" s="1399" t="s">
        <v>753</v>
      </c>
      <c r="P12" s="1399" t="s">
        <v>754</v>
      </c>
      <c r="Q12" s="1399" t="s">
        <v>753</v>
      </c>
    </row>
    <row r="13" spans="1:17" x14ac:dyDescent="0.35">
      <c r="H13" s="1399" t="s">
        <v>336</v>
      </c>
      <c r="I13" s="1399" t="s">
        <v>757</v>
      </c>
    </row>
    <row r="28" spans="2:13" x14ac:dyDescent="0.35">
      <c r="B28" s="1399">
        <v>2056</v>
      </c>
      <c r="C28" s="1399">
        <v>1987</v>
      </c>
      <c r="D28" s="1399">
        <v>1577</v>
      </c>
      <c r="E28" s="1399">
        <v>1339</v>
      </c>
      <c r="F28" s="1399">
        <v>1369</v>
      </c>
      <c r="G28" s="1399">
        <v>1338</v>
      </c>
      <c r="H28" s="1399">
        <v>1364</v>
      </c>
      <c r="I28" s="1399">
        <v>1354</v>
      </c>
      <c r="J28" s="1399">
        <v>1318</v>
      </c>
      <c r="K28" s="1399">
        <v>1286</v>
      </c>
      <c r="L28" s="1399">
        <v>1383</v>
      </c>
      <c r="M28" s="1399">
        <v>1542.72666</v>
      </c>
    </row>
    <row r="29" spans="2:13" x14ac:dyDescent="0.35">
      <c r="B29" s="1399">
        <v>1351.6937941916294</v>
      </c>
      <c r="C29" s="1399">
        <v>1357.4686031326169</v>
      </c>
      <c r="D29" s="1399">
        <v>1327.8965464789223</v>
      </c>
      <c r="E29" s="1399">
        <v>1266.9760330920624</v>
      </c>
      <c r="F29" s="1399">
        <v>1292.5702896959704</v>
      </c>
      <c r="G29" s="1399">
        <v>1305.4861094405696</v>
      </c>
      <c r="H29" s="1399">
        <v>1291.9892159560368</v>
      </c>
      <c r="I29" s="1399">
        <v>1316.46341564606</v>
      </c>
      <c r="J29" s="1399">
        <v>1347.5982809337443</v>
      </c>
      <c r="K29" s="1399">
        <v>1246.5532419908257</v>
      </c>
      <c r="L29" s="1399">
        <v>1241.4001752205734</v>
      </c>
      <c r="M29" s="1399">
        <v>1450.3403570232736</v>
      </c>
    </row>
  </sheetData>
  <mergeCells count="1">
    <mergeCell ref="A1:O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725EE-1F55-4B89-BBFF-BBC061AE2DA0}">
  <dimension ref="A2:Y11"/>
  <sheetViews>
    <sheetView zoomScaleNormal="100" workbookViewId="0">
      <selection activeCell="A2" sqref="A2"/>
    </sheetView>
  </sheetViews>
  <sheetFormatPr defaultRowHeight="18" x14ac:dyDescent="0.35"/>
  <cols>
    <col min="1" max="1" width="26.8984375" customWidth="1"/>
    <col min="2" max="13" width="6.19921875" customWidth="1"/>
    <col min="14" max="14" width="7.796875" customWidth="1"/>
  </cols>
  <sheetData>
    <row r="2" spans="1:25" x14ac:dyDescent="0.35">
      <c r="A2" s="1254" t="s">
        <v>565</v>
      </c>
      <c r="B2" s="1254"/>
      <c r="C2" s="1254"/>
      <c r="D2" s="1254"/>
      <c r="E2" s="1254"/>
      <c r="F2" s="1307"/>
      <c r="G2" s="1437"/>
      <c r="H2" s="1437"/>
      <c r="I2" s="1277"/>
      <c r="J2" s="1277"/>
      <c r="K2" s="1277"/>
      <c r="L2" s="1277"/>
      <c r="M2" s="1277"/>
      <c r="N2" s="1277"/>
      <c r="O2" s="1277"/>
      <c r="P2" s="1428" t="s">
        <v>335</v>
      </c>
      <c r="Q2" s="1428"/>
    </row>
    <row r="3" spans="1:25" ht="18.75" x14ac:dyDescent="0.35">
      <c r="P3" s="338" t="s">
        <v>336</v>
      </c>
      <c r="Q3" s="1255" t="s">
        <v>471</v>
      </c>
      <c r="W3" t="s">
        <v>336</v>
      </c>
      <c r="X3" t="s">
        <v>337</v>
      </c>
      <c r="Y3" t="s">
        <v>334</v>
      </c>
    </row>
    <row r="4" spans="1:25" ht="18.75" x14ac:dyDescent="0.35">
      <c r="A4" s="1312"/>
      <c r="B4" s="1304">
        <v>1</v>
      </c>
      <c r="C4" s="1304">
        <v>2</v>
      </c>
      <c r="D4" s="1304">
        <v>3</v>
      </c>
      <c r="E4" s="1304">
        <v>4</v>
      </c>
      <c r="F4" s="1304">
        <v>5</v>
      </c>
      <c r="G4" s="1304">
        <v>6</v>
      </c>
      <c r="H4" s="1304">
        <v>7</v>
      </c>
      <c r="I4" s="1304">
        <v>8</v>
      </c>
      <c r="J4" s="1304">
        <v>9</v>
      </c>
      <c r="K4" s="1304">
        <v>10</v>
      </c>
      <c r="L4" s="1304">
        <v>11</v>
      </c>
      <c r="M4" s="1304">
        <v>12</v>
      </c>
      <c r="N4" s="1304" t="s">
        <v>459</v>
      </c>
      <c r="P4" s="338" t="s">
        <v>337</v>
      </c>
      <c r="Q4" s="1255" t="s">
        <v>470</v>
      </c>
    </row>
    <row r="5" spans="1:25" ht="36" x14ac:dyDescent="0.35">
      <c r="A5" s="1305" t="str">
        <f>INDEX($W5:$Y5,1,MATCH(Чарти!$B$1,$W$3:$Y$3,0))</f>
        <v>При сохранении фиксированного курса</v>
      </c>
      <c r="B5" s="1311">
        <f>'ПБ V-1 (fin min)'!AX83</f>
        <v>36.568600000000032</v>
      </c>
      <c r="C5" s="1311">
        <f>'ПБ V-1 (fin min)'!AY83</f>
        <v>36.568600000000025</v>
      </c>
      <c r="D5" s="1311">
        <f>'ПБ V-1 (fin min)'!AZ83</f>
        <v>36.568600000000032</v>
      </c>
      <c r="E5" s="1311">
        <f>'ПБ V-1 (fin min)'!BA83</f>
        <v>36.568600000000032</v>
      </c>
      <c r="F5" s="1311">
        <f>'ПБ V-1 (fin min)'!BB83</f>
        <v>36.568600000000032</v>
      </c>
      <c r="G5" s="1311">
        <f>'ПБ V-1 (fin min)'!BC83</f>
        <v>36.568600000000032</v>
      </c>
      <c r="H5" s="1311">
        <f>'ПБ V-1 (fin min)'!BD83</f>
        <v>36.568600000000032</v>
      </c>
      <c r="I5" s="1311">
        <f>'ПБ V-1 (fin min)'!BE83</f>
        <v>36.568600000000032</v>
      </c>
      <c r="J5" s="1311">
        <f>'ПБ V-1 (fin min)'!BF83</f>
        <v>36.568600000000032</v>
      </c>
      <c r="K5" s="1311">
        <f>'ПБ V-1 (fin min)'!BG83</f>
        <v>36.51895161290323</v>
      </c>
      <c r="L5" s="1311">
        <f>'ПБ V-1 (fin min)'!BH83</f>
        <v>36.155420000000007</v>
      </c>
      <c r="M5" s="1311">
        <f>'ПБ V-1 (fin min)'!BI83</f>
        <v>37.093925806451622</v>
      </c>
      <c r="N5" s="1311">
        <f>AVERAGE(B5:M5)</f>
        <v>36.573808118279594</v>
      </c>
      <c r="P5" s="338" t="s">
        <v>334</v>
      </c>
      <c r="Q5" s="1255" t="s">
        <v>472</v>
      </c>
      <c r="W5" t="s">
        <v>462</v>
      </c>
      <c r="X5" t="s">
        <v>469</v>
      </c>
      <c r="Y5" t="s">
        <v>467</v>
      </c>
    </row>
    <row r="6" spans="1:25" ht="36" x14ac:dyDescent="0.35">
      <c r="A6" s="1305" t="str">
        <f>INDEX($W6:$Y6,1,MATCH(Чарти!$B$1,$W$3:$Y$3,0))</f>
        <v>При возвращении к плавающему обменному курсу</v>
      </c>
      <c r="B6" s="1311">
        <f>'ПБ V-1 (fin min)'!AX86</f>
        <v>36.568600000000032</v>
      </c>
      <c r="C6" s="1311">
        <f>'ПБ V-1 (fin min)'!AY86</f>
        <v>36.568600000000025</v>
      </c>
      <c r="D6" s="1311">
        <f>'ПБ V-1 (fin min)'!AZ86</f>
        <v>36.568600000000032</v>
      </c>
      <c r="E6" s="1311">
        <f>'ПБ V-1 (fin min)'!BA86</f>
        <v>36.568600000000032</v>
      </c>
      <c r="F6" s="1311">
        <f>'ПБ V-1 (fin min)'!BB86</f>
        <v>36.568600000000032</v>
      </c>
      <c r="G6" s="1311">
        <f>'ПБ V-1 (fin min)'!BC86</f>
        <v>36.568600000000032</v>
      </c>
      <c r="H6" s="1311">
        <f>'ПБ V-1 (fin min)'!BD86</f>
        <v>36.568600000000032</v>
      </c>
      <c r="I6" s="1311">
        <f>'ПБ V-1 (fin min)'!BE86</f>
        <v>36.568600000000032</v>
      </c>
      <c r="J6" s="1311">
        <f>'ПБ V-1 (fin min)'!BF86</f>
        <v>36.568600000000032</v>
      </c>
      <c r="K6" s="1311">
        <f>'ПБ V-1 (fin min)'!BG86</f>
        <v>36.51895161290323</v>
      </c>
      <c r="L6" s="1311">
        <f>'ПБ V-1 (fin min)'!BH86</f>
        <v>36.155420000000007</v>
      </c>
      <c r="M6" s="1311">
        <f>'ПБ V-1 (fin min)'!BI86</f>
        <v>37.093925806451622</v>
      </c>
      <c r="N6" s="1311">
        <f>AVERAGE(B6:M6)</f>
        <v>36.573808118279594</v>
      </c>
      <c r="W6" t="s">
        <v>463</v>
      </c>
      <c r="X6" t="s">
        <v>468</v>
      </c>
      <c r="Y6" t="s">
        <v>560</v>
      </c>
    </row>
    <row r="7" spans="1:25" x14ac:dyDescent="0.35">
      <c r="A7" s="1305">
        <f>INDEX($W7:$Y7,1,MATCH(Чарти!$B$1,$W$3:$Y$3,0))</f>
        <v>0</v>
      </c>
      <c r="B7" s="1311">
        <v>36.57</v>
      </c>
      <c r="C7" s="1311">
        <v>36.57</v>
      </c>
      <c r="D7" s="1311">
        <v>36.57</v>
      </c>
      <c r="E7" s="1311">
        <v>36.57</v>
      </c>
      <c r="F7" s="1311">
        <v>36.57</v>
      </c>
      <c r="G7" s="1311">
        <v>36.57</v>
      </c>
      <c r="H7" s="1311">
        <v>39.220101139702834</v>
      </c>
      <c r="I7" s="1311">
        <v>40.346154667540155</v>
      </c>
      <c r="J7" s="1311">
        <v>40.733199391594752</v>
      </c>
      <c r="K7" s="1311">
        <v>41.930958285760745</v>
      </c>
      <c r="L7" s="1311">
        <v>42.215162471754752</v>
      </c>
      <c r="M7" s="1311">
        <v>42.935820892751948</v>
      </c>
      <c r="N7" s="1311">
        <f>AVERAGE(B7:M7)</f>
        <v>38.900116404092103</v>
      </c>
      <c r="Y7" t="s">
        <v>561</v>
      </c>
    </row>
    <row r="8" spans="1:25" x14ac:dyDescent="0.35">
      <c r="N8" s="209"/>
      <c r="P8" s="1428" t="s">
        <v>338</v>
      </c>
      <c r="Q8" s="1428"/>
    </row>
    <row r="9" spans="1:25" x14ac:dyDescent="0.35">
      <c r="P9" s="338" t="s">
        <v>336</v>
      </c>
      <c r="Q9" s="1256" t="s">
        <v>464</v>
      </c>
    </row>
    <row r="10" spans="1:25" x14ac:dyDescent="0.35">
      <c r="P10" s="338" t="s">
        <v>337</v>
      </c>
      <c r="Q10" s="1256" t="s">
        <v>465</v>
      </c>
    </row>
    <row r="11" spans="1:25" x14ac:dyDescent="0.35">
      <c r="P11" s="338" t="s">
        <v>334</v>
      </c>
      <c r="Q11" s="1256" t="s">
        <v>466</v>
      </c>
    </row>
  </sheetData>
  <mergeCells count="3">
    <mergeCell ref="G2:H2"/>
    <mergeCell ref="P2:Q2"/>
    <mergeCell ref="P8:Q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206A-B7F2-4DB2-AC72-74E5AD6E1C41}">
  <dimension ref="A2:T24"/>
  <sheetViews>
    <sheetView zoomScaleNormal="100" workbookViewId="0">
      <selection activeCell="A4" sqref="A4:A5"/>
    </sheetView>
  </sheetViews>
  <sheetFormatPr defaultRowHeight="18" x14ac:dyDescent="0.35"/>
  <cols>
    <col min="1" max="1" width="38" customWidth="1"/>
    <col min="2" max="2" width="17.09765625" customWidth="1"/>
    <col min="3" max="3" width="18" customWidth="1"/>
  </cols>
  <sheetData>
    <row r="2" spans="1:20" x14ac:dyDescent="0.35">
      <c r="A2" s="1254" t="s">
        <v>479</v>
      </c>
      <c r="B2" s="1254"/>
      <c r="C2" s="1254"/>
      <c r="D2" s="1254"/>
      <c r="E2" s="1254"/>
      <c r="F2" s="1254"/>
      <c r="G2" s="1428" t="s">
        <v>335</v>
      </c>
      <c r="H2" s="1428"/>
    </row>
    <row r="3" spans="1:20" ht="18.75" x14ac:dyDescent="0.35">
      <c r="G3" s="338" t="s">
        <v>336</v>
      </c>
      <c r="H3" s="1255" t="s">
        <v>456</v>
      </c>
      <c r="M3" t="s">
        <v>336</v>
      </c>
      <c r="N3" t="s">
        <v>337</v>
      </c>
      <c r="O3" t="s">
        <v>334</v>
      </c>
    </row>
    <row r="4" spans="1:20" ht="18.75" x14ac:dyDescent="0.35">
      <c r="A4" s="1438" t="str">
        <f>INDEX($M4:$O4,1,MATCH(Чарти!$B$1,$M$3:$O$3,0))</f>
        <v>Группа товаров</v>
      </c>
      <c r="B4" s="1438">
        <v>2023</v>
      </c>
      <c r="C4" s="1438"/>
      <c r="D4" s="1298"/>
      <c r="E4" s="1298"/>
      <c r="F4" s="1298"/>
      <c r="G4" s="338" t="s">
        <v>337</v>
      </c>
      <c r="H4" s="1255" t="s">
        <v>458</v>
      </c>
      <c r="I4" s="1298"/>
      <c r="J4" s="1298"/>
      <c r="K4" s="1298"/>
      <c r="M4" t="s">
        <v>438</v>
      </c>
      <c r="N4" t="s">
        <v>418</v>
      </c>
      <c r="O4" t="s">
        <v>400</v>
      </c>
      <c r="R4" t="s">
        <v>336</v>
      </c>
      <c r="S4" t="s">
        <v>401</v>
      </c>
      <c r="T4" t="s">
        <v>437</v>
      </c>
    </row>
    <row r="5" spans="1:20" ht="18.75" x14ac:dyDescent="0.35">
      <c r="A5" s="1438"/>
      <c r="B5" s="1289" t="str">
        <f>INDEX(S4:S6,MATCH(Чарти!$B$1,$R$4:$R$6,0),1)</f>
        <v>млрд $</v>
      </c>
      <c r="C5" s="1289" t="str">
        <f>INDEX(T4:T6,MATCH(Чарти!$B$1,$R$4:$R$6,0),1)</f>
        <v>% г-г</v>
      </c>
      <c r="D5" s="1298"/>
      <c r="E5" s="1298"/>
      <c r="F5" s="1298"/>
      <c r="G5" s="338" t="s">
        <v>334</v>
      </c>
      <c r="H5" s="1255" t="s">
        <v>457</v>
      </c>
      <c r="I5" s="1298"/>
      <c r="J5" s="1298"/>
      <c r="K5" s="1298"/>
      <c r="R5" t="s">
        <v>337</v>
      </c>
      <c r="S5" t="s">
        <v>435</v>
      </c>
      <c r="T5" t="s">
        <v>436</v>
      </c>
    </row>
    <row r="6" spans="1:20" x14ac:dyDescent="0.35">
      <c r="A6" s="1295" t="str">
        <f>INDEX($M6:$O6,1,MATCH(Чарти!$B$1,$M$3:$O$3,0))</f>
        <v>Экспорт товаров</v>
      </c>
      <c r="B6" s="1296"/>
      <c r="C6" s="1297"/>
      <c r="D6" s="1299"/>
      <c r="E6" s="1299"/>
      <c r="F6" s="1299"/>
      <c r="I6" s="1299"/>
      <c r="J6" s="1299"/>
      <c r="K6" s="1299"/>
      <c r="M6" t="s">
        <v>339</v>
      </c>
      <c r="N6" t="s">
        <v>382</v>
      </c>
      <c r="O6" t="s">
        <v>26</v>
      </c>
      <c r="R6" t="s">
        <v>334</v>
      </c>
      <c r="S6" t="s">
        <v>401</v>
      </c>
      <c r="T6" t="s">
        <v>402</v>
      </c>
    </row>
    <row r="7" spans="1:20" x14ac:dyDescent="0.35">
      <c r="A7" s="1290" t="str">
        <f>INDEX($M7:$O7,1,MATCH(Чарти!$B$1,$M$3:$O$3,0))</f>
        <v>АПК</v>
      </c>
      <c r="B7" s="1290">
        <v>29.2</v>
      </c>
      <c r="C7" s="1315">
        <v>0.4</v>
      </c>
      <c r="D7" s="1300"/>
      <c r="E7" s="1300"/>
      <c r="F7" s="1300"/>
      <c r="I7" s="1300"/>
      <c r="J7" s="1300"/>
      <c r="K7" s="1300"/>
      <c r="M7" t="s">
        <v>403</v>
      </c>
      <c r="N7" t="s">
        <v>419</v>
      </c>
      <c r="O7" t="s">
        <v>403</v>
      </c>
    </row>
    <row r="8" spans="1:20" x14ac:dyDescent="0.35">
      <c r="A8" s="1291" t="str">
        <f>INDEX($M8:$O8,1,MATCH(Чарти!$B$1,$M$3:$O$3,0))</f>
        <v>зерновые</v>
      </c>
      <c r="B8" s="1316">
        <v>12.1</v>
      </c>
      <c r="C8" s="1317">
        <v>0.32</v>
      </c>
      <c r="D8" s="1300"/>
      <c r="E8" s="1300"/>
      <c r="F8" s="1300"/>
      <c r="G8" s="1428" t="s">
        <v>338</v>
      </c>
      <c r="H8" s="1428"/>
      <c r="I8" s="1300"/>
      <c r="J8" s="1300"/>
      <c r="K8" s="1300"/>
      <c r="M8" t="s">
        <v>439</v>
      </c>
      <c r="N8" t="s">
        <v>420</v>
      </c>
      <c r="O8" t="s">
        <v>404</v>
      </c>
    </row>
    <row r="9" spans="1:20" x14ac:dyDescent="0.35">
      <c r="A9" s="1291" t="str">
        <f>INDEX($M9:$O9,1,MATCH(Чарти!$B$1,$M$3:$O$3,0))</f>
        <v>масло</v>
      </c>
      <c r="B9" s="1316">
        <v>7.1</v>
      </c>
      <c r="C9" s="1318">
        <v>0.2</v>
      </c>
      <c r="D9" s="1300"/>
      <c r="E9" s="1300"/>
      <c r="F9" s="1300"/>
      <c r="G9" s="338" t="s">
        <v>336</v>
      </c>
      <c r="H9" s="1256" t="s">
        <v>453</v>
      </c>
      <c r="I9" s="1300"/>
      <c r="J9" s="1300"/>
      <c r="K9" s="1300"/>
      <c r="M9" t="s">
        <v>440</v>
      </c>
      <c r="N9" t="s">
        <v>421</v>
      </c>
      <c r="O9" t="s">
        <v>405</v>
      </c>
    </row>
    <row r="10" spans="1:20" x14ac:dyDescent="0.35">
      <c r="A10" s="1291" t="str">
        <f>INDEX($M10:$O10,1,MATCH(Чарти!$B$1,$M$3:$O$3,0))</f>
        <v>масличные</v>
      </c>
      <c r="B10" s="1316">
        <v>7.5</v>
      </c>
      <c r="C10" s="1319">
        <v>1</v>
      </c>
      <c r="D10" s="1300"/>
      <c r="E10" s="1300"/>
      <c r="F10" s="1300"/>
      <c r="G10" s="338" t="s">
        <v>337</v>
      </c>
      <c r="H10" s="1256" t="s">
        <v>454</v>
      </c>
      <c r="I10" s="1300"/>
      <c r="J10" s="1300"/>
      <c r="K10" s="1300"/>
      <c r="M10" t="s">
        <v>441</v>
      </c>
      <c r="N10" t="s">
        <v>434</v>
      </c>
      <c r="O10" t="s">
        <v>406</v>
      </c>
    </row>
    <row r="11" spans="1:20" x14ac:dyDescent="0.35">
      <c r="A11" s="1290" t="str">
        <f>INDEX($M11:$O11,1,MATCH(Чарти!$B$1,$M$3:$O$3,0))</f>
        <v>Металлургия</v>
      </c>
      <c r="B11" s="1290">
        <v>4.0999999999999996</v>
      </c>
      <c r="C11" s="1320">
        <v>-0.55000000000000004</v>
      </c>
      <c r="D11" s="1300"/>
      <c r="E11" s="1300"/>
      <c r="F11" s="1300"/>
      <c r="G11" s="338" t="s">
        <v>334</v>
      </c>
      <c r="H11" s="1256" t="s">
        <v>455</v>
      </c>
      <c r="I11" s="1300"/>
      <c r="J11" s="1300"/>
      <c r="K11" s="1300"/>
      <c r="M11" t="s">
        <v>442</v>
      </c>
      <c r="N11" t="s">
        <v>422</v>
      </c>
      <c r="O11" t="s">
        <v>407</v>
      </c>
    </row>
    <row r="12" spans="1:20" x14ac:dyDescent="0.35">
      <c r="A12" s="1291" t="str">
        <f>INDEX($M12:$O12,1,MATCH(Чарти!$B$1,$M$3:$O$3,0))</f>
        <v>руды</v>
      </c>
      <c r="B12" s="1316">
        <v>0.9</v>
      </c>
      <c r="C12" s="1321">
        <v>-0.72</v>
      </c>
      <c r="D12" s="1300"/>
      <c r="E12" s="1300"/>
      <c r="F12" s="1300"/>
      <c r="G12" s="1300"/>
      <c r="H12" s="1300"/>
      <c r="I12" s="1300"/>
      <c r="J12" s="1300"/>
      <c r="K12" s="1300"/>
      <c r="M12" t="s">
        <v>443</v>
      </c>
      <c r="N12" t="s">
        <v>423</v>
      </c>
      <c r="O12" t="s">
        <v>408</v>
      </c>
    </row>
    <row r="13" spans="1:20" x14ac:dyDescent="0.35">
      <c r="A13" s="1291" t="str">
        <f>INDEX($M13:$O13,1,MATCH(Чарти!$B$1,$M$3:$O$3,0))</f>
        <v>черные металлы</v>
      </c>
      <c r="B13" s="1316">
        <v>2.1</v>
      </c>
      <c r="C13" s="1322">
        <v>-0.54</v>
      </c>
      <c r="D13" s="1300"/>
      <c r="E13" s="1300"/>
      <c r="F13" s="1300"/>
      <c r="G13" s="1300"/>
      <c r="H13" s="1300"/>
      <c r="I13" s="1300"/>
      <c r="J13" s="1300"/>
      <c r="K13" s="1300"/>
      <c r="M13" t="s">
        <v>444</v>
      </c>
      <c r="N13" t="s">
        <v>424</v>
      </c>
      <c r="O13" t="s">
        <v>409</v>
      </c>
    </row>
    <row r="14" spans="1:20" x14ac:dyDescent="0.35">
      <c r="A14" s="1290" t="str">
        <f>INDEX($M14:$O14,1,MATCH(Чарти!$B$1,$M$3:$O$3,0))</f>
        <v>Пищевая промышленность</v>
      </c>
      <c r="B14" s="1290">
        <v>3.3</v>
      </c>
      <c r="C14" s="1323">
        <v>0.33</v>
      </c>
      <c r="D14" s="1300"/>
      <c r="E14" s="1300"/>
      <c r="F14" s="1300"/>
      <c r="G14" s="1300"/>
      <c r="H14" s="1300"/>
      <c r="I14" s="1300"/>
      <c r="J14" s="1300"/>
      <c r="K14" s="1300"/>
      <c r="M14" t="s">
        <v>445</v>
      </c>
      <c r="N14" t="s">
        <v>425</v>
      </c>
      <c r="O14" t="s">
        <v>410</v>
      </c>
    </row>
    <row r="15" spans="1:20" x14ac:dyDescent="0.35">
      <c r="A15" s="1290" t="str">
        <f>INDEX($M15:$O15,1,MATCH(Чарти!$B$1,$M$3:$O$3,0))</f>
        <v>Тяжелая промышленность</v>
      </c>
      <c r="B15" s="1290">
        <v>4.0999999999999996</v>
      </c>
      <c r="C15" s="1324">
        <v>0</v>
      </c>
      <c r="D15" s="1300"/>
      <c r="E15" s="1300"/>
      <c r="F15" s="1300"/>
      <c r="G15" s="1300"/>
      <c r="H15" s="1300"/>
      <c r="I15" s="1300"/>
      <c r="J15" s="1300"/>
      <c r="K15" s="1300"/>
      <c r="M15" t="s">
        <v>446</v>
      </c>
      <c r="N15" t="s">
        <v>426</v>
      </c>
      <c r="O15" t="s">
        <v>411</v>
      </c>
    </row>
    <row r="16" spans="1:20" x14ac:dyDescent="0.35">
      <c r="A16" s="1290" t="str">
        <f>INDEX($M16:$O16,1,MATCH(Чарти!$B$1,$M$3:$O$3,0))</f>
        <v>Другое</v>
      </c>
      <c r="B16" s="1290">
        <v>46.3</v>
      </c>
      <c r="C16" s="1325">
        <v>0.13</v>
      </c>
      <c r="D16" s="1300"/>
      <c r="E16" s="1300"/>
      <c r="F16" s="1300"/>
      <c r="G16" s="1300"/>
      <c r="H16" s="1300"/>
      <c r="I16" s="1300"/>
      <c r="J16" s="1300"/>
      <c r="K16" s="1300"/>
      <c r="M16" t="s">
        <v>447</v>
      </c>
      <c r="N16" t="s">
        <v>427</v>
      </c>
      <c r="O16" t="s">
        <v>412</v>
      </c>
    </row>
    <row r="17" spans="1:15" x14ac:dyDescent="0.35">
      <c r="A17" s="1293" t="str">
        <f>INDEX($M17:$O17,1,MATCH(Чарти!$B$1,$M$3:$O$3,0))</f>
        <v>Всего, млрд $</v>
      </c>
      <c r="B17" s="1293">
        <v>29.2</v>
      </c>
      <c r="C17" s="1326">
        <v>0.4</v>
      </c>
      <c r="D17" s="1300"/>
      <c r="E17" s="1300"/>
      <c r="F17" s="1300"/>
      <c r="G17" s="1300"/>
      <c r="H17" s="1300"/>
      <c r="I17" s="1300"/>
      <c r="J17" s="1300"/>
      <c r="K17" s="1300"/>
      <c r="M17" t="s">
        <v>448</v>
      </c>
      <c r="N17" t="s">
        <v>428</v>
      </c>
      <c r="O17" t="s">
        <v>413</v>
      </c>
    </row>
    <row r="18" spans="1:15" x14ac:dyDescent="0.35">
      <c r="A18" s="1295" t="str">
        <f>INDEX($M18:$O18,1,MATCH(Чарти!$B$1,$M$3:$O$3,0))</f>
        <v>Импорт товаров</v>
      </c>
      <c r="B18" s="1296"/>
      <c r="C18" s="1297"/>
      <c r="D18" s="1299"/>
      <c r="E18" s="1299"/>
      <c r="F18" s="1299"/>
      <c r="G18" s="1299"/>
      <c r="H18" s="1299"/>
      <c r="I18" s="1299"/>
      <c r="J18" s="1299"/>
      <c r="K18" s="1299"/>
      <c r="M18" t="s">
        <v>340</v>
      </c>
      <c r="N18" t="s">
        <v>383</v>
      </c>
      <c r="O18" t="s">
        <v>27</v>
      </c>
    </row>
    <row r="19" spans="1:15" x14ac:dyDescent="0.35">
      <c r="A19" s="1290" t="str">
        <f>INDEX($M19:$O19,1,MATCH(Чарти!$B$1,$M$3:$O$3,0))</f>
        <v>Потребительские товары</v>
      </c>
      <c r="B19" s="1290">
        <v>16.3</v>
      </c>
      <c r="C19" s="1319">
        <v>0.3</v>
      </c>
      <c r="D19" s="1300"/>
      <c r="E19" s="1300"/>
      <c r="F19" s="1300"/>
      <c r="G19" s="1300"/>
      <c r="H19" s="1300"/>
      <c r="I19" s="1300"/>
      <c r="J19" s="1300"/>
      <c r="K19" s="1300"/>
      <c r="M19" t="s">
        <v>449</v>
      </c>
      <c r="N19" t="s">
        <v>429</v>
      </c>
      <c r="O19" t="s">
        <v>414</v>
      </c>
    </row>
    <row r="20" spans="1:15" x14ac:dyDescent="0.35">
      <c r="A20" s="1290" t="str">
        <f>INDEX($M20:$O20,1,MATCH(Чарти!$B$1,$M$3:$O$3,0))</f>
        <v>Сырье</v>
      </c>
      <c r="B20" s="1290">
        <v>16.399999999999999</v>
      </c>
      <c r="C20" s="1327">
        <v>0.19</v>
      </c>
      <c r="D20" s="1300"/>
      <c r="E20" s="1300"/>
      <c r="F20" s="1300"/>
      <c r="G20" s="1300"/>
      <c r="H20" s="1300"/>
      <c r="I20" s="1300"/>
      <c r="J20" s="1300"/>
      <c r="K20" s="1300"/>
      <c r="M20" t="s">
        <v>450</v>
      </c>
      <c r="N20" t="s">
        <v>433</v>
      </c>
      <c r="O20" t="s">
        <v>415</v>
      </c>
    </row>
    <row r="21" spans="1:15" x14ac:dyDescent="0.35">
      <c r="A21" s="1290" t="str">
        <f>INDEX($M21:$O21,1,MATCH(Чарти!$B$1,$M$3:$O$3,0))</f>
        <v>Основные средства</v>
      </c>
      <c r="B21" s="1290">
        <v>18.899999999999999</v>
      </c>
      <c r="C21" s="1322">
        <v>0.24</v>
      </c>
      <c r="D21" s="1300"/>
      <c r="E21" s="1300"/>
      <c r="F21" s="1300"/>
      <c r="G21" s="1300"/>
      <c r="H21" s="1300"/>
      <c r="I21" s="1300"/>
      <c r="J21" s="1300"/>
      <c r="K21" s="1300"/>
      <c r="M21" t="s">
        <v>451</v>
      </c>
      <c r="N21" t="s">
        <v>430</v>
      </c>
      <c r="O21" t="s">
        <v>416</v>
      </c>
    </row>
    <row r="22" spans="1:15" x14ac:dyDescent="0.35">
      <c r="A22" s="1290" t="str">
        <f>INDEX($M22:$O22,1,MATCH(Чарти!$B$1,$M$3:$O$3,0))</f>
        <v>Энергетические товары</v>
      </c>
      <c r="B22" s="1290">
        <v>18.100000000000001</v>
      </c>
      <c r="C22" s="1328">
        <v>0.41</v>
      </c>
      <c r="D22" s="1300"/>
      <c r="E22" s="1300"/>
      <c r="F22" s="1300"/>
      <c r="G22" s="1300"/>
      <c r="H22" s="1300"/>
      <c r="I22" s="1300"/>
      <c r="J22" s="1300"/>
      <c r="K22" s="1300"/>
      <c r="M22" t="s">
        <v>452</v>
      </c>
      <c r="N22" t="s">
        <v>431</v>
      </c>
      <c r="O22" t="s">
        <v>417</v>
      </c>
    </row>
    <row r="23" spans="1:15" x14ac:dyDescent="0.35">
      <c r="A23" s="1293" t="str">
        <f>INDEX($M23:$O23,1,MATCH(Чарти!$B$1,$M$3:$O$3,0))</f>
        <v>Всего, млрд $</v>
      </c>
      <c r="B23" s="1329">
        <v>69.7</v>
      </c>
      <c r="C23" s="1324">
        <v>0.27</v>
      </c>
      <c r="D23" s="1300"/>
      <c r="E23" s="1300"/>
      <c r="F23" s="1300"/>
      <c r="G23" s="1300"/>
      <c r="H23" s="1300"/>
      <c r="I23" s="1300"/>
      <c r="J23" s="1300"/>
      <c r="K23" s="1300"/>
      <c r="M23" t="s">
        <v>448</v>
      </c>
      <c r="N23" t="s">
        <v>428</v>
      </c>
      <c r="O23" t="s">
        <v>413</v>
      </c>
    </row>
    <row r="24" spans="1:15" x14ac:dyDescent="0.35">
      <c r="A24" s="1294" t="str">
        <f>INDEX($M24:$O24,1,MATCH(Чарти!$B$1,$M$3:$O$3,0))</f>
        <v>Баланс товаров</v>
      </c>
      <c r="B24" s="1294">
        <v>-23.4</v>
      </c>
      <c r="C24" s="1330">
        <v>0.82</v>
      </c>
      <c r="D24" s="1301"/>
      <c r="E24" s="1301"/>
      <c r="F24" s="1301"/>
      <c r="G24" s="1301"/>
      <c r="H24" s="1301"/>
      <c r="I24" s="1301"/>
      <c r="J24" s="1301"/>
      <c r="K24" s="1301"/>
      <c r="M24" t="s">
        <v>157</v>
      </c>
      <c r="N24" t="s">
        <v>432</v>
      </c>
      <c r="O24" t="s">
        <v>23</v>
      </c>
    </row>
  </sheetData>
  <mergeCells count="4">
    <mergeCell ref="G2:H2"/>
    <mergeCell ref="G8:H8"/>
    <mergeCell ref="A4:A5"/>
    <mergeCell ref="B4:C4"/>
  </mergeCells>
  <conditionalFormatting sqref="C7:C17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19:C2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BBBA5-7E5B-4FA1-BD70-DB7E7CEDFEBD}">
  <dimension ref="A2:U29"/>
  <sheetViews>
    <sheetView topLeftCell="A4" workbookViewId="0">
      <selection activeCell="E4" sqref="E4:G29"/>
    </sheetView>
  </sheetViews>
  <sheetFormatPr defaultRowHeight="18" x14ac:dyDescent="0.35"/>
  <cols>
    <col min="1" max="1" width="45.19921875" customWidth="1"/>
  </cols>
  <sheetData>
    <row r="2" spans="1:21" x14ac:dyDescent="0.35">
      <c r="A2" s="1307" t="s">
        <v>497</v>
      </c>
      <c r="B2" s="1307"/>
      <c r="C2" s="1307"/>
      <c r="D2" s="1307"/>
      <c r="E2" s="1307"/>
      <c r="F2" s="1307"/>
      <c r="G2" s="1277"/>
      <c r="H2" s="1277"/>
      <c r="I2" s="1428" t="s">
        <v>335</v>
      </c>
      <c r="J2" s="1428"/>
    </row>
    <row r="3" spans="1:21" ht="18.75" x14ac:dyDescent="0.35">
      <c r="I3" s="338" t="s">
        <v>336</v>
      </c>
      <c r="J3" s="1255" t="s">
        <v>498</v>
      </c>
      <c r="O3" t="s">
        <v>336</v>
      </c>
      <c r="P3" t="s">
        <v>337</v>
      </c>
      <c r="Q3" t="s">
        <v>334</v>
      </c>
      <c r="S3" t="s">
        <v>336</v>
      </c>
      <c r="T3" t="s">
        <v>337</v>
      </c>
      <c r="U3" t="s">
        <v>334</v>
      </c>
    </row>
    <row r="4" spans="1:21" ht="18.75" x14ac:dyDescent="0.35">
      <c r="A4" s="1331" t="str">
        <f>IF(INDEX($O4:$Q4,1,MATCH(Чарти!$B$1,$O$3:$Q$3,0))=0,"",INDEX($O4:$Q4,1,MATCH(Чарти!$B$1,$O$3:$Q$3,0)))</f>
        <v>Показатель</v>
      </c>
      <c r="B4" s="1331" t="str">
        <f>IF(INDEX($S4:$U4,1,MATCH(Чарти!$B$1,$S$3:$U$3,0))=0,"",INDEX($S4:$U4,1,MATCH(Чарти!$B$1,$S$3:$U$3,0)))</f>
        <v/>
      </c>
      <c r="C4" s="1304">
        <v>2019</v>
      </c>
      <c r="D4" s="1304">
        <v>2020</v>
      </c>
      <c r="E4" s="1304">
        <v>2021</v>
      </c>
      <c r="F4" s="1304">
        <v>2022</v>
      </c>
      <c r="G4" s="1304">
        <v>2023</v>
      </c>
      <c r="I4" s="338" t="s">
        <v>337</v>
      </c>
      <c r="J4" s="1255" t="s">
        <v>499</v>
      </c>
      <c r="O4" t="s">
        <v>501</v>
      </c>
      <c r="P4" t="s">
        <v>502</v>
      </c>
      <c r="Q4" t="s">
        <v>503</v>
      </c>
    </row>
    <row r="5" spans="1:21" ht="18.75" x14ac:dyDescent="0.35">
      <c r="A5" s="1332" t="str">
        <f>IF(INDEX($O5:$Q5,1,MATCH(Чарти!$B$1,$O$3:$Q$3,0))=0,"",INDEX($O5:$Q5,1,MATCH(Чарти!$B$1,$O$3:$Q$3,0)))</f>
        <v>Мировые цены:</v>
      </c>
      <c r="B5" s="1333" t="str">
        <f>IF(INDEX($S5:$U5,1,MATCH(Чарти!$B$1,$S$3:$U$3,0))=0,"",INDEX($S5:$U5,1,MATCH(Чарти!$B$1,$S$3:$U$3,0)))</f>
        <v/>
      </c>
      <c r="C5" s="1334"/>
      <c r="D5" s="1334"/>
      <c r="E5" s="1334"/>
      <c r="F5" s="1334"/>
      <c r="G5" s="1334"/>
      <c r="I5" s="338" t="s">
        <v>334</v>
      </c>
      <c r="J5" s="1255" t="s">
        <v>500</v>
      </c>
      <c r="O5" t="s">
        <v>504</v>
      </c>
      <c r="P5" t="s">
        <v>505</v>
      </c>
      <c r="Q5" t="s">
        <v>506</v>
      </c>
    </row>
    <row r="6" spans="1:21" x14ac:dyDescent="0.35">
      <c r="A6" s="1291" t="str">
        <f>IF(INDEX($O6:$Q6,1,MATCH(Чарти!$B$1,$O$3:$Q$3,0))=0,"",INDEX($O6:$Q6,1,MATCH(Чарти!$B$1,$O$3:$Q$3,0)))</f>
        <v>Железная руда, 62% Fe, CFR China (TSI)</v>
      </c>
      <c r="B6" s="1316" t="str">
        <f>IF(INDEX($S6:$U6,1,MATCH(Чарти!$B$1,$S$3:$U$3,0))=0,"",INDEX($S6:$U6,1,MATCH(Чарти!$B$1,$S$3:$U$3,0)))</f>
        <v>$/тонну</v>
      </c>
      <c r="C6" s="1335">
        <v>94</v>
      </c>
      <c r="D6" s="1335">
        <v>109</v>
      </c>
      <c r="E6" s="1336">
        <v>161.79083333333332</v>
      </c>
      <c r="F6" s="1336">
        <v>120.83666666666666</v>
      </c>
      <c r="G6" s="1336">
        <v>122.31166666666667</v>
      </c>
      <c r="O6" t="s">
        <v>507</v>
      </c>
      <c r="P6" t="s">
        <v>508</v>
      </c>
      <c r="Q6" t="s">
        <v>509</v>
      </c>
      <c r="S6" t="s">
        <v>510</v>
      </c>
      <c r="T6" t="s">
        <v>511</v>
      </c>
      <c r="U6" t="s">
        <v>510</v>
      </c>
    </row>
    <row r="7" spans="1:21" x14ac:dyDescent="0.35">
      <c r="A7" s="1291" t="str">
        <f>IF(INDEX($O7:$Q7,1,MATCH(Чарти!$B$1,$O$3:$Q$3,0))=0,"",INDEX($O7:$Q7,1,MATCH(Чарти!$B$1,$O$3:$Q$3,0)))</f>
        <v/>
      </c>
      <c r="B7" s="1316" t="str">
        <f>IF(INDEX($S7:$U7,1,MATCH(Чарти!$B$1,$S$3:$U$3,0))=0,"",INDEX($S7:$U7,1,MATCH(Чарти!$B$1,$S$3:$U$3,0)))</f>
        <v>% г-г.</v>
      </c>
      <c r="C7" s="1337">
        <v>0.34599999999999997</v>
      </c>
      <c r="D7" s="1337">
        <v>0.15957446808510634</v>
      </c>
      <c r="E7" s="1337">
        <v>0.48431957186544339</v>
      </c>
      <c r="F7" s="1337">
        <v>-0.2531303277379745</v>
      </c>
      <c r="G7" s="1337">
        <v>1.2206559819039509E-2</v>
      </c>
      <c r="S7" t="s">
        <v>512</v>
      </c>
      <c r="T7" t="s">
        <v>513</v>
      </c>
      <c r="U7" t="s">
        <v>514</v>
      </c>
    </row>
    <row r="8" spans="1:21" x14ac:dyDescent="0.35">
      <c r="A8" s="1291" t="str">
        <f>IF(INDEX($O8:$Q8,1,MATCH(Чарти!$B$1,$O$3:$Q$3,0))=0,"",INDEX($O8:$Q8,1,MATCH(Чарти!$B$1,$O$3:$Q$3,0)))</f>
        <v>Прокат Китай</v>
      </c>
      <c r="B8" s="1316" t="str">
        <f>IF(INDEX($S8:$U8,1,MATCH(Чарти!$B$1,$S$3:$U$3,0))=0,"",INDEX($S8:$U8,1,MATCH(Чарти!$B$1,$S$3:$U$3,0)))</f>
        <v>$/тонну</v>
      </c>
      <c r="C8" s="1336">
        <v>543.26307162709065</v>
      </c>
      <c r="D8" s="1336">
        <v>552.27493196492878</v>
      </c>
      <c r="E8" s="1336">
        <v>825.89951574094414</v>
      </c>
      <c r="F8" s="1336">
        <v>677.82479348432366</v>
      </c>
      <c r="G8" s="1336">
        <v>621.01226666666673</v>
      </c>
      <c r="O8" t="s">
        <v>515</v>
      </c>
      <c r="P8" t="s">
        <v>516</v>
      </c>
      <c r="Q8" t="s">
        <v>515</v>
      </c>
      <c r="S8" t="s">
        <v>510</v>
      </c>
      <c r="T8" t="s">
        <v>511</v>
      </c>
      <c r="U8" t="s">
        <v>510</v>
      </c>
    </row>
    <row r="9" spans="1:21" x14ac:dyDescent="0.35">
      <c r="A9" s="1291" t="str">
        <f>IF(INDEX($O9:$Q9,1,MATCH(Чарти!$B$1,$O$3:$Q$3,0))=0,"",INDEX($O9:$Q9,1,MATCH(Чарти!$B$1,$O$3:$Q$3,0)))</f>
        <v/>
      </c>
      <c r="B9" s="1316" t="str">
        <f>IF(INDEX($S9:$U9,1,MATCH(Чарти!$B$1,$S$3:$U$3,0))=0,"",INDEX($S9:$U9,1,MATCH(Чарти!$B$1,$S$3:$U$3,0)))</f>
        <v>% г-г.</v>
      </c>
      <c r="C9" s="1337">
        <v>-0.11423554513035949</v>
      </c>
      <c r="D9" s="1337">
        <v>1.6588391165347049E-2</v>
      </c>
      <c r="E9" s="1337">
        <v>0.49544994338687709</v>
      </c>
      <c r="F9" s="1337">
        <v>-0.17928902903372856</v>
      </c>
      <c r="G9" s="1337">
        <v>-8.3815946781195527E-2</v>
      </c>
      <c r="S9" t="s">
        <v>512</v>
      </c>
      <c r="T9" t="s">
        <v>513</v>
      </c>
      <c r="U9" t="s">
        <v>514</v>
      </c>
    </row>
    <row r="10" spans="1:21" x14ac:dyDescent="0.35">
      <c r="A10" s="1291" t="str">
        <f>IF(INDEX($O10:$Q10,1,MATCH(Чарти!$B$1,$O$3:$Q$3,0))=0,"",INDEX($O10:$Q10,1,MATCH(Чарти!$B$1,$O$3:$Q$3,0)))</f>
        <v>Арматура Турция</v>
      </c>
      <c r="B10" s="1316" t="str">
        <f>IF(INDEX($S10:$U10,1,MATCH(Чарти!$B$1,$S$3:$U$3,0))=0,"",INDEX($S10:$U10,1,MATCH(Чарти!$B$1,$S$3:$U$3,0)))</f>
        <v>$/тонну</v>
      </c>
      <c r="C10" s="1336">
        <v>450.22833333333347</v>
      </c>
      <c r="D10" s="1336">
        <v>444.68333333333339</v>
      </c>
      <c r="E10" s="1336">
        <v>682.0383333333333</v>
      </c>
      <c r="F10" s="1336">
        <v>746.33833333333325</v>
      </c>
      <c r="G10" s="1336">
        <v>675.66666666666663</v>
      </c>
      <c r="O10" t="s">
        <v>517</v>
      </c>
      <c r="P10" t="s">
        <v>518</v>
      </c>
      <c r="Q10" t="s">
        <v>519</v>
      </c>
      <c r="S10" t="s">
        <v>510</v>
      </c>
      <c r="T10" t="s">
        <v>511</v>
      </c>
      <c r="U10" t="s">
        <v>510</v>
      </c>
    </row>
    <row r="11" spans="1:21" x14ac:dyDescent="0.35">
      <c r="A11" s="1291" t="str">
        <f>IF(INDEX($O11:$Q11,1,MATCH(Чарти!$B$1,$O$3:$Q$3,0))=0,"",INDEX($O11:$Q11,1,MATCH(Чарти!$B$1,$O$3:$Q$3,0)))</f>
        <v/>
      </c>
      <c r="B11" s="1316" t="str">
        <f>IF(INDEX($S11:$U11,1,MATCH(Чарти!$B$1,$S$3:$U$3,0))=0,"",INDEX($S11:$U11,1,MATCH(Чарти!$B$1,$S$3:$U$3,0)))</f>
        <v>% г-г.</v>
      </c>
      <c r="C11" s="1337">
        <v>-0.15708887578358732</v>
      </c>
      <c r="D11" s="1337">
        <v>-1.2315973006289505E-2</v>
      </c>
      <c r="E11" s="1337">
        <v>0.53376185300401002</v>
      </c>
      <c r="F11" s="1337">
        <v>9.4276225920830292E-2</v>
      </c>
      <c r="G11" s="1337">
        <v>-9.4691192332342577E-2</v>
      </c>
      <c r="S11" t="s">
        <v>512</v>
      </c>
      <c r="T11" t="s">
        <v>513</v>
      </c>
      <c r="U11" t="s">
        <v>514</v>
      </c>
    </row>
    <row r="12" spans="1:21" x14ac:dyDescent="0.35">
      <c r="A12" s="1291" t="str">
        <f>IF(INDEX($O12:$Q12,1,MATCH(Чарти!$B$1,$O$3:$Q$3,0))=0,"",INDEX($O12:$Q12,1,MATCH(Чарти!$B$1,$O$3:$Q$3,0)))</f>
        <v>Пшеница США (мягкая), CME Globex</v>
      </c>
      <c r="B12" s="1316" t="str">
        <f>IF(INDEX($S12:$U12,1,MATCH(Чарти!$B$1,$S$3:$U$3,0))=0,"",INDEX($S12:$U12,1,MATCH(Чарти!$B$1,$S$3:$U$3,0)))</f>
        <v>$/тонну</v>
      </c>
      <c r="C12" s="1335">
        <v>211</v>
      </c>
      <c r="D12" s="1335">
        <v>228</v>
      </c>
      <c r="E12" s="1336">
        <v>283.76370847875006</v>
      </c>
      <c r="F12" s="1336">
        <v>345.29327951324996</v>
      </c>
      <c r="G12" s="1336">
        <v>271.07516947231306</v>
      </c>
      <c r="O12" t="s">
        <v>520</v>
      </c>
      <c r="P12" t="s">
        <v>521</v>
      </c>
      <c r="Q12" t="s">
        <v>522</v>
      </c>
      <c r="S12" t="s">
        <v>510</v>
      </c>
      <c r="T12" t="s">
        <v>511</v>
      </c>
      <c r="U12" t="s">
        <v>510</v>
      </c>
    </row>
    <row r="13" spans="1:21" x14ac:dyDescent="0.35">
      <c r="A13" s="1291" t="str">
        <f>IF(INDEX($O13:$Q13,1,MATCH(Чарти!$B$1,$O$3:$Q$3,0))=0,"",INDEX($O13:$Q13,1,MATCH(Чарти!$B$1,$O$3:$Q$3,0)))</f>
        <v/>
      </c>
      <c r="B13" s="1316" t="str">
        <f>IF(INDEX($S13:$U13,1,MATCH(Чарти!$B$1,$S$3:$U$3,0))=0,"",INDEX($S13:$U13,1,MATCH(Чарти!$B$1,$S$3:$U$3,0)))</f>
        <v>% г-г.</v>
      </c>
      <c r="C13" s="1337">
        <v>3.5999999999999997E-2</v>
      </c>
      <c r="D13" s="1337">
        <v>8.0568720379146974E-2</v>
      </c>
      <c r="E13" s="1337">
        <v>0.2445776687664476</v>
      </c>
      <c r="F13" s="1337">
        <v>0.21683382756857217</v>
      </c>
      <c r="G13" s="1337">
        <v>-0.21494223735127438</v>
      </c>
      <c r="S13" t="s">
        <v>512</v>
      </c>
      <c r="T13" t="s">
        <v>513</v>
      </c>
      <c r="U13" t="s">
        <v>514</v>
      </c>
    </row>
    <row r="14" spans="1:21" x14ac:dyDescent="0.35">
      <c r="A14" s="1291" t="str">
        <f>IF(INDEX($O14:$Q14,1,MATCH(Чарти!$B$1,$O$3:$Q$3,0))=0,"",INDEX($O14:$Q14,1,MATCH(Чарти!$B$1,$O$3:$Q$3,0)))</f>
        <v>Черноморская пшеница, CME Globex</v>
      </c>
      <c r="B14" s="1316" t="str">
        <f>IF(INDEX($S14:$U14,1,MATCH(Чарти!$B$1,$S$3:$U$3,0))=0,"",INDEX($S14:$U14,1,MATCH(Чарти!$B$1,$S$3:$U$3,0)))</f>
        <v>$/тонну</v>
      </c>
      <c r="C14" s="1336">
        <v>210.36416666666665</v>
      </c>
      <c r="D14" s="1336">
        <v>225.72000000000003</v>
      </c>
      <c r="E14" s="1336">
        <v>287.7716666666667</v>
      </c>
      <c r="F14" s="1336">
        <v>355.90083333333331</v>
      </c>
      <c r="G14" s="1336">
        <v>298.10416666666669</v>
      </c>
      <c r="O14" t="s">
        <v>523</v>
      </c>
      <c r="P14" t="s">
        <v>524</v>
      </c>
      <c r="Q14" t="s">
        <v>525</v>
      </c>
      <c r="S14" t="s">
        <v>510</v>
      </c>
      <c r="T14" t="s">
        <v>511</v>
      </c>
      <c r="U14" t="s">
        <v>510</v>
      </c>
    </row>
    <row r="15" spans="1:21" x14ac:dyDescent="0.35">
      <c r="A15" s="1291" t="str">
        <f>IF(INDEX($O15:$Q15,1,MATCH(Чарти!$B$1,$O$3:$Q$3,0))=0,"",INDEX($O15:$Q15,1,MATCH(Чарти!$B$1,$O$3:$Q$3,0)))</f>
        <v/>
      </c>
      <c r="B15" s="1316" t="str">
        <f>IF(INDEX($S15:$U15,1,MATCH(Чарти!$B$1,$S$3:$U$3,0))=0,"",INDEX($S15:$U15,1,MATCH(Чарти!$B$1,$S$3:$U$3,0)))</f>
        <v>% г-г.</v>
      </c>
      <c r="C15" s="1337">
        <v>-1.9311754102436685E-2</v>
      </c>
      <c r="D15" s="1337">
        <v>7.2996430792633626E-2</v>
      </c>
      <c r="E15" s="1337">
        <v>0.27490548762478584</v>
      </c>
      <c r="F15" s="1337">
        <v>0.23674730544471001</v>
      </c>
      <c r="G15" s="1337">
        <v>-0.16239542381890071</v>
      </c>
      <c r="S15" t="s">
        <v>512</v>
      </c>
      <c r="T15" t="s">
        <v>513</v>
      </c>
      <c r="U15" t="s">
        <v>514</v>
      </c>
    </row>
    <row r="16" spans="1:21" x14ac:dyDescent="0.35">
      <c r="A16" s="1291" t="str">
        <f>IF(INDEX($O16:$Q16,1,MATCH(Чарти!$B$1,$O$3:$Q$3,0))=0,"",INDEX($O16:$Q16,1,MATCH(Чарти!$B$1,$O$3:$Q$3,0)))</f>
        <v>Кукуруза США, CME Globex</v>
      </c>
      <c r="B16" s="1316" t="str">
        <f>IF(INDEX($S16:$U16,1,MATCH(Чарти!$B$1,$S$3:$U$3,0))=0,"",INDEX($S16:$U16,1,MATCH(Чарти!$B$1,$S$3:$U$3,0)))</f>
        <v>$/тонну</v>
      </c>
      <c r="C16" s="1335">
        <v>170</v>
      </c>
      <c r="D16" s="1335">
        <v>165</v>
      </c>
      <c r="E16" s="1336">
        <v>258.93121353679999</v>
      </c>
      <c r="F16" s="1336">
        <v>315.55991151666666</v>
      </c>
      <c r="G16" s="1336">
        <v>250.96880367807989</v>
      </c>
      <c r="O16" t="s">
        <v>526</v>
      </c>
      <c r="P16" t="s">
        <v>527</v>
      </c>
      <c r="Q16" t="s">
        <v>528</v>
      </c>
      <c r="S16" t="s">
        <v>510</v>
      </c>
      <c r="T16" t="s">
        <v>511</v>
      </c>
      <c r="U16" t="s">
        <v>510</v>
      </c>
    </row>
    <row r="17" spans="1:21" x14ac:dyDescent="0.35">
      <c r="A17" s="1291" t="str">
        <f>IF(INDEX($O17:$Q17,1,MATCH(Чарти!$B$1,$O$3:$Q$3,0))=0,"",INDEX($O17:$Q17,1,MATCH(Чарти!$B$1,$O$3:$Q$3,0)))</f>
        <v/>
      </c>
      <c r="B17" s="1316" t="str">
        <f>IF(INDEX($S17:$U17,1,MATCH(Чарти!$B$1,$S$3:$U$3,0))=0,"",INDEX($S17:$U17,1,MATCH(Чарти!$B$1,$S$3:$U$3,0)))</f>
        <v>% г-г.</v>
      </c>
      <c r="C17" s="1337">
        <v>3.5000000000000003E-2</v>
      </c>
      <c r="D17" s="1337">
        <v>-2.9411764705882359E-2</v>
      </c>
      <c r="E17" s="1337">
        <v>0.56928008204121205</v>
      </c>
      <c r="F17" s="1337">
        <v>0.21870170539257305</v>
      </c>
      <c r="G17" s="1337">
        <v>-0.20468730494993603</v>
      </c>
      <c r="S17" t="s">
        <v>512</v>
      </c>
      <c r="T17" t="s">
        <v>513</v>
      </c>
      <c r="U17" t="s">
        <v>514</v>
      </c>
    </row>
    <row r="18" spans="1:21" x14ac:dyDescent="0.35">
      <c r="A18" s="1291" t="str">
        <f>IF(INDEX($O18:$Q18,1,MATCH(Чарти!$B$1,$O$3:$Q$3,0))=0,"",INDEX($O18:$Q18,1,MATCH(Чарти!$B$1,$O$3:$Q$3,0)))</f>
        <v>Черноморская кукуруза, CME Globex</v>
      </c>
      <c r="B18" s="1316" t="str">
        <f>IF(INDEX($S18:$U18,1,MATCH(Чарти!$B$1,$S$3:$U$3,0))=0,"",INDEX($S18:$U18,1,MATCH(Чарти!$B$1,$S$3:$U$3,0)))</f>
        <v>$/тонну</v>
      </c>
      <c r="C18" s="1336">
        <v>174.215</v>
      </c>
      <c r="D18" s="1336">
        <v>189.755</v>
      </c>
      <c r="E18" s="1336">
        <v>270.79333333333329</v>
      </c>
      <c r="F18" s="1336">
        <v>293.8</v>
      </c>
      <c r="G18" s="1336">
        <v>257.27083333333331</v>
      </c>
      <c r="O18" t="s">
        <v>529</v>
      </c>
      <c r="P18" t="s">
        <v>530</v>
      </c>
      <c r="Q18" t="s">
        <v>531</v>
      </c>
      <c r="S18" t="s">
        <v>510</v>
      </c>
      <c r="T18" t="s">
        <v>511</v>
      </c>
      <c r="U18" t="s">
        <v>510</v>
      </c>
    </row>
    <row r="19" spans="1:21" x14ac:dyDescent="0.35">
      <c r="A19" s="1291" t="str">
        <f>IF(INDEX($O19:$Q19,1,MATCH(Чарти!$B$1,$O$3:$Q$3,0))=0,"",INDEX($O19:$Q19,1,MATCH(Чарти!$B$1,$O$3:$Q$3,0)))</f>
        <v/>
      </c>
      <c r="B19" s="1316" t="str">
        <f>IF(INDEX($S19:$U19,1,MATCH(Чарти!$B$1,$S$3:$U$3,0))=0,"",INDEX($S19:$U19,1,MATCH(Чарти!$B$1,$S$3:$U$3,0)))</f>
        <v>% г-г.</v>
      </c>
      <c r="C19" s="1337">
        <v>-4.0468158347676364E-2</v>
      </c>
      <c r="D19" s="1337">
        <v>8.9200126280744918E-2</v>
      </c>
      <c r="E19" s="1337">
        <v>0.42706823711276809</v>
      </c>
      <c r="F19" s="1337">
        <v>8.4960240281641841E-2</v>
      </c>
      <c r="G19" s="1337">
        <v>-0.12433344678919911</v>
      </c>
      <c r="S19" t="s">
        <v>512</v>
      </c>
      <c r="T19" t="s">
        <v>513</v>
      </c>
      <c r="U19" t="s">
        <v>514</v>
      </c>
    </row>
    <row r="20" spans="1:21" x14ac:dyDescent="0.35">
      <c r="A20" s="1291" t="str">
        <f>IF(INDEX($O20:$Q20,1,MATCH(Чарти!$B$1,$O$3:$Q$3,0))=0,"",INDEX($O20:$Q20,1,MATCH(Чарти!$B$1,$O$3:$Q$3,0)))</f>
        <v>Подсолнечное масло, CME Globex</v>
      </c>
      <c r="B20" s="1316" t="str">
        <f>IF(INDEX($S20:$U20,1,MATCH(Чарти!$B$1,$S$3:$U$3,0))=0,"",INDEX($S20:$U20,1,MATCH(Чарти!$B$1,$S$3:$U$3,0)))</f>
        <v>$/тонну</v>
      </c>
      <c r="C20" s="1335">
        <v>741</v>
      </c>
      <c r="D20" s="1335">
        <v>837</v>
      </c>
      <c r="E20" s="1336">
        <v>1468.4108005469382</v>
      </c>
      <c r="F20" s="1336">
        <v>1663.6791666666666</v>
      </c>
      <c r="G20" s="1336">
        <v>1388.25</v>
      </c>
      <c r="O20" t="s">
        <v>532</v>
      </c>
      <c r="P20" t="s">
        <v>533</v>
      </c>
      <c r="Q20" t="s">
        <v>534</v>
      </c>
      <c r="S20" t="s">
        <v>510</v>
      </c>
      <c r="T20" t="s">
        <v>511</v>
      </c>
      <c r="U20" t="s">
        <v>510</v>
      </c>
    </row>
    <row r="21" spans="1:21" x14ac:dyDescent="0.35">
      <c r="A21" s="1291" t="str">
        <f>IF(INDEX($O21:$Q21,1,MATCH(Чарти!$B$1,$O$3:$Q$3,0))=0,"",INDEX($O21:$Q21,1,MATCH(Чарти!$B$1,$O$3:$Q$3,0)))</f>
        <v/>
      </c>
      <c r="B21" s="1316" t="str">
        <f>IF(INDEX($S21:$U21,1,MATCH(Чарти!$B$1,$S$3:$U$3,0))=0,"",INDEX($S21:$U21,1,MATCH(Чарти!$B$1,$S$3:$U$3,0)))</f>
        <v>% г-г.</v>
      </c>
      <c r="C21" s="1337">
        <v>-3.2000000000000001E-2</v>
      </c>
      <c r="D21" s="1337">
        <v>0.12955465587044523</v>
      </c>
      <c r="E21" s="1337">
        <v>0.75437371630458561</v>
      </c>
      <c r="F21" s="1337">
        <v>0.13297938563717793</v>
      </c>
      <c r="G21" s="1337">
        <v>-0.16555425600388696</v>
      </c>
      <c r="S21" t="s">
        <v>512</v>
      </c>
      <c r="T21" t="s">
        <v>513</v>
      </c>
      <c r="U21" t="s">
        <v>514</v>
      </c>
    </row>
    <row r="22" spans="1:21" ht="36" x14ac:dyDescent="0.35">
      <c r="A22" s="1338" t="str">
        <f>IF(INDEX($O22:$Q22,1,MATCH(Чарти!$B$1,$O$3:$Q$3,0))=0,"",INDEX($O22:$Q22,1,MATCH(Чарти!$B$1,$O$3:$Q$3,0)))</f>
        <v>Аммиак (гранулированный) FOB Middle East, CME Globex</v>
      </c>
      <c r="B22" s="1316" t="str">
        <f>IF(INDEX($S22:$U22,1,MATCH(Чарти!$B$1,$S$3:$U$3,0))=0,"",INDEX($S22:$U22,1,MATCH(Чарти!$B$1,$S$3:$U$3,0)))</f>
        <v>$/тонну</v>
      </c>
      <c r="C22" s="1336">
        <v>244.67750000000001</v>
      </c>
      <c r="D22" s="1336">
        <v>229.10083333333333</v>
      </c>
      <c r="E22" s="1336">
        <v>476.33249999999998</v>
      </c>
      <c r="F22" s="1336">
        <v>700.0572833333332</v>
      </c>
      <c r="G22" s="1336">
        <v>483.52249999999998</v>
      </c>
      <c r="O22" t="s">
        <v>535</v>
      </c>
      <c r="P22" t="s">
        <v>536</v>
      </c>
      <c r="Q22" t="s">
        <v>537</v>
      </c>
      <c r="S22" t="s">
        <v>510</v>
      </c>
      <c r="T22" t="s">
        <v>511</v>
      </c>
      <c r="U22" t="s">
        <v>510</v>
      </c>
    </row>
    <row r="23" spans="1:21" x14ac:dyDescent="0.35">
      <c r="A23" s="1291" t="str">
        <f>IF(INDEX($O23:$Q23,1,MATCH(Чарти!$B$1,$O$3:$Q$3,0))=0,"",INDEX($O23:$Q23,1,MATCH(Чарти!$B$1,$O$3:$Q$3,0)))</f>
        <v/>
      </c>
      <c r="B23" s="1316" t="str">
        <f>IF(INDEX($S23:$U23,1,MATCH(Чарти!$B$1,$S$3:$U$3,0))=0,"",INDEX($S23:$U23,1,MATCH(Чарти!$B$1,$S$3:$U$3,0)))</f>
        <v>% г-г.</v>
      </c>
      <c r="C23" s="1337">
        <v>-1.9130452212287263E-2</v>
      </c>
      <c r="D23" s="1337">
        <v>-6.3662031313327483E-2</v>
      </c>
      <c r="E23" s="1337">
        <v>1.0791390981409203</v>
      </c>
      <c r="F23" s="1337">
        <v>0.46968196235472748</v>
      </c>
      <c r="G23" s="1337">
        <v>-0.30931009288597011</v>
      </c>
      <c r="S23" t="s">
        <v>512</v>
      </c>
      <c r="T23" t="s">
        <v>513</v>
      </c>
      <c r="U23" t="s">
        <v>514</v>
      </c>
    </row>
    <row r="24" spans="1:21" x14ac:dyDescent="0.35">
      <c r="A24" s="1338" t="str">
        <f>IF(INDEX($O24:$Q24,1,MATCH(Чарти!$B$1,$O$3:$Q$3,0))=0,"",INDEX($O24:$Q24,1,MATCH(Чарти!$B$1,$O$3:$Q$3,0)))</f>
        <v>Нефть марки Brent, NYMEX - CME Group</v>
      </c>
      <c r="B24" s="1316" t="str">
        <f>IF(INDEX($S24:$U24,1,MATCH(Чарти!$B$1,$S$3:$U$3,0))=0,"",INDEX($S24:$U24,1,MATCH(Чарти!$B$1,$S$3:$U$3,0)))</f>
        <v>$/бар.</v>
      </c>
      <c r="C24" s="1335">
        <v>64.2</v>
      </c>
      <c r="D24" s="1335">
        <v>42.3</v>
      </c>
      <c r="E24" s="1336">
        <v>71.249166666666667</v>
      </c>
      <c r="F24" s="1336">
        <v>100.07583333333334</v>
      </c>
      <c r="G24" s="1336">
        <v>86.88</v>
      </c>
      <c r="O24" t="s">
        <v>538</v>
      </c>
      <c r="P24" t="s">
        <v>539</v>
      </c>
      <c r="Q24" t="s">
        <v>540</v>
      </c>
      <c r="S24" t="s">
        <v>541</v>
      </c>
      <c r="T24" t="s">
        <v>542</v>
      </c>
      <c r="U24" t="s">
        <v>541</v>
      </c>
    </row>
    <row r="25" spans="1:21" x14ac:dyDescent="0.35">
      <c r="A25" s="1291" t="str">
        <f>IF(INDEX($O25:$Q25,1,MATCH(Чарти!$B$1,$O$3:$Q$3,0))=0,"",INDEX($O25:$Q25,1,MATCH(Чарти!$B$1,$O$3:$Q$3,0)))</f>
        <v/>
      </c>
      <c r="B25" s="1316" t="str">
        <f>IF(INDEX($S25:$U25,1,MATCH(Чарти!$B$1,$S$3:$U$3,0))=0,"",INDEX($S25:$U25,1,MATCH(Чарти!$B$1,$S$3:$U$3,0)))</f>
        <v>% г-г.</v>
      </c>
      <c r="C25" s="1337">
        <v>-9.6000000000000002E-2</v>
      </c>
      <c r="D25" s="1337">
        <v>-0.3411214953271029</v>
      </c>
      <c r="E25" s="1337">
        <v>0.68437746256895204</v>
      </c>
      <c r="F25" s="1337">
        <v>0.40458952736289322</v>
      </c>
      <c r="G25" s="1337">
        <v>-0.13185834075825842</v>
      </c>
      <c r="S25" t="s">
        <v>512</v>
      </c>
      <c r="T25" t="s">
        <v>513</v>
      </c>
      <c r="U25" t="s">
        <v>514</v>
      </c>
    </row>
    <row r="26" spans="1:21" x14ac:dyDescent="0.35">
      <c r="A26" s="1291" t="str">
        <f>IF(INDEX($O26:$Q26,1,MATCH(Чарти!$B$1,$O$3:$Q$3,0))=0,"",INDEX($O26:$Q26,1,MATCH(Чарти!$B$1,$O$3:$Q$3,0)))</f>
        <v>Газ, Netherlands TTF</v>
      </c>
      <c r="B26" s="1316" t="str">
        <f>IF(INDEX($S26:$U26,1,MATCH(Чарти!$B$1,$S$3:$U$3,0))=0,"",INDEX($S26:$U26,1,MATCH(Чарти!$B$1,$S$3:$U$3,0)))</f>
        <v>$/1000 м3</v>
      </c>
      <c r="C26" s="1335">
        <v>161</v>
      </c>
      <c r="D26" s="1335">
        <v>115</v>
      </c>
      <c r="E26" s="1336">
        <v>594.87737613499007</v>
      </c>
      <c r="F26" s="1336">
        <v>1450.3334513086766</v>
      </c>
      <c r="G26" s="1336">
        <v>751.76196656401225</v>
      </c>
      <c r="O26" t="s">
        <v>543</v>
      </c>
      <c r="P26" t="s">
        <v>544</v>
      </c>
      <c r="Q26" t="s">
        <v>543</v>
      </c>
      <c r="S26" t="s">
        <v>545</v>
      </c>
      <c r="T26" t="s">
        <v>546</v>
      </c>
      <c r="U26" t="s">
        <v>545</v>
      </c>
    </row>
    <row r="27" spans="1:21" x14ac:dyDescent="0.35">
      <c r="A27" s="1292" t="str">
        <f>IF(INDEX($O27:$Q27,1,MATCH(Чарти!$B$1,$O$3:$Q$3,0))=0,"",INDEX($O27:$Q27,1,MATCH(Чарти!$B$1,$O$3:$Q$3,0)))</f>
        <v/>
      </c>
      <c r="B27" s="1316" t="str">
        <f>IF(INDEX($S27:$U27,1,MATCH(Чарти!$B$1,$S$3:$U$3,0))=0,"",INDEX($S27:$U27,1,MATCH(Чарти!$B$1,$S$3:$U$3,0)))</f>
        <v>% г-г.</v>
      </c>
      <c r="C27" s="1337">
        <v>-0.435</v>
      </c>
      <c r="D27" s="1337">
        <v>-0.2857142857142857</v>
      </c>
      <c r="E27" s="1337">
        <v>4.1728467489999135</v>
      </c>
      <c r="F27" s="1337">
        <v>1.4380376687574108</v>
      </c>
      <c r="G27" s="1337">
        <v>-0.48166267151483244</v>
      </c>
      <c r="S27" t="s">
        <v>512</v>
      </c>
      <c r="T27" t="s">
        <v>513</v>
      </c>
      <c r="U27" t="s">
        <v>514</v>
      </c>
    </row>
    <row r="28" spans="1:21" x14ac:dyDescent="0.35">
      <c r="A28" s="1339" t="str">
        <f>IF(INDEX($O28:$Q28,1,MATCH(Чарти!$B$1,$O$3:$Q$3,0))=0,"",INDEX($O28:$Q28,1,MATCH(Чарти!$B$1,$O$3:$Q$3,0)))</f>
        <v>Урожай зерновых, зернобобовых и масличных</v>
      </c>
      <c r="B28" s="1340" t="str">
        <f>IF(INDEX($S28:$U28,1,MATCH(Чарти!$B$1,$S$3:$U$3,0))=0,"",INDEX($S28:$U28,1,MATCH(Чарти!$B$1,$S$3:$U$3,0)))</f>
        <v>млн т</v>
      </c>
      <c r="C28" s="1341">
        <v>94.7</v>
      </c>
      <c r="D28" s="1341">
        <v>82</v>
      </c>
      <c r="E28" s="1341">
        <v>106</v>
      </c>
      <c r="F28" s="1341">
        <v>67</v>
      </c>
      <c r="G28" s="1341">
        <v>60</v>
      </c>
      <c r="O28" t="s">
        <v>547</v>
      </c>
      <c r="P28" t="s">
        <v>548</v>
      </c>
      <c r="Q28" t="s">
        <v>549</v>
      </c>
      <c r="S28" t="s">
        <v>550</v>
      </c>
      <c r="T28" t="s">
        <v>551</v>
      </c>
      <c r="U28" t="s">
        <v>550</v>
      </c>
    </row>
    <row r="29" spans="1:21" x14ac:dyDescent="0.35">
      <c r="A29" s="1342" t="str">
        <f>IF(INDEX($O29:$Q29,1,MATCH(Чарти!$B$1,$O$3:$Q$3,0))=0,"",INDEX($O29:$Q29,1,MATCH(Чарти!$B$1,$O$3:$Q$3,0)))</f>
        <v>Средняя зарплата в стране</v>
      </c>
      <c r="B29" s="1343" t="str">
        <f>IF(INDEX($S29:$U29,1,MATCH(Чарти!$B$1,$S$3:$U$3,0))=0,"",INDEX($S29:$U29,1,MATCH(Чарти!$B$1,$S$3:$U$3,0)))</f>
        <v>грн</v>
      </c>
      <c r="C29" s="1344">
        <v>10497</v>
      </c>
      <c r="D29" s="1344">
        <v>11596</v>
      </c>
      <c r="E29" s="1344">
        <v>13947</v>
      </c>
      <c r="F29" s="1344">
        <v>14391</v>
      </c>
      <c r="G29" s="1344">
        <v>15427</v>
      </c>
      <c r="O29" t="s">
        <v>552</v>
      </c>
      <c r="P29" t="s">
        <v>553</v>
      </c>
      <c r="Q29" t="s">
        <v>554</v>
      </c>
      <c r="S29" t="s">
        <v>555</v>
      </c>
      <c r="T29" t="s">
        <v>556</v>
      </c>
      <c r="U29" t="s">
        <v>555</v>
      </c>
    </row>
  </sheetData>
  <mergeCells count="1">
    <mergeCell ref="I2:J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C5D23-B81D-4F0F-BAE3-749C852A0281}">
  <dimension ref="A1:P4"/>
  <sheetViews>
    <sheetView topLeftCell="A4" workbookViewId="0">
      <selection activeCell="H5" sqref="H2:M5"/>
    </sheetView>
  </sheetViews>
  <sheetFormatPr defaultColWidth="8.69921875" defaultRowHeight="18" x14ac:dyDescent="0.35"/>
  <cols>
    <col min="1" max="16384" width="8.69921875" style="1353"/>
  </cols>
  <sheetData>
    <row r="1" spans="1:16" x14ac:dyDescent="0.35">
      <c r="B1" s="1353">
        <v>2010</v>
      </c>
      <c r="C1" s="1353">
        <v>2011</v>
      </c>
      <c r="D1" s="1353">
        <v>2012</v>
      </c>
      <c r="E1" s="1353">
        <v>2013</v>
      </c>
      <c r="F1" s="1353">
        <v>2014</v>
      </c>
      <c r="G1" s="1353">
        <v>2015</v>
      </c>
      <c r="H1" s="1353">
        <v>2016</v>
      </c>
      <c r="I1" s="1353">
        <v>2017</v>
      </c>
      <c r="J1" s="1353">
        <v>2018</v>
      </c>
      <c r="K1" s="1353">
        <v>2019</v>
      </c>
      <c r="L1" s="1353">
        <v>2020</v>
      </c>
      <c r="M1" s="1353">
        <v>2021</v>
      </c>
      <c r="N1" s="1353">
        <v>2022</v>
      </c>
      <c r="O1" s="1353" t="s">
        <v>585</v>
      </c>
      <c r="P1" s="1353" t="s">
        <v>586</v>
      </c>
    </row>
    <row r="2" spans="1:16" x14ac:dyDescent="0.35">
      <c r="A2" s="1396" t="s">
        <v>86</v>
      </c>
      <c r="B2" s="1356">
        <v>5759</v>
      </c>
      <c r="C2" s="1356">
        <v>7015</v>
      </c>
      <c r="D2" s="1356">
        <v>7195</v>
      </c>
      <c r="E2" s="1356">
        <v>4079</v>
      </c>
      <c r="F2" s="1356">
        <v>299</v>
      </c>
      <c r="G2" s="1356">
        <v>-236</v>
      </c>
      <c r="H2" s="1356">
        <v>3955</v>
      </c>
      <c r="I2" s="1356">
        <v>3446</v>
      </c>
      <c r="J2" s="1356">
        <v>4859</v>
      </c>
      <c r="K2" s="1356">
        <v>5175</v>
      </c>
      <c r="L2" s="1356">
        <v>-58</v>
      </c>
      <c r="M2" s="1356">
        <v>7518</v>
      </c>
      <c r="N2" s="1356">
        <v>504</v>
      </c>
      <c r="O2" s="1356">
        <f>-'ПБ V-1 (fin min)'!BW24</f>
        <v>4694.1087013022179</v>
      </c>
      <c r="P2" s="1356">
        <f>-'ПБ V-1 (fin min)'!BV24</f>
        <v>4926.1653957529552</v>
      </c>
    </row>
    <row r="3" spans="1:16" x14ac:dyDescent="0.35">
      <c r="A3" s="1353" t="s">
        <v>97</v>
      </c>
      <c r="B3" s="1356">
        <v>3087</v>
      </c>
      <c r="C3" s="1356">
        <v>4081</v>
      </c>
      <c r="D3" s="1356">
        <v>2602</v>
      </c>
      <c r="E3" s="1356">
        <v>3898</v>
      </c>
      <c r="F3" s="1356">
        <v>-6646</v>
      </c>
      <c r="G3" s="1356">
        <v>-1727</v>
      </c>
      <c r="H3" s="1356">
        <v>600</v>
      </c>
      <c r="I3" s="1356">
        <v>1599</v>
      </c>
      <c r="J3" s="1356">
        <v>1104</v>
      </c>
      <c r="K3" s="1356">
        <v>2422</v>
      </c>
      <c r="L3" s="1356">
        <v>2411</v>
      </c>
      <c r="M3" s="1356">
        <v>-369</v>
      </c>
      <c r="N3" s="1356">
        <v>-1321</v>
      </c>
      <c r="O3" s="1356">
        <f>'ПБ V-1 (fin min)'!BW42</f>
        <v>410</v>
      </c>
      <c r="P3" s="1356">
        <f>'ПБ V-1 (fin min)'!BV42</f>
        <v>500</v>
      </c>
    </row>
    <row r="4" spans="1:16" x14ac:dyDescent="0.35">
      <c r="A4" s="1353" t="s">
        <v>587</v>
      </c>
      <c r="B4" s="1356">
        <v>4603</v>
      </c>
      <c r="C4" s="1356">
        <v>5952</v>
      </c>
      <c r="D4" s="1356">
        <v>7748</v>
      </c>
      <c r="E4" s="1356">
        <v>1834</v>
      </c>
      <c r="F4" s="1356">
        <v>-254</v>
      </c>
      <c r="G4" s="1356">
        <v>-1453</v>
      </c>
      <c r="H4" s="1356">
        <v>-236</v>
      </c>
      <c r="I4" s="1356">
        <v>297</v>
      </c>
      <c r="J4" s="1356">
        <v>1086</v>
      </c>
      <c r="K4" s="1356">
        <v>1342</v>
      </c>
      <c r="L4" s="1356">
        <v>-287</v>
      </c>
      <c r="M4" s="1356">
        <v>352</v>
      </c>
      <c r="N4" s="1356">
        <v>741</v>
      </c>
      <c r="O4" s="1356">
        <f>'ПБ V-1 (fin min)'!BW41</f>
        <v>784.30429602666663</v>
      </c>
      <c r="P4" s="1356">
        <f>'ПБ V-1 (fin min)'!BV41</f>
        <v>1184.67674371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FDA97-8679-4B97-A380-BD17B03E67BF}">
  <dimension ref="A1:AH53"/>
  <sheetViews>
    <sheetView topLeftCell="A25" zoomScale="79" zoomScaleNormal="115" workbookViewId="0">
      <selection activeCell="O48" sqref="O48"/>
    </sheetView>
  </sheetViews>
  <sheetFormatPr defaultRowHeight="18" x14ac:dyDescent="0.35"/>
  <cols>
    <col min="1" max="1" width="40.09765625" style="1369" customWidth="1"/>
    <col min="2" max="16384" width="8.796875" style="1369"/>
  </cols>
  <sheetData>
    <row r="1" spans="1:27" x14ac:dyDescent="0.35">
      <c r="B1" s="1439">
        <v>2023</v>
      </c>
      <c r="C1" s="1439"/>
      <c r="D1" s="1439"/>
      <c r="E1" s="1439"/>
      <c r="F1" s="1439"/>
      <c r="G1" s="1439"/>
      <c r="H1" s="1439"/>
      <c r="I1" s="1439"/>
      <c r="J1" s="1439"/>
      <c r="K1" s="1439"/>
      <c r="L1" s="1439"/>
      <c r="M1" s="1439"/>
      <c r="N1" s="1439">
        <v>2024</v>
      </c>
      <c r="O1" s="1439"/>
      <c r="P1" s="1439"/>
      <c r="Q1" s="1439"/>
      <c r="R1" s="1439"/>
      <c r="S1" s="1439"/>
      <c r="T1" s="1439"/>
      <c r="U1" s="1439"/>
      <c r="V1" s="1439"/>
      <c r="W1" s="1439"/>
      <c r="X1" s="1439"/>
      <c r="Y1" s="1439"/>
    </row>
    <row r="2" spans="1:27" x14ac:dyDescent="0.35">
      <c r="B2" s="1370">
        <v>1</v>
      </c>
      <c r="C2" s="1370">
        <v>2</v>
      </c>
      <c r="D2" s="1370">
        <v>3</v>
      </c>
      <c r="E2" s="1370">
        <v>4</v>
      </c>
      <c r="F2" s="1370">
        <v>5</v>
      </c>
      <c r="G2" s="1370">
        <v>6</v>
      </c>
      <c r="H2" s="1370">
        <v>7</v>
      </c>
      <c r="I2" s="1370">
        <v>8</v>
      </c>
      <c r="J2" s="1370">
        <v>9</v>
      </c>
      <c r="K2" s="1370">
        <v>10</v>
      </c>
      <c r="L2" s="1370">
        <v>11</v>
      </c>
      <c r="M2" s="1370">
        <v>12</v>
      </c>
      <c r="N2" s="1370">
        <v>1</v>
      </c>
      <c r="O2" s="1370">
        <v>2</v>
      </c>
      <c r="P2" s="1370">
        <v>3</v>
      </c>
      <c r="Q2" s="1370">
        <v>4</v>
      </c>
      <c r="R2" s="1370">
        <v>5</v>
      </c>
      <c r="S2" s="1370">
        <v>6</v>
      </c>
      <c r="T2" s="1370">
        <v>7</v>
      </c>
      <c r="U2" s="1370">
        <v>8</v>
      </c>
      <c r="V2" s="1370">
        <v>9</v>
      </c>
      <c r="W2" s="1370">
        <v>10</v>
      </c>
      <c r="X2" s="1370">
        <v>11</v>
      </c>
      <c r="Y2" s="1370">
        <v>12</v>
      </c>
      <c r="Z2" s="1370">
        <v>2024</v>
      </c>
      <c r="AA2" s="1370">
        <v>2023</v>
      </c>
    </row>
    <row r="3" spans="1:27" x14ac:dyDescent="0.35">
      <c r="A3" s="1371" t="s">
        <v>127</v>
      </c>
      <c r="B3" s="1371">
        <f>-'ПБ V-1 (fin min)'!AX22</f>
        <v>2331</v>
      </c>
      <c r="C3" s="1372">
        <f>-'ПБ V-1 (fin min)'!AY22</f>
        <v>-177</v>
      </c>
      <c r="D3" s="1372">
        <f>-'ПБ V-1 (fin min)'!AZ22</f>
        <v>2764</v>
      </c>
      <c r="E3" s="1372">
        <f>-'ПБ V-1 (fin min)'!BA22</f>
        <v>3868</v>
      </c>
      <c r="F3" s="1372">
        <f>-'ПБ V-1 (fin min)'!BB22</f>
        <v>1750</v>
      </c>
      <c r="G3" s="1372">
        <f>-'ПБ V-1 (fin min)'!BC22</f>
        <v>1842</v>
      </c>
      <c r="H3" s="1372">
        <f>-'ПБ V-1 (fin min)'!BD22</f>
        <v>3564</v>
      </c>
      <c r="I3" s="1372">
        <f>-'ПБ V-1 (fin min)'!BE22</f>
        <v>1087</v>
      </c>
      <c r="J3" s="1372">
        <f>-'ПБ V-1 (fin min)'!BF22</f>
        <v>415</v>
      </c>
      <c r="K3" s="1372">
        <f>-'ПБ V-1 (fin min)'!BG22</f>
        <v>56</v>
      </c>
      <c r="L3" s="1372">
        <f>-'ПБ V-1 (fin min)'!BH22</f>
        <v>1149</v>
      </c>
      <c r="M3" s="1372">
        <f>-'ПБ V-1 (fin min)'!BI22</f>
        <v>3208.395522939315</v>
      </c>
      <c r="N3" s="1371">
        <f>-'ПБ V-1 (fin min)'!BJ22</f>
        <v>735.90809376007041</v>
      </c>
      <c r="O3" s="1372">
        <f>-'ПБ V-1 (fin min)'!BK22</f>
        <v>354.84483714509167</v>
      </c>
      <c r="P3" s="1372">
        <f>-'ПБ V-1 (fin min)'!BL22</f>
        <v>1378.4202565513083</v>
      </c>
      <c r="Q3" s="1372">
        <f>-'ПБ V-1 (fin min)'!BM22</f>
        <v>994.29323063386721</v>
      </c>
      <c r="R3" s="1372">
        <f>-'ПБ V-1 (fin min)'!BN22</f>
        <v>1231.8543071464569</v>
      </c>
      <c r="S3" s="1372">
        <f>-'ПБ V-1 (fin min)'!BO22</f>
        <v>2665.1460730359649</v>
      </c>
      <c r="T3" s="1372">
        <f>-'ПБ V-1 (fin min)'!BP22</f>
        <v>2125.8578755320818</v>
      </c>
      <c r="U3" s="1372">
        <f>-'ПБ V-1 (fin min)'!BQ22</f>
        <v>2013.9003892210544</v>
      </c>
      <c r="V3" s="1372">
        <f>-'ПБ V-1 (fin min)'!BR22</f>
        <v>2681.3034360877587</v>
      </c>
      <c r="W3" s="1372">
        <f>-'ПБ V-1 (fin min)'!BS22</f>
        <v>1539.7898383723464</v>
      </c>
      <c r="X3" s="1372">
        <f>-'ПБ V-1 (fin min)'!BT22</f>
        <v>1539.4122300813849</v>
      </c>
      <c r="Y3" s="1372">
        <f>-'ПБ V-1 (fin min)'!BU22</f>
        <v>3124.9503367813268</v>
      </c>
      <c r="Z3" s="1372">
        <f>-'ПБ V-1 (fin min)'!BV22</f>
        <v>20385.680904348712</v>
      </c>
      <c r="AA3" s="1372">
        <f>-'ПБ V-1 (fin min)'!BW22</f>
        <v>21857.395522939314</v>
      </c>
    </row>
    <row r="4" spans="1:27" x14ac:dyDescent="0.35">
      <c r="A4" s="1371" t="s">
        <v>662</v>
      </c>
      <c r="B4" s="1371">
        <f>-'ПБ V-1 (fin min)'!AX23</f>
        <v>-1052</v>
      </c>
      <c r="C4" s="1371">
        <f>-'ПБ V-1 (fin min)'!AY23</f>
        <v>-396</v>
      </c>
      <c r="D4" s="1371">
        <f>-'ПБ V-1 (fin min)'!AZ23</f>
        <v>55</v>
      </c>
      <c r="E4" s="1371">
        <f>-'ПБ V-1 (fin min)'!BA23</f>
        <v>-254</v>
      </c>
      <c r="F4" s="1371">
        <f>-'ПБ V-1 (fin min)'!BB23</f>
        <v>-129</v>
      </c>
      <c r="G4" s="1371">
        <f>-'ПБ V-1 (fin min)'!BC23</f>
        <v>-692</v>
      </c>
      <c r="H4" s="1371">
        <f>-'ПБ V-1 (fin min)'!BD23</f>
        <v>370</v>
      </c>
      <c r="I4" s="1371">
        <f>-'ПБ V-1 (fin min)'!BE23</f>
        <v>-280</v>
      </c>
      <c r="J4" s="1371">
        <f>-'ПБ V-1 (fin min)'!BF23</f>
        <v>-361</v>
      </c>
      <c r="K4" s="1371">
        <f>-'ПБ V-1 (fin min)'!BG23</f>
        <v>-1402</v>
      </c>
      <c r="L4" s="1371">
        <f>-'ПБ V-1 (fin min)'!BH23</f>
        <v>-724</v>
      </c>
      <c r="M4" s="1371">
        <f>-'ПБ V-1 (fin min)'!BI23</f>
        <v>-1687.1736069111566</v>
      </c>
      <c r="N4" s="1371">
        <f>-'ПБ V-1 (fin min)'!BJ23</f>
        <v>-1042.6693844210224</v>
      </c>
      <c r="O4" s="1371">
        <f>-'ПБ V-1 (fin min)'!BK23</f>
        <v>-946.65619524383817</v>
      </c>
      <c r="P4" s="1371">
        <f>-'ПБ V-1 (fin min)'!BL23</f>
        <v>-1312.2188160036326</v>
      </c>
      <c r="Q4" s="1371">
        <f>-'ПБ V-1 (fin min)'!BM23</f>
        <v>-395.07903231262355</v>
      </c>
      <c r="R4" s="1371">
        <f>-'ПБ V-1 (fin min)'!BN23</f>
        <v>-690.06397758901574</v>
      </c>
      <c r="S4" s="1371">
        <f>-'ПБ V-1 (fin min)'!BO23</f>
        <v>-405.53427783507573</v>
      </c>
      <c r="T4" s="1371">
        <f>-'ПБ V-1 (fin min)'!BP23</f>
        <v>-123.07613394045495</v>
      </c>
      <c r="U4" s="1371">
        <f>-'ПБ V-1 (fin min)'!BQ23</f>
        <v>532.72729646689811</v>
      </c>
      <c r="V4" s="1371">
        <f>-'ПБ V-1 (fin min)'!BR23</f>
        <v>50.3231205868139</v>
      </c>
      <c r="W4" s="1371">
        <f>-'ПБ V-1 (fin min)'!BS23</f>
        <v>156.04013729351013</v>
      </c>
      <c r="X4" s="1371">
        <f>-'ПБ V-1 (fin min)'!BT23</f>
        <v>-111.747246161276</v>
      </c>
      <c r="Y4" s="1371">
        <f>-'ПБ V-1 (fin min)'!BU23</f>
        <v>-195.8261901767728</v>
      </c>
      <c r="Z4" s="1372">
        <f>-'ПБ V-1 (fin min)'!BV23</f>
        <v>-4483.7806993364893</v>
      </c>
      <c r="AA4" s="1372">
        <f>-'ПБ V-1 (fin min)'!BW23</f>
        <v>-6552.1736069111566</v>
      </c>
    </row>
    <row r="5" spans="1:27" x14ac:dyDescent="0.35">
      <c r="A5" s="1373" t="s">
        <v>663</v>
      </c>
      <c r="B5" s="1373">
        <f>-'ПБ V-1 (fin min)'!AX24</f>
        <v>370</v>
      </c>
      <c r="C5" s="1373">
        <f>-'ПБ V-1 (fin min)'!AY24</f>
        <v>387</v>
      </c>
      <c r="D5" s="1373">
        <f>-'ПБ V-1 (fin min)'!AZ24</f>
        <v>388</v>
      </c>
      <c r="E5" s="1373">
        <f>-'ПБ V-1 (fin min)'!BA24</f>
        <v>536</v>
      </c>
      <c r="F5" s="1373">
        <f>-'ПБ V-1 (fin min)'!BB24</f>
        <v>376</v>
      </c>
      <c r="G5" s="1373">
        <f>-'ПБ V-1 (fin min)'!BC24</f>
        <v>392</v>
      </c>
      <c r="H5" s="1373">
        <f>-'ПБ V-1 (fin min)'!BD24</f>
        <v>663</v>
      </c>
      <c r="I5" s="1373">
        <f>-'ПБ V-1 (fin min)'!BE24</f>
        <v>445</v>
      </c>
      <c r="J5" s="1373">
        <f>-'ПБ V-1 (fin min)'!BF24</f>
        <v>532</v>
      </c>
      <c r="K5" s="1373">
        <f>-'ПБ V-1 (fin min)'!BG24</f>
        <v>174</v>
      </c>
      <c r="L5" s="1373">
        <f>-'ПБ V-1 (fin min)'!BH24</f>
        <v>94</v>
      </c>
      <c r="M5" s="1373">
        <f>-'ПБ V-1 (fin min)'!BI24</f>
        <v>337.10870130221758</v>
      </c>
      <c r="N5" s="1373">
        <f>-'ПБ V-1 (fin min)'!BJ24</f>
        <v>390.40861155940388</v>
      </c>
      <c r="O5" s="1373">
        <f>-'ПБ V-1 (fin min)'!BK24</f>
        <v>450.38181749499046</v>
      </c>
      <c r="P5" s="1373">
        <f>-'ПБ V-1 (fin min)'!BL24</f>
        <v>379.69150639132033</v>
      </c>
      <c r="Q5" s="1373">
        <f>-'ПБ V-1 (fin min)'!BM24</f>
        <v>411.30420036547724</v>
      </c>
      <c r="R5" s="1373">
        <f>-'ПБ V-1 (fin min)'!BN24</f>
        <v>437.49283299981892</v>
      </c>
      <c r="S5" s="1373">
        <f>-'ПБ V-1 (fin min)'!BO24</f>
        <v>417.22480666124363</v>
      </c>
      <c r="T5" s="1373">
        <f>-'ПБ V-1 (fin min)'!BP24</f>
        <v>473.66053617996613</v>
      </c>
      <c r="U5" s="1373">
        <f>-'ПБ V-1 (fin min)'!BQ24</f>
        <v>500.70413094416892</v>
      </c>
      <c r="V5" s="1373">
        <f>-'ПБ V-1 (fin min)'!BR24</f>
        <v>514.97107193273666</v>
      </c>
      <c r="W5" s="1373">
        <f>-'ПБ V-1 (fin min)'!BS24</f>
        <v>259.92592095411231</v>
      </c>
      <c r="X5" s="1373">
        <f>-'ПБ V-1 (fin min)'!BT24</f>
        <v>324.963395759202</v>
      </c>
      <c r="Y5" s="1373">
        <f>-'ПБ V-1 (fin min)'!BU24</f>
        <v>365.43656451051481</v>
      </c>
      <c r="Z5" s="1373">
        <f>-'ПБ V-1 (fin min)'!BV24</f>
        <v>4926.1653957529552</v>
      </c>
      <c r="AA5" s="1373">
        <f>-'ПБ V-1 (fin min)'!BW24</f>
        <v>4694.1087013022179</v>
      </c>
    </row>
    <row r="6" spans="1:27" x14ac:dyDescent="0.35">
      <c r="A6" s="1374" t="s">
        <v>664</v>
      </c>
      <c r="B6" s="1374">
        <f>-'ПБ V-1 (fin min)'!AX25</f>
        <v>-186</v>
      </c>
      <c r="C6" s="1374">
        <f>-'ПБ V-1 (fin min)'!AY25</f>
        <v>-180</v>
      </c>
      <c r="D6" s="1374">
        <f>-'ПБ V-1 (fin min)'!AZ25</f>
        <v>-224</v>
      </c>
      <c r="E6" s="1374">
        <f>-'ПБ V-1 (fin min)'!BA25</f>
        <v>-187</v>
      </c>
      <c r="F6" s="1374">
        <f>-'ПБ V-1 (fin min)'!BB25</f>
        <v>-132</v>
      </c>
      <c r="G6" s="1374">
        <f>-'ПБ V-1 (fin min)'!BC25</f>
        <v>-189</v>
      </c>
      <c r="H6" s="1374">
        <f>-'ПБ V-1 (fin min)'!BD25</f>
        <v>-303</v>
      </c>
      <c r="I6" s="1374">
        <f>-'ПБ V-1 (fin min)'!BE25</f>
        <v>-249</v>
      </c>
      <c r="J6" s="1374">
        <f>-'ПБ V-1 (fin min)'!BF25</f>
        <v>-237</v>
      </c>
      <c r="K6" s="1374">
        <f>-'ПБ V-1 (fin min)'!BG25</f>
        <v>-177</v>
      </c>
      <c r="L6" s="1374">
        <f>-'ПБ V-1 (fin min)'!BH25</f>
        <v>-281</v>
      </c>
      <c r="M6" s="1374">
        <f>-'ПБ V-1 (fin min)'!BI25</f>
        <v>-154.75</v>
      </c>
      <c r="N6" s="1374">
        <f>-'ПБ V-1 (fin min)'!BJ25</f>
        <v>-195.77151639344262</v>
      </c>
      <c r="O6" s="1374">
        <f>-'ПБ V-1 (fin min)'!BK25</f>
        <v>-240.45739412568304</v>
      </c>
      <c r="P6" s="1374">
        <f>-'ПБ V-1 (fin min)'!BL25</f>
        <v>-235.18403489298726</v>
      </c>
      <c r="Q6" s="1374">
        <f>-'ПБ V-1 (fin min)'!BM25</f>
        <v>-189.96849681712959</v>
      </c>
      <c r="R6" s="1374">
        <f>-'ПБ V-1 (fin min)'!BN25</f>
        <v>-170.21587155189044</v>
      </c>
      <c r="S6" s="1374">
        <f>-'ПБ V-1 (fin min)'!BO25</f>
        <v>-193.40052751454797</v>
      </c>
      <c r="T6" s="1374">
        <f>-'ПБ V-1 (fin min)'!BP25</f>
        <v>-214.22625453420289</v>
      </c>
      <c r="U6" s="1374">
        <f>-'ПБ V-1 (fin min)'!BQ25</f>
        <v>-186.83117465249029</v>
      </c>
      <c r="V6" s="1374">
        <f>-'ПБ V-1 (fin min)'!BR25</f>
        <v>-257.32257035440546</v>
      </c>
      <c r="W6" s="1374">
        <f>-'ПБ V-1 (fin min)'!BS25</f>
        <v>-183.70464247410322</v>
      </c>
      <c r="X6" s="1374">
        <f>-'ПБ V-1 (fin min)'!BT25</f>
        <v>-290.26336268027853</v>
      </c>
      <c r="Y6" s="1374">
        <f>-'ПБ V-1 (fin min)'!BU25</f>
        <v>-163.03530957030171</v>
      </c>
      <c r="Z6" s="1373">
        <f>-'ПБ V-1 (fin min)'!BV25</f>
        <v>-2520.3811555614634</v>
      </c>
      <c r="AA6" s="1373">
        <f>-'ПБ V-1 (fin min)'!BW25</f>
        <v>-2499.75</v>
      </c>
    </row>
    <row r="7" spans="1:27" x14ac:dyDescent="0.35">
      <c r="A7" s="1375" t="s">
        <v>88</v>
      </c>
      <c r="B7" s="1375">
        <f>-'ПБ V-1 (fin min)'!AX26</f>
        <v>-168</v>
      </c>
      <c r="C7" s="1375">
        <f>-'ПБ V-1 (fin min)'!AY26</f>
        <v>-48</v>
      </c>
      <c r="D7" s="1375">
        <f>-'ПБ V-1 (fin min)'!AZ26</f>
        <v>-172</v>
      </c>
      <c r="E7" s="1375">
        <f>-'ПБ V-1 (fin min)'!BA26</f>
        <v>-195</v>
      </c>
      <c r="F7" s="1375">
        <f>-'ПБ V-1 (fin min)'!BB26</f>
        <v>-160</v>
      </c>
      <c r="G7" s="1375">
        <f>-'ПБ V-1 (fin min)'!BC26</f>
        <v>-197</v>
      </c>
      <c r="H7" s="1375">
        <f>-'ПБ V-1 (fin min)'!BD26</f>
        <v>-285</v>
      </c>
      <c r="I7" s="1375">
        <f>-'ПБ V-1 (fin min)'!BE26</f>
        <v>-257</v>
      </c>
      <c r="J7" s="1375">
        <f>-'ПБ V-1 (fin min)'!BF26</f>
        <v>-165</v>
      </c>
      <c r="K7" s="1375">
        <f>-'ПБ V-1 (fin min)'!BG26</f>
        <v>-185</v>
      </c>
      <c r="L7" s="1375">
        <f>-'ПБ V-1 (fin min)'!BH26</f>
        <v>-183</v>
      </c>
      <c r="M7" s="1375">
        <f>-'ПБ V-1 (fin min)'!BI26</f>
        <v>-184.75</v>
      </c>
      <c r="N7" s="1375">
        <f>-'ПБ V-1 (fin min)'!BJ26</f>
        <v>-183.3125</v>
      </c>
      <c r="O7" s="1375">
        <f>-'ПБ V-1 (fin min)'!BK26</f>
        <v>-184.58854166666666</v>
      </c>
      <c r="P7" s="1375">
        <f>-'ПБ V-1 (fin min)'!BL26</f>
        <v>-195.97092013888889</v>
      </c>
      <c r="Q7" s="1375">
        <f>-'ПБ V-1 (fin min)'!BM26</f>
        <v>-197.96849681712959</v>
      </c>
      <c r="R7" s="1375">
        <f>-'ПБ V-1 (fin min)'!BN26</f>
        <v>-198.21587155189044</v>
      </c>
      <c r="S7" s="1375">
        <f>-'ПБ V-1 (fin min)'!BO26</f>
        <v>-201.40052751454797</v>
      </c>
      <c r="T7" s="1375">
        <f>-'ПБ V-1 (fin min)'!BP26</f>
        <v>-201.76723814076027</v>
      </c>
      <c r="U7" s="1375">
        <f>-'ПБ V-1 (fin min)'!BQ26</f>
        <v>-194.83117465249029</v>
      </c>
      <c r="V7" s="1375">
        <f>-'ПБ V-1 (fin min)'!BR26</f>
        <v>-189.65043920686449</v>
      </c>
      <c r="W7" s="1375">
        <f>-'ПБ V-1 (fin min)'!BS26</f>
        <v>-191.70464247410322</v>
      </c>
      <c r="X7" s="1375">
        <f>-'ПБ V-1 (fin min)'!BT26</f>
        <v>-192.2633626802785</v>
      </c>
      <c r="Y7" s="1375">
        <f>-'ПБ V-1 (fin min)'!BU26</f>
        <v>-193.03530957030171</v>
      </c>
      <c r="Z7" s="1375">
        <f>-'ПБ V-1 (fin min)'!BV26</f>
        <v>-2324.7090244139222</v>
      </c>
      <c r="AA7" s="1375">
        <f>-'ПБ V-1 (fin min)'!BW26</f>
        <v>-2199.75</v>
      </c>
    </row>
    <row r="8" spans="1:27" x14ac:dyDescent="0.35">
      <c r="A8" s="1376" t="s">
        <v>89</v>
      </c>
      <c r="B8" s="1376">
        <f>-'ПБ V-1 (fin min)'!AX27</f>
        <v>18</v>
      </c>
      <c r="C8" s="1376">
        <f>-'ПБ V-1 (fin min)'!AY27</f>
        <v>132</v>
      </c>
      <c r="D8" s="1376">
        <f>-'ПБ V-1 (fin min)'!AZ27</f>
        <v>52</v>
      </c>
      <c r="E8" s="1376">
        <f>-'ПБ V-1 (fin min)'!BA27</f>
        <v>-8</v>
      </c>
      <c r="F8" s="1376">
        <f>-'ПБ V-1 (fin min)'!BB27</f>
        <v>-28</v>
      </c>
      <c r="G8" s="1376">
        <f>-'ПБ V-1 (fin min)'!BC27</f>
        <v>-8</v>
      </c>
      <c r="H8" s="1376">
        <f>-'ПБ V-1 (fin min)'!BD27</f>
        <v>18</v>
      </c>
      <c r="I8" s="1376">
        <f>-'ПБ V-1 (fin min)'!BE27</f>
        <v>-8</v>
      </c>
      <c r="J8" s="1376">
        <f>-'ПБ V-1 (fin min)'!BF27</f>
        <v>72</v>
      </c>
      <c r="K8" s="1376">
        <f>-'ПБ V-1 (fin min)'!BG27</f>
        <v>-8</v>
      </c>
      <c r="L8" s="1376">
        <f>-'ПБ V-1 (fin min)'!BH27</f>
        <v>98</v>
      </c>
      <c r="M8" s="1376">
        <f>-'ПБ V-1 (fin min)'!BI27</f>
        <v>-30</v>
      </c>
      <c r="N8" s="1376">
        <f>-'ПБ V-1 (fin min)'!BJ27</f>
        <v>12.459016393442624</v>
      </c>
      <c r="O8" s="1376">
        <f>-'ПБ V-1 (fin min)'!BK27</f>
        <v>55.868852459016395</v>
      </c>
      <c r="P8" s="1376">
        <f>-'ПБ V-1 (fin min)'!BL27</f>
        <v>39.213114754098363</v>
      </c>
      <c r="Q8" s="1376">
        <f>-'ПБ V-1 (fin min)'!BM27</f>
        <v>-8</v>
      </c>
      <c r="R8" s="1376">
        <f>-'ПБ V-1 (fin min)'!BN27</f>
        <v>-28</v>
      </c>
      <c r="S8" s="1376">
        <f>-'ПБ V-1 (fin min)'!BO27</f>
        <v>-8</v>
      </c>
      <c r="T8" s="1376">
        <f>-'ПБ V-1 (fin min)'!BP27</f>
        <v>12.459016393442624</v>
      </c>
      <c r="U8" s="1376">
        <f>-'ПБ V-1 (fin min)'!BQ27</f>
        <v>-8</v>
      </c>
      <c r="V8" s="1376">
        <f>-'ПБ V-1 (fin min)'!BR27</f>
        <v>67.672131147540981</v>
      </c>
      <c r="W8" s="1376">
        <f>-'ПБ V-1 (fin min)'!BS27</f>
        <v>-8</v>
      </c>
      <c r="X8" s="1376">
        <f>-'ПБ V-1 (fin min)'!BT27</f>
        <v>98</v>
      </c>
      <c r="Y8" s="1376">
        <f>-'ПБ V-1 (fin min)'!BU27</f>
        <v>-30</v>
      </c>
      <c r="Z8" s="1375">
        <f>-'ПБ V-1 (fin min)'!BV27</f>
        <v>195.67213114754099</v>
      </c>
      <c r="AA8" s="1375">
        <f>-'ПБ V-1 (fin min)'!BW27</f>
        <v>300</v>
      </c>
    </row>
    <row r="9" spans="1:27" x14ac:dyDescent="0.35">
      <c r="A9" s="1377" t="s">
        <v>90</v>
      </c>
      <c r="B9" s="1377">
        <f>-'ПБ V-1 (fin min)'!AX28</f>
        <v>0</v>
      </c>
      <c r="C9" s="1377">
        <f>-'ПБ V-1 (fin min)'!AY28</f>
        <v>0</v>
      </c>
      <c r="D9" s="1377">
        <f>-'ПБ V-1 (fin min)'!AZ28</f>
        <v>0</v>
      </c>
      <c r="E9" s="1377">
        <f>-'ПБ V-1 (fin min)'!BA28</f>
        <v>0</v>
      </c>
      <c r="F9" s="1377">
        <f>-'ПБ V-1 (fin min)'!BB28</f>
        <v>0</v>
      </c>
      <c r="G9" s="1377">
        <f>-'ПБ V-1 (fin min)'!BC28</f>
        <v>0</v>
      </c>
      <c r="H9" s="1377">
        <f>-'ПБ V-1 (fin min)'!BD28</f>
        <v>0</v>
      </c>
      <c r="I9" s="1377">
        <f>-'ПБ V-1 (fin min)'!BE28</f>
        <v>0</v>
      </c>
      <c r="J9" s="1377">
        <f>-'ПБ V-1 (fin min)'!BF28</f>
        <v>-1</v>
      </c>
      <c r="K9" s="1377">
        <f>-'ПБ V-1 (fin min)'!BG28</f>
        <v>0</v>
      </c>
      <c r="L9" s="1377">
        <f>-'ПБ V-1 (fin min)'!BH28</f>
        <v>0</v>
      </c>
      <c r="M9" s="1377">
        <f>-'ПБ V-1 (fin min)'!BI28</f>
        <v>0</v>
      </c>
      <c r="N9" s="1377">
        <f>-'ПБ V-1 (fin min)'!BJ28</f>
        <v>0</v>
      </c>
      <c r="O9" s="1377">
        <f>-'ПБ V-1 (fin min)'!BK28</f>
        <v>0</v>
      </c>
      <c r="P9" s="1377">
        <f>-'ПБ V-1 (fin min)'!BL28</f>
        <v>0</v>
      </c>
      <c r="Q9" s="1377">
        <f>-'ПБ V-1 (fin min)'!BM28</f>
        <v>0</v>
      </c>
      <c r="R9" s="1377">
        <f>-'ПБ V-1 (fin min)'!BN28</f>
        <v>0</v>
      </c>
      <c r="S9" s="1377">
        <f>-'ПБ V-1 (fin min)'!BO28</f>
        <v>0</v>
      </c>
      <c r="T9" s="1377">
        <f>-'ПБ V-1 (fin min)'!BP28</f>
        <v>0</v>
      </c>
      <c r="U9" s="1377">
        <f>-'ПБ V-1 (fin min)'!BQ28</f>
        <v>0</v>
      </c>
      <c r="V9" s="1377">
        <f>-'ПБ V-1 (fin min)'!BR28</f>
        <v>0</v>
      </c>
      <c r="W9" s="1377">
        <f>-'ПБ V-1 (fin min)'!BS28</f>
        <v>0</v>
      </c>
      <c r="X9" s="1377">
        <f>-'ПБ V-1 (fin min)'!BT28</f>
        <v>0</v>
      </c>
      <c r="Y9" s="1377">
        <f>-'ПБ V-1 (fin min)'!BU28</f>
        <v>0</v>
      </c>
      <c r="Z9" s="1375">
        <f>-'ПБ V-1 (fin min)'!BV28</f>
        <v>0</v>
      </c>
      <c r="AA9" s="1375">
        <f>-'ПБ V-1 (fin min)'!BW28</f>
        <v>-1</v>
      </c>
    </row>
    <row r="10" spans="1:27" x14ac:dyDescent="0.35">
      <c r="A10" s="1378" t="s">
        <v>91</v>
      </c>
      <c r="B10" s="1378">
        <f>-'ПБ V-1 (fin min)'!AX29</f>
        <v>18</v>
      </c>
      <c r="C10" s="1378">
        <f>-'ПБ V-1 (fin min)'!AY29</f>
        <v>132</v>
      </c>
      <c r="D10" s="1378">
        <f>-'ПБ V-1 (fin min)'!AZ29</f>
        <v>52</v>
      </c>
      <c r="E10" s="1378">
        <f>-'ПБ V-1 (fin min)'!BA29</f>
        <v>-8</v>
      </c>
      <c r="F10" s="1378">
        <f>-'ПБ V-1 (fin min)'!BB29</f>
        <v>-28</v>
      </c>
      <c r="G10" s="1378">
        <f>-'ПБ V-1 (fin min)'!BC29</f>
        <v>-8</v>
      </c>
      <c r="H10" s="1378">
        <f>-'ПБ V-1 (fin min)'!BD29</f>
        <v>18</v>
      </c>
      <c r="I10" s="1378">
        <f>-'ПБ V-1 (fin min)'!BE29</f>
        <v>-8</v>
      </c>
      <c r="J10" s="1378">
        <f>-'ПБ V-1 (fin min)'!BF29</f>
        <v>73</v>
      </c>
      <c r="K10" s="1378">
        <f>-'ПБ V-1 (fin min)'!BG29</f>
        <v>-8</v>
      </c>
      <c r="L10" s="1378">
        <f>-'ПБ V-1 (fin min)'!BH29</f>
        <v>98</v>
      </c>
      <c r="M10" s="1378">
        <f>-'ПБ V-1 (fin min)'!BI29</f>
        <v>-30</v>
      </c>
      <c r="N10" s="1378">
        <f>-'ПБ V-1 (fin min)'!BJ29</f>
        <v>12.459016393442624</v>
      </c>
      <c r="O10" s="1378">
        <f>-'ПБ V-1 (fin min)'!BK29</f>
        <v>55.868852459016395</v>
      </c>
      <c r="P10" s="1378">
        <f>-'ПБ V-1 (fin min)'!BL29</f>
        <v>39.213114754098363</v>
      </c>
      <c r="Q10" s="1378">
        <f>-'ПБ V-1 (fin min)'!BM29</f>
        <v>-8</v>
      </c>
      <c r="R10" s="1378">
        <f>-'ПБ V-1 (fin min)'!BN29</f>
        <v>-28</v>
      </c>
      <c r="S10" s="1378">
        <f>-'ПБ V-1 (fin min)'!BO29</f>
        <v>-8</v>
      </c>
      <c r="T10" s="1378">
        <f>-'ПБ V-1 (fin min)'!BP29</f>
        <v>12.459016393442624</v>
      </c>
      <c r="U10" s="1378">
        <f>-'ПБ V-1 (fin min)'!BQ29</f>
        <v>-8</v>
      </c>
      <c r="V10" s="1378">
        <f>-'ПБ V-1 (fin min)'!BR29</f>
        <v>67.672131147540981</v>
      </c>
      <c r="W10" s="1378">
        <f>-'ПБ V-1 (fin min)'!BS29</f>
        <v>-8</v>
      </c>
      <c r="X10" s="1378">
        <f>-'ПБ V-1 (fin min)'!BT29</f>
        <v>98</v>
      </c>
      <c r="Y10" s="1378">
        <f>-'ПБ V-1 (fin min)'!BU29</f>
        <v>-30</v>
      </c>
      <c r="Z10" s="1375">
        <f>-'ПБ V-1 (fin min)'!BV29</f>
        <v>195.67213114754099</v>
      </c>
      <c r="AA10" s="1375">
        <f>-'ПБ V-1 (fin min)'!BW29</f>
        <v>301</v>
      </c>
    </row>
    <row r="11" spans="1:27" x14ac:dyDescent="0.35">
      <c r="A11" s="1379" t="s">
        <v>92</v>
      </c>
      <c r="B11" s="1379">
        <f>-'ПБ V-1 (fin min)'!AX30</f>
        <v>26</v>
      </c>
      <c r="C11" s="1379">
        <f>-'ПБ V-1 (fin min)'!AY30</f>
        <v>10</v>
      </c>
      <c r="D11" s="1379">
        <f>-'ПБ V-1 (fin min)'!AZ30</f>
        <v>60</v>
      </c>
      <c r="E11" s="1379">
        <f>-'ПБ V-1 (fin min)'!BA30</f>
        <v>0</v>
      </c>
      <c r="F11" s="1379">
        <f>-'ПБ V-1 (fin min)'!BB30</f>
        <v>0</v>
      </c>
      <c r="G11" s="1379">
        <f>-'ПБ V-1 (fin min)'!BC30</f>
        <v>0</v>
      </c>
      <c r="H11" s="1379">
        <f>-'ПБ V-1 (fin min)'!BD30</f>
        <v>26</v>
      </c>
      <c r="I11" s="1379">
        <f>-'ПБ V-1 (fin min)'!BE30</f>
        <v>0</v>
      </c>
      <c r="J11" s="1379">
        <f>-'ПБ V-1 (fin min)'!BF30</f>
        <v>25</v>
      </c>
      <c r="K11" s="1379">
        <f>-'ПБ V-1 (fin min)'!BG30</f>
        <v>0</v>
      </c>
      <c r="L11" s="1379">
        <f>-'ПБ V-1 (fin min)'!BH30</f>
        <v>0</v>
      </c>
      <c r="M11" s="1379">
        <f>-'ПБ V-1 (fin min)'!BI30</f>
        <v>0</v>
      </c>
      <c r="N11" s="1379">
        <f>-'ПБ V-1 (fin min)'!BJ30</f>
        <v>20.459016393442624</v>
      </c>
      <c r="O11" s="1379">
        <f>-'ПБ V-1 (fin min)'!BK30</f>
        <v>7.8688524590163933</v>
      </c>
      <c r="P11" s="1379">
        <f>-'ПБ V-1 (fin min)'!BL30</f>
        <v>47.213114754098363</v>
      </c>
      <c r="Q11" s="1379">
        <f>-'ПБ V-1 (fin min)'!BM30</f>
        <v>0</v>
      </c>
      <c r="R11" s="1379">
        <f>-'ПБ V-1 (fin min)'!BN30</f>
        <v>0</v>
      </c>
      <c r="S11" s="1379">
        <f>-'ПБ V-1 (fin min)'!BO30</f>
        <v>0</v>
      </c>
      <c r="T11" s="1379">
        <f>-'ПБ V-1 (fin min)'!BP30</f>
        <v>20.459016393442624</v>
      </c>
      <c r="U11" s="1379">
        <f>-'ПБ V-1 (fin min)'!BQ30</f>
        <v>0</v>
      </c>
      <c r="V11" s="1379">
        <f>-'ПБ V-1 (fin min)'!BR30</f>
        <v>19.672131147540984</v>
      </c>
      <c r="W11" s="1379">
        <f>-'ПБ V-1 (fin min)'!BS30</f>
        <v>0</v>
      </c>
      <c r="X11" s="1379">
        <f>-'ПБ V-1 (fin min)'!BT30</f>
        <v>0</v>
      </c>
      <c r="Y11" s="1379">
        <f>-'ПБ V-1 (fin min)'!BU30</f>
        <v>0</v>
      </c>
      <c r="Z11" s="1375">
        <f>-'ПБ V-1 (fin min)'!BV30</f>
        <v>115.67213114754098</v>
      </c>
      <c r="AA11" s="1375">
        <f>-'ПБ V-1 (fin min)'!BW30</f>
        <v>147</v>
      </c>
    </row>
    <row r="12" spans="1:27" x14ac:dyDescent="0.35">
      <c r="A12" s="1379" t="s">
        <v>93</v>
      </c>
      <c r="B12" s="1379">
        <f>-'ПБ V-1 (fin min)'!AX31</f>
        <v>-8</v>
      </c>
      <c r="C12" s="1379">
        <f>-'ПБ V-1 (fin min)'!AY31</f>
        <v>122</v>
      </c>
      <c r="D12" s="1379">
        <f>-'ПБ V-1 (fin min)'!AZ31</f>
        <v>-8</v>
      </c>
      <c r="E12" s="1379">
        <f>-'ПБ V-1 (fin min)'!BA31</f>
        <v>-8</v>
      </c>
      <c r="F12" s="1379">
        <f>-'ПБ V-1 (fin min)'!BB31</f>
        <v>-28</v>
      </c>
      <c r="G12" s="1379">
        <f>-'ПБ V-1 (fin min)'!BC31</f>
        <v>-8</v>
      </c>
      <c r="H12" s="1379">
        <f>-'ПБ V-1 (fin min)'!BD31</f>
        <v>-8</v>
      </c>
      <c r="I12" s="1379">
        <f>-'ПБ V-1 (fin min)'!BE31</f>
        <v>-8</v>
      </c>
      <c r="J12" s="1379">
        <f>-'ПБ V-1 (fin min)'!BF31</f>
        <v>48</v>
      </c>
      <c r="K12" s="1379">
        <f>-'ПБ V-1 (fin min)'!BG31</f>
        <v>-8</v>
      </c>
      <c r="L12" s="1379">
        <f>-'ПБ V-1 (fin min)'!BH31</f>
        <v>98</v>
      </c>
      <c r="M12" s="1379">
        <f>-'ПБ V-1 (fin min)'!BI31</f>
        <v>-30</v>
      </c>
      <c r="N12" s="1379">
        <f>-'ПБ V-1 (fin min)'!BJ31</f>
        <v>-8</v>
      </c>
      <c r="O12" s="1379">
        <f>-'ПБ V-1 (fin min)'!BK31</f>
        <v>48</v>
      </c>
      <c r="P12" s="1379">
        <f>-'ПБ V-1 (fin min)'!BL31</f>
        <v>-8</v>
      </c>
      <c r="Q12" s="1379">
        <f>-'ПБ V-1 (fin min)'!BM31</f>
        <v>-8</v>
      </c>
      <c r="R12" s="1379">
        <f>-'ПБ V-1 (fin min)'!BN31</f>
        <v>-28</v>
      </c>
      <c r="S12" s="1379">
        <f>-'ПБ V-1 (fin min)'!BO31</f>
        <v>-8</v>
      </c>
      <c r="T12" s="1379">
        <f>-'ПБ V-1 (fin min)'!BP31</f>
        <v>-8</v>
      </c>
      <c r="U12" s="1379">
        <f>-'ПБ V-1 (fin min)'!BQ31</f>
        <v>-8</v>
      </c>
      <c r="V12" s="1379">
        <f>-'ПБ V-1 (fin min)'!BR31</f>
        <v>48</v>
      </c>
      <c r="W12" s="1379">
        <f>-'ПБ V-1 (fin min)'!BS31</f>
        <v>-8</v>
      </c>
      <c r="X12" s="1379">
        <f>-'ПБ V-1 (fin min)'!BT31</f>
        <v>98</v>
      </c>
      <c r="Y12" s="1379">
        <f>-'ПБ V-1 (fin min)'!BU31</f>
        <v>-30</v>
      </c>
      <c r="Z12" s="1375">
        <f>-'ПБ V-1 (fin min)'!BV31</f>
        <v>80</v>
      </c>
      <c r="AA12" s="1375">
        <f>-'ПБ V-1 (fin min)'!BW31</f>
        <v>154</v>
      </c>
    </row>
    <row r="13" spans="1:27" x14ac:dyDescent="0.35">
      <c r="A13" s="1380" t="s">
        <v>665</v>
      </c>
      <c r="B13" s="1380">
        <f>-'ПБ V-1 (fin min)'!AX32</f>
        <v>-1370</v>
      </c>
      <c r="C13" s="1380">
        <f>-'ПБ V-1 (fin min)'!AY32</f>
        <v>-989</v>
      </c>
      <c r="D13" s="1380">
        <f>-'ПБ V-1 (fin min)'!AZ32</f>
        <v>-171</v>
      </c>
      <c r="E13" s="1380">
        <f>-'ПБ V-1 (fin min)'!BA32</f>
        <v>-800</v>
      </c>
      <c r="F13" s="1380">
        <f>-'ПБ V-1 (fin min)'!BB32</f>
        <v>-561</v>
      </c>
      <c r="G13" s="1380">
        <f>-'ПБ V-1 (fin min)'!BC32</f>
        <v>-963</v>
      </c>
      <c r="H13" s="1381">
        <f>-'ПБ V-1 (fin min)'!BD32</f>
        <v>58</v>
      </c>
      <c r="I13" s="1381">
        <f>-'ПБ V-1 (fin min)'!BE32</f>
        <v>-538</v>
      </c>
      <c r="J13" s="1381">
        <f>-'ПБ V-1 (fin min)'!BF32</f>
        <v>-843</v>
      </c>
      <c r="K13" s="1381">
        <f>-'ПБ V-1 (fin min)'!BG32</f>
        <v>-1600</v>
      </c>
      <c r="L13" s="1381">
        <f>-'ПБ V-1 (fin min)'!BH32</f>
        <v>-928</v>
      </c>
      <c r="M13" s="1381">
        <f>-'ПБ V-1 (fin min)'!BI32</f>
        <v>-1869.5323082133743</v>
      </c>
      <c r="N13" s="1380">
        <f>-'ПБ V-1 (fin min)'!BJ32</f>
        <v>-1237.3064795869836</v>
      </c>
      <c r="O13" s="1380">
        <f>-'ПБ V-1 (fin min)'!BK32</f>
        <v>-1156.5806186131456</v>
      </c>
      <c r="P13" s="1380">
        <f>-'ПБ V-1 (fin min)'!BL32</f>
        <v>-1456.7262875019658</v>
      </c>
      <c r="Q13" s="1380">
        <f>-'ПБ V-1 (fin min)'!BM32</f>
        <v>-616.41473586097118</v>
      </c>
      <c r="R13" s="1380">
        <f>-'ПБ V-1 (fin min)'!BN32</f>
        <v>-957.34093903694418</v>
      </c>
      <c r="S13" s="1380">
        <f>-'ПБ V-1 (fin min)'!BO32</f>
        <v>-629.35855698177136</v>
      </c>
      <c r="T13" s="1381">
        <f>-'ПБ V-1 (fin min)'!BP32</f>
        <v>-382.51041558621819</v>
      </c>
      <c r="U13" s="1381">
        <f>-'ПБ V-1 (fin min)'!BQ32</f>
        <v>218.85434017521948</v>
      </c>
      <c r="V13" s="1381">
        <f>-'ПБ V-1 (fin min)'!BR32</f>
        <v>-207.32538099151731</v>
      </c>
      <c r="W13" s="1381">
        <f>-'ПБ V-1 (fin min)'!BS32</f>
        <v>79.818858813501038</v>
      </c>
      <c r="X13" s="1381">
        <f>-'ПБ V-1 (fin min)'!BT32</f>
        <v>-146.44727924019946</v>
      </c>
      <c r="Y13" s="1381">
        <f>-'ПБ V-1 (fin min)'!BU32</f>
        <v>-398.2274451169859</v>
      </c>
      <c r="Z13" s="1381">
        <f>-'ПБ V-1 (fin min)'!BV32</f>
        <v>-6889.5649395279825</v>
      </c>
      <c r="AA13" s="1381">
        <f>-'ПБ V-1 (fin min)'!BW32</f>
        <v>-10574.532308213375</v>
      </c>
    </row>
    <row r="14" spans="1:27" x14ac:dyDescent="0.35">
      <c r="A14" s="1382" t="s">
        <v>94</v>
      </c>
      <c r="B14" s="1382">
        <f>-'ПБ V-1 (fin min)'!AX33</f>
        <v>-2159</v>
      </c>
      <c r="C14" s="1382">
        <f>-'ПБ V-1 (fin min)'!AY33</f>
        <v>-1579</v>
      </c>
      <c r="D14" s="1382">
        <f>-'ПБ V-1 (fin min)'!AZ33</f>
        <v>-760</v>
      </c>
      <c r="E14" s="1382">
        <f>-'ПБ V-1 (fin min)'!BA33</f>
        <v>-820</v>
      </c>
      <c r="F14" s="1382">
        <f>-'ПБ V-1 (fin min)'!BB33</f>
        <v>-597</v>
      </c>
      <c r="G14" s="1382">
        <f>-'ПБ V-1 (fin min)'!BC33</f>
        <v>-1093</v>
      </c>
      <c r="H14" s="1383">
        <f>-'ПБ V-1 (fin min)'!BD33</f>
        <v>57</v>
      </c>
      <c r="I14" s="1383">
        <f>-'ПБ V-1 (fin min)'!BE33</f>
        <v>-619</v>
      </c>
      <c r="J14" s="1383">
        <f>-'ПБ V-1 (fin min)'!BF33</f>
        <v>-536</v>
      </c>
      <c r="K14" s="1383">
        <f>-'ПБ V-1 (fin min)'!BG33</f>
        <v>-1417</v>
      </c>
      <c r="L14" s="1383">
        <f>-'ПБ V-1 (fin min)'!BH33</f>
        <v>-608</v>
      </c>
      <c r="M14" s="1383">
        <f>-'ПБ V-1 (fin min)'!BI33</f>
        <v>-1565.4037927831914</v>
      </c>
      <c r="N14" s="1382">
        <f>-'ПБ V-1 (fin min)'!BJ33</f>
        <v>-1103.7826088052793</v>
      </c>
      <c r="O14" s="1382">
        <f>-'ПБ V-1 (fin min)'!BK33</f>
        <v>-1070.5857213243671</v>
      </c>
      <c r="P14" s="1382">
        <f>-'ПБ V-1 (fin min)'!BL33</f>
        <v>-1400</v>
      </c>
      <c r="Q14" s="1382">
        <f>-'ПБ V-1 (fin min)'!BM33</f>
        <v>-596.58094127950528</v>
      </c>
      <c r="R14" s="1382">
        <f>-'ПБ V-1 (fin min)'!BN33</f>
        <v>-935.59227337153288</v>
      </c>
      <c r="S14" s="1382">
        <f>-'ПБ V-1 (fin min)'!BO33</f>
        <v>-691.54452757559397</v>
      </c>
      <c r="T14" s="1383">
        <f>-'ПБ V-1 (fin min)'!BP33</f>
        <v>-701.92637515162482</v>
      </c>
      <c r="U14" s="1383">
        <f>-'ПБ V-1 (fin min)'!BQ33</f>
        <v>-148.32992390151736</v>
      </c>
      <c r="V14" s="1383">
        <f>-'ПБ V-1 (fin min)'!BR33</f>
        <v>-655.78619152367571</v>
      </c>
      <c r="W14" s="1383">
        <f>-'ПБ V-1 (fin min)'!BS33</f>
        <v>-400</v>
      </c>
      <c r="X14" s="1383">
        <f>-'ПБ V-1 (fin min)'!BT33</f>
        <v>-474.27998461472225</v>
      </c>
      <c r="Y14" s="1383">
        <f>-'ПБ V-1 (fin min)'!BU33</f>
        <v>-609.39674285551473</v>
      </c>
      <c r="Z14" s="1383">
        <f>-'ПБ V-1 (fin min)'!BV33</f>
        <v>-8787.8052904033339</v>
      </c>
      <c r="AA14" s="1383">
        <f>-'ПБ V-1 (fin min)'!BW33</f>
        <v>-11696.403792783192</v>
      </c>
    </row>
    <row r="15" spans="1:27" x14ac:dyDescent="0.35">
      <c r="A15" s="1375" t="s">
        <v>92</v>
      </c>
      <c r="B15" s="1375">
        <f>-'ПБ V-1 (fin min)'!AX34</f>
        <v>-912</v>
      </c>
      <c r="C15" s="1375">
        <f>-'ПБ V-1 (fin min)'!AY34</f>
        <v>-557</v>
      </c>
      <c r="D15" s="1375">
        <f>-'ПБ V-1 (fin min)'!AZ34</f>
        <v>104</v>
      </c>
      <c r="E15" s="1375">
        <f>-'ПБ V-1 (fin min)'!BA34</f>
        <v>161</v>
      </c>
      <c r="F15" s="1375">
        <f>-'ПБ V-1 (fin min)'!BB34</f>
        <v>307</v>
      </c>
      <c r="G15" s="1384">
        <f>-'ПБ V-1 (fin min)'!BC34</f>
        <v>-288</v>
      </c>
      <c r="H15" s="1375">
        <f>-'ПБ V-1 (fin min)'!BD34</f>
        <v>189</v>
      </c>
      <c r="I15" s="1375">
        <f>-'ПБ V-1 (fin min)'!BE34</f>
        <v>14</v>
      </c>
      <c r="J15" s="1375">
        <f>-'ПБ V-1 (fin min)'!BF34</f>
        <v>339</v>
      </c>
      <c r="K15" s="1375">
        <f>-'ПБ V-1 (fin min)'!BG34</f>
        <v>-405</v>
      </c>
      <c r="L15" s="1375">
        <f>-'ПБ V-1 (fin min)'!BH34</f>
        <v>427</v>
      </c>
      <c r="M15" s="1375">
        <f>-'ПБ V-1 (fin min)'!BI34</f>
        <v>-425.07638510154067</v>
      </c>
      <c r="N15" s="1375">
        <f>-'ПБ V-1 (fin min)'!BJ34</f>
        <v>96.217391194720733</v>
      </c>
      <c r="O15" s="1375">
        <f>-'ПБ V-1 (fin min)'!BK34</f>
        <v>-81.656695302455645</v>
      </c>
      <c r="P15" s="1375">
        <f>-'ПБ V-1 (fin min)'!BL34</f>
        <v>-200</v>
      </c>
      <c r="Q15" s="1375">
        <f>-'ПБ V-1 (fin min)'!BM34</f>
        <v>167.43882803074561</v>
      </c>
      <c r="R15" s="1375">
        <f>-'ПБ V-1 (fin min)'!BN34</f>
        <v>153.5427017334757</v>
      </c>
      <c r="S15" s="1384">
        <f>-'ПБ V-1 (fin min)'!BO34</f>
        <v>-200</v>
      </c>
      <c r="T15" s="1375">
        <f>-'ПБ V-1 (fin min)'!BP34</f>
        <v>-200</v>
      </c>
      <c r="U15" s="1375">
        <f>-'ПБ V-1 (fin min)'!BQ34</f>
        <v>293.95756110723289</v>
      </c>
      <c r="V15" s="1375">
        <f>-'ПБ V-1 (fin min)'!BR34</f>
        <v>119.89936461349218</v>
      </c>
      <c r="W15" s="1375">
        <f>-'ПБ V-1 (fin min)'!BS34</f>
        <v>200</v>
      </c>
      <c r="X15" s="1375">
        <f>-'ПБ V-1 (fin min)'!BT34</f>
        <v>200</v>
      </c>
      <c r="Y15" s="1375">
        <f>-'ПБ V-1 (fin min)'!BU34</f>
        <v>250</v>
      </c>
      <c r="Z15" s="1375">
        <f>-'ПБ V-1 (fin min)'!BV34</f>
        <v>799.39915137721141</v>
      </c>
      <c r="AA15" s="1375">
        <f>-'ПБ V-1 (fin min)'!BW34</f>
        <v>-1046.0763851015406</v>
      </c>
    </row>
    <row r="16" spans="1:27" x14ac:dyDescent="0.35">
      <c r="A16" s="1385" t="s">
        <v>93</v>
      </c>
      <c r="B16" s="1385">
        <f>-'ПБ V-1 (fin min)'!AX35</f>
        <v>-1247</v>
      </c>
      <c r="C16" s="1385">
        <f>-'ПБ V-1 (fin min)'!AY35</f>
        <v>-1022</v>
      </c>
      <c r="D16" s="1385">
        <f>-'ПБ V-1 (fin min)'!AZ35</f>
        <v>-864</v>
      </c>
      <c r="E16" s="1385">
        <f>-'ПБ V-1 (fin min)'!BA35</f>
        <v>-981</v>
      </c>
      <c r="F16" s="1385">
        <f>-'ПБ V-1 (fin min)'!BB35</f>
        <v>-904</v>
      </c>
      <c r="G16" s="1385">
        <f>-'ПБ V-1 (fin min)'!BC35</f>
        <v>-805</v>
      </c>
      <c r="H16" s="1375">
        <f>-'ПБ V-1 (fin min)'!BD35</f>
        <v>-132</v>
      </c>
      <c r="I16" s="1375">
        <f>-'ПБ V-1 (fin min)'!BE35</f>
        <v>-633</v>
      </c>
      <c r="J16" s="1375">
        <f>-'ПБ V-1 (fin min)'!BF35</f>
        <v>-875</v>
      </c>
      <c r="K16" s="1375">
        <f>-'ПБ V-1 (fin min)'!BG35</f>
        <v>-1012</v>
      </c>
      <c r="L16" s="1375">
        <f>-'ПБ V-1 (fin min)'!BH35</f>
        <v>-1035</v>
      </c>
      <c r="M16" s="1375">
        <f>-'ПБ V-1 (fin min)'!BI35</f>
        <v>-1140.3274076816508</v>
      </c>
      <c r="N16" s="1385">
        <f>-'ПБ V-1 (fin min)'!BJ35</f>
        <v>-1200</v>
      </c>
      <c r="O16" s="1385">
        <f>-'ПБ V-1 (fin min)'!BK35</f>
        <v>-988.92902602191157</v>
      </c>
      <c r="P16" s="1385">
        <f>-'ПБ V-1 (fin min)'!BL35</f>
        <v>-1200</v>
      </c>
      <c r="Q16" s="1385">
        <f>-'ПБ V-1 (fin min)'!BM35</f>
        <v>-764.01976931025092</v>
      </c>
      <c r="R16" s="1385">
        <f>-'ПБ V-1 (fin min)'!BN35</f>
        <v>-1089.1349751050086</v>
      </c>
      <c r="S16" s="1385">
        <f>-'ПБ V-1 (fin min)'!BO35</f>
        <v>-491.54452757559403</v>
      </c>
      <c r="T16" s="1375">
        <f>-'ПБ V-1 (fin min)'!BP35</f>
        <v>-501.92637515162482</v>
      </c>
      <c r="U16" s="1375">
        <f>-'ПБ V-1 (fin min)'!BQ35</f>
        <v>-442.28748500875025</v>
      </c>
      <c r="V16" s="1375">
        <f>-'ПБ V-1 (fin min)'!BR35</f>
        <v>-775.68555613716785</v>
      </c>
      <c r="W16" s="1375">
        <f>-'ПБ V-1 (fin min)'!BS35</f>
        <v>-600</v>
      </c>
      <c r="X16" s="1375">
        <f>-'ПБ V-1 (fin min)'!BT35</f>
        <v>-674.27998461472225</v>
      </c>
      <c r="Y16" s="1375">
        <f>-'ПБ V-1 (fin min)'!BU35</f>
        <v>-859.39674285551473</v>
      </c>
      <c r="Z16" s="1375">
        <f>-'ПБ V-1 (fin min)'!BV35</f>
        <v>-9587.2044417805446</v>
      </c>
      <c r="AA16" s="1375">
        <f>-'ПБ V-1 (fin min)'!BW35</f>
        <v>-10650.327407681651</v>
      </c>
    </row>
    <row r="17" spans="1:34" x14ac:dyDescent="0.35">
      <c r="A17" s="1386" t="s">
        <v>95</v>
      </c>
      <c r="B17" s="1386">
        <f>-'ПБ V-1 (fin min)'!AX36</f>
        <v>-1012</v>
      </c>
      <c r="C17" s="1386">
        <f>-'ПБ V-1 (fin min)'!AY36</f>
        <v>-1044</v>
      </c>
      <c r="D17" s="1386">
        <f>-'ПБ V-1 (fin min)'!AZ36</f>
        <v>-1200</v>
      </c>
      <c r="E17" s="1386">
        <f>-'ПБ V-1 (fin min)'!BA36</f>
        <v>-1040</v>
      </c>
      <c r="F17" s="1386">
        <f>-'ПБ V-1 (fin min)'!BB36</f>
        <v>-1078</v>
      </c>
      <c r="G17" s="1387">
        <f>-'ПБ V-1 (fin min)'!BC36</f>
        <v>-751</v>
      </c>
      <c r="H17" s="1386">
        <f>-'ПБ V-1 (fin min)'!BD36</f>
        <v>-557</v>
      </c>
      <c r="I17" s="1386">
        <f>-'ПБ V-1 (fin min)'!BE36</f>
        <v>-655</v>
      </c>
      <c r="J17" s="1386">
        <f>-'ПБ V-1 (fin min)'!BF36</f>
        <v>-771</v>
      </c>
      <c r="K17" s="1386">
        <f>-'ПБ V-1 (fin min)'!BG36</f>
        <v>-1090</v>
      </c>
      <c r="L17" s="1386">
        <f>-'ПБ V-1 (fin min)'!BH36</f>
        <v>-1114</v>
      </c>
      <c r="M17" s="1386">
        <f>-'ПБ V-1 (fin min)'!BI36</f>
        <v>-1200</v>
      </c>
      <c r="N17" s="1386">
        <f>-'ПБ V-1 (fin min)'!BJ36</f>
        <v>-1100</v>
      </c>
      <c r="O17" s="1386">
        <f>-'ПБ V-1 (fin min)'!BK36</f>
        <v>-1000</v>
      </c>
      <c r="P17" s="1386">
        <f>-'ПБ V-1 (fin min)'!BL36</f>
        <v>-1100</v>
      </c>
      <c r="Q17" s="1386">
        <f>-'ПБ V-1 (fin min)'!BM36</f>
        <v>-900</v>
      </c>
      <c r="R17" s="1386">
        <f>-'ПБ V-1 (fin min)'!BN36</f>
        <v>-850</v>
      </c>
      <c r="S17" s="1387">
        <f>-'ПБ V-1 (fin min)'!BO36</f>
        <v>-850</v>
      </c>
      <c r="T17" s="1386">
        <f>-'ПБ V-1 (fin min)'!BP36</f>
        <v>-800</v>
      </c>
      <c r="U17" s="1386">
        <f>-'ПБ V-1 (fin min)'!BQ36</f>
        <v>-700</v>
      </c>
      <c r="V17" s="1386">
        <f>-'ПБ V-1 (fin min)'!BR36</f>
        <v>-700</v>
      </c>
      <c r="W17" s="1386">
        <f>-'ПБ V-1 (fin min)'!BS36</f>
        <v>-750</v>
      </c>
      <c r="X17" s="1386">
        <f>-'ПБ V-1 (fin min)'!BT36</f>
        <v>-900</v>
      </c>
      <c r="Y17" s="1386">
        <f>-'ПБ V-1 (fin min)'!BU36</f>
        <v>-900</v>
      </c>
      <c r="Z17" s="1386">
        <f>-'ПБ V-1 (fin min)'!BV36</f>
        <v>-10550</v>
      </c>
      <c r="AA17" s="1386">
        <f>-'ПБ V-1 (fin min)'!BW36</f>
        <v>-11512</v>
      </c>
    </row>
    <row r="18" spans="1:34" x14ac:dyDescent="0.35">
      <c r="A18" s="1386" t="s">
        <v>97</v>
      </c>
      <c r="B18" s="1386">
        <f>-'ПБ V-1 (fin min)'!AX37</f>
        <v>-266</v>
      </c>
      <c r="C18" s="1386">
        <f>-'ПБ V-1 (fin min)'!AY37</f>
        <v>5</v>
      </c>
      <c r="D18" s="1386">
        <f>-'ПБ V-1 (fin min)'!AZ37</f>
        <v>304</v>
      </c>
      <c r="E18" s="1386">
        <f>-'ПБ V-1 (fin min)'!BA37</f>
        <v>-3</v>
      </c>
      <c r="F18" s="1386">
        <f>-'ПБ V-1 (fin min)'!BB37</f>
        <v>119</v>
      </c>
      <c r="G18" s="1387">
        <f>-'ПБ V-1 (fin min)'!BC37</f>
        <v>-166</v>
      </c>
      <c r="H18" s="1386">
        <f>-'ПБ V-1 (fin min)'!BD37</f>
        <v>405</v>
      </c>
      <c r="I18" s="1386">
        <f>-'ПБ V-1 (fin min)'!BE37</f>
        <v>-3</v>
      </c>
      <c r="J18" s="1386">
        <f>-'ПБ V-1 (fin min)'!BF37</f>
        <v>-98</v>
      </c>
      <c r="K18" s="1386">
        <f>-'ПБ V-1 (fin min)'!BG37</f>
        <v>49</v>
      </c>
      <c r="L18" s="1386">
        <f>-'ПБ V-1 (fin min)'!BH37</f>
        <v>88</v>
      </c>
      <c r="M18" s="1386">
        <f>-'ПБ V-1 (fin min)'!BI37</f>
        <v>59.672592318349132</v>
      </c>
      <c r="N18" s="1386">
        <f>-'ПБ V-1 (fin min)'!BJ37</f>
        <v>-100</v>
      </c>
      <c r="O18" s="1386">
        <f>-'ПБ V-1 (fin min)'!BK37</f>
        <v>11.070973978088407</v>
      </c>
      <c r="P18" s="1386">
        <f>-'ПБ V-1 (fin min)'!BL37</f>
        <v>-100</v>
      </c>
      <c r="Q18" s="1386">
        <f>-'ПБ V-1 (fin min)'!BM37</f>
        <v>135.98023068974911</v>
      </c>
      <c r="R18" s="1386">
        <f>-'ПБ V-1 (fin min)'!BN37</f>
        <v>-239.13497510500864</v>
      </c>
      <c r="S18" s="1387">
        <f>-'ПБ V-1 (fin min)'!BO37</f>
        <v>358.45547242440597</v>
      </c>
      <c r="T18" s="1386">
        <f>-'ПБ V-1 (fin min)'!BP37</f>
        <v>298.07362484837518</v>
      </c>
      <c r="U18" s="1386">
        <f>-'ПБ V-1 (fin min)'!BQ37</f>
        <v>257.71251499124975</v>
      </c>
      <c r="V18" s="1386">
        <f>-'ПБ V-1 (fin min)'!BR37</f>
        <v>-75.685556137167865</v>
      </c>
      <c r="W18" s="1386">
        <f>-'ПБ V-1 (fin min)'!BS37</f>
        <v>150</v>
      </c>
      <c r="X18" s="1386">
        <f>-'ПБ V-1 (fin min)'!BT37</f>
        <v>225.72001538527769</v>
      </c>
      <c r="Y18" s="1386">
        <f>-'ПБ V-1 (fin min)'!BU37</f>
        <v>40.603257144485241</v>
      </c>
      <c r="Z18" s="1386">
        <f>-'ПБ V-1 (fin min)'!BV37</f>
        <v>962.79555821945496</v>
      </c>
      <c r="AA18" s="1386">
        <f>-'ПБ V-1 (fin min)'!BW37</f>
        <v>493.67259231834913</v>
      </c>
    </row>
    <row r="19" spans="1:34" x14ac:dyDescent="0.35">
      <c r="A19" s="1382" t="s">
        <v>96</v>
      </c>
      <c r="B19" s="1382">
        <f>-'ПБ V-1 (fin min)'!AX38</f>
        <v>-789</v>
      </c>
      <c r="C19" s="1382">
        <f>-'ПБ V-1 (fin min)'!AY38</f>
        <v>-590</v>
      </c>
      <c r="D19" s="1382">
        <f>-'ПБ V-1 (fin min)'!AZ38</f>
        <v>-589</v>
      </c>
      <c r="E19" s="1382">
        <f>-'ПБ V-1 (fin min)'!BA38</f>
        <v>-20</v>
      </c>
      <c r="F19" s="1382">
        <f>-'ПБ V-1 (fin min)'!BB38</f>
        <v>-36</v>
      </c>
      <c r="G19" s="1382">
        <f>-'ПБ V-1 (fin min)'!BC38</f>
        <v>-130</v>
      </c>
      <c r="H19" s="1383">
        <f>-'ПБ V-1 (fin min)'!BD38</f>
        <v>-1</v>
      </c>
      <c r="I19" s="1383">
        <f>-'ПБ V-1 (fin min)'!BE38</f>
        <v>-81</v>
      </c>
      <c r="J19" s="1383">
        <f>-'ПБ V-1 (fin min)'!BF38</f>
        <v>307</v>
      </c>
      <c r="K19" s="1383">
        <f>-'ПБ V-1 (fin min)'!BG38</f>
        <v>183</v>
      </c>
      <c r="L19" s="1383">
        <f>-'ПБ V-1 (fin min)'!BH38</f>
        <v>320</v>
      </c>
      <c r="M19" s="1383">
        <f>-'ПБ V-1 (fin min)'!BI38</f>
        <v>304.12851543018292</v>
      </c>
      <c r="N19" s="1382">
        <f>-'ПБ V-1 (fin min)'!BJ38</f>
        <v>133.52387078170432</v>
      </c>
      <c r="O19" s="1382">
        <f>-'ПБ V-1 (fin min)'!BK38</f>
        <v>85.994897288778432</v>
      </c>
      <c r="P19" s="1382">
        <f>-'ПБ V-1 (fin min)'!BL38</f>
        <v>56.726287501965878</v>
      </c>
      <c r="Q19" s="1382">
        <f>-'ПБ V-1 (fin min)'!BM38</f>
        <v>19.83379458146592</v>
      </c>
      <c r="R19" s="1382">
        <f>-'ПБ V-1 (fin min)'!BN38</f>
        <v>21.748665665411281</v>
      </c>
      <c r="S19" s="1382">
        <f>-'ПБ V-1 (fin min)'!BO38</f>
        <v>-62.18597059382261</v>
      </c>
      <c r="T19" s="1383">
        <f>-'ПБ V-1 (fin min)'!BP38</f>
        <v>-319.41595956540664</v>
      </c>
      <c r="U19" s="1383">
        <f>-'ПБ V-1 (fin min)'!BQ38</f>
        <v>-367.18426407673684</v>
      </c>
      <c r="V19" s="1383">
        <f>-'ПБ V-1 (fin min)'!BR38</f>
        <v>-448.4608105321584</v>
      </c>
      <c r="W19" s="1383">
        <f>-'ПБ V-1 (fin min)'!BS38</f>
        <v>-479.81885881350104</v>
      </c>
      <c r="X19" s="1383">
        <f>-'ПБ V-1 (fin min)'!BT38</f>
        <v>-327.83270537452279</v>
      </c>
      <c r="Y19" s="1383">
        <f>-'ПБ V-1 (fin min)'!BU38</f>
        <v>-211.16929773852883</v>
      </c>
      <c r="Z19" s="1383">
        <f>-'ПБ V-1 (fin min)'!BV38</f>
        <v>-1898.2403508753514</v>
      </c>
      <c r="AA19" s="1383">
        <f>-'ПБ V-1 (fin min)'!BW38</f>
        <v>-1121.8714845698171</v>
      </c>
    </row>
    <row r="20" spans="1:34" x14ac:dyDescent="0.35">
      <c r="A20" s="1388" t="s">
        <v>215</v>
      </c>
      <c r="B20" s="1388">
        <f>-'ПБ V-1 (fin min)'!AX39</f>
        <v>43</v>
      </c>
      <c r="C20" s="1388">
        <f>-'ПБ V-1 (fin min)'!AY39</f>
        <v>-15</v>
      </c>
      <c r="D20" s="1388">
        <f>-'ПБ V-1 (fin min)'!AZ39</f>
        <v>37</v>
      </c>
      <c r="E20" s="1388">
        <f>-'ПБ V-1 (fin min)'!BA39</f>
        <v>-38</v>
      </c>
      <c r="F20" s="1388">
        <f>-'ПБ V-1 (fin min)'!BB39</f>
        <v>29</v>
      </c>
      <c r="G20" s="1389">
        <f>-'ПБ V-1 (fin min)'!BC39</f>
        <v>88</v>
      </c>
      <c r="H20" s="1388">
        <f>-'ПБ V-1 (fin min)'!BD39</f>
        <v>65</v>
      </c>
      <c r="I20" s="1388">
        <f>-'ПБ V-1 (fin min)'!BE39</f>
        <v>-22</v>
      </c>
      <c r="J20" s="1388">
        <f>-'ПБ V-1 (fin min)'!BF39</f>
        <v>-49</v>
      </c>
      <c r="K20" s="1388">
        <f>-'ПБ V-1 (fin min)'!BG39</f>
        <v>57</v>
      </c>
      <c r="L20" s="1388">
        <f>-'ПБ V-1 (fin min)'!BH39</f>
        <v>-132</v>
      </c>
      <c r="M20" s="1388">
        <f>-'ПБ V-1 (fin min)'!BI39</f>
        <v>9.4328114568496346</v>
      </c>
      <c r="N20" s="1388">
        <f>-'ПБ V-1 (fin min)'!BJ39</f>
        <v>-22.42218622496236</v>
      </c>
      <c r="O20" s="1388">
        <f>-'ПБ V-1 (fin min)'!BK39</f>
        <v>-19.951159717888242</v>
      </c>
      <c r="P20" s="1388">
        <f>-'ПБ V-1 (fin min)'!BL39</f>
        <v>0.7802304952992003</v>
      </c>
      <c r="Q20" s="1388">
        <f>-'ПБ V-1 (fin min)'!BM39</f>
        <v>-27.328949298534074</v>
      </c>
      <c r="R20" s="1388">
        <f>-'ПБ V-1 (fin min)'!BN39</f>
        <v>-25.414078214588713</v>
      </c>
      <c r="S20" s="1389">
        <f>-'ПБ V-1 (fin min)'!BO39</f>
        <v>-9.3487144738226036</v>
      </c>
      <c r="T20" s="1388">
        <f>-'ПБ V-1 (fin min)'!BP39</f>
        <v>-24.533719358739997</v>
      </c>
      <c r="U20" s="1388">
        <f>-'ПБ V-1 (fin min)'!BQ39</f>
        <v>-22.302023870070176</v>
      </c>
      <c r="V20" s="1388">
        <f>-'ПБ V-1 (fin min)'!BR39</f>
        <v>-3.5785703254917323</v>
      </c>
      <c r="W20" s="1388">
        <f>-'ПБ V-1 (fin min)'!BS39</f>
        <v>-26.700050230167662</v>
      </c>
      <c r="X20" s="1388">
        <f>-'ПБ V-1 (fin min)'!BT39</f>
        <v>-24.713896791189416</v>
      </c>
      <c r="Y20" s="1388">
        <f>-'ПБ V-1 (fin min)'!BU39</f>
        <v>-8.0504891551954998</v>
      </c>
      <c r="Z20" s="1388">
        <f>-'ПБ V-1 (fin min)'!BV39</f>
        <v>-213.56360716535127</v>
      </c>
      <c r="AA20" s="1388">
        <f>-'ПБ V-1 (fin min)'!BW39</f>
        <v>72.432811456849635</v>
      </c>
    </row>
    <row r="21" spans="1:34" x14ac:dyDescent="0.35">
      <c r="A21" s="1376" t="s">
        <v>93</v>
      </c>
      <c r="B21" s="1376">
        <f>-'ПБ V-1 (fin min)'!AX40</f>
        <v>-832</v>
      </c>
      <c r="C21" s="1376">
        <f>-'ПБ V-1 (fin min)'!AY40</f>
        <v>-575</v>
      </c>
      <c r="D21" s="1376">
        <f>-'ПБ V-1 (fin min)'!AZ40</f>
        <v>-626</v>
      </c>
      <c r="E21" s="1376">
        <f>-'ПБ V-1 (fin min)'!BA40</f>
        <v>18</v>
      </c>
      <c r="F21" s="1376">
        <f>-'ПБ V-1 (fin min)'!BB40</f>
        <v>-65</v>
      </c>
      <c r="G21" s="1376">
        <f>-'ПБ V-1 (fin min)'!BC40</f>
        <v>-218</v>
      </c>
      <c r="H21" s="1390">
        <f>-'ПБ V-1 (fin min)'!BD40</f>
        <v>-66</v>
      </c>
      <c r="I21" s="1390">
        <f>-'ПБ V-1 (fin min)'!BE40</f>
        <v>-59</v>
      </c>
      <c r="J21" s="1390">
        <f>-'ПБ V-1 (fin min)'!BF40</f>
        <v>356</v>
      </c>
      <c r="K21" s="1390">
        <f>-'ПБ V-1 (fin min)'!BG40</f>
        <v>126</v>
      </c>
      <c r="L21" s="1390">
        <f>-'ПБ V-1 (fin min)'!BH40</f>
        <v>452</v>
      </c>
      <c r="M21" s="1390">
        <f>-'ПБ V-1 (fin min)'!BI40</f>
        <v>294.69570397333331</v>
      </c>
      <c r="N21" s="1376">
        <f>-'ПБ V-1 (fin min)'!BJ40</f>
        <v>155.94605700666668</v>
      </c>
      <c r="O21" s="1376">
        <f>-'ПБ V-1 (fin min)'!BK40</f>
        <v>105.94605700666668</v>
      </c>
      <c r="P21" s="1376">
        <f>-'ПБ V-1 (fin min)'!BL40</f>
        <v>55.946057006666678</v>
      </c>
      <c r="Q21" s="1376">
        <f>-'ПБ V-1 (fin min)'!BM40</f>
        <v>47.162743879999994</v>
      </c>
      <c r="R21" s="1376">
        <f>-'ПБ V-1 (fin min)'!BN40</f>
        <v>47.162743879999994</v>
      </c>
      <c r="S21" s="1376">
        <f>-'ПБ V-1 (fin min)'!BO40</f>
        <v>-52.837256120000006</v>
      </c>
      <c r="T21" s="1390">
        <f>-'ПБ V-1 (fin min)'!BP40</f>
        <v>-294.88224020666667</v>
      </c>
      <c r="U21" s="1390">
        <f>-'ПБ V-1 (fin min)'!BQ40</f>
        <v>-344.88224020666667</v>
      </c>
      <c r="V21" s="1390">
        <f>-'ПБ V-1 (fin min)'!BR40</f>
        <v>-444.88224020666667</v>
      </c>
      <c r="W21" s="1390">
        <f>-'ПБ V-1 (fin min)'!BS40</f>
        <v>-453.11880858333336</v>
      </c>
      <c r="X21" s="1390">
        <f>-'ПБ V-1 (fin min)'!BT40</f>
        <v>-303.11880858333336</v>
      </c>
      <c r="Y21" s="1390">
        <f>-'ПБ V-1 (fin min)'!BU40</f>
        <v>-203.11880858333333</v>
      </c>
      <c r="Z21" s="1388">
        <f>-'ПБ V-1 (fin min)'!BV40</f>
        <v>-1684.6767437099998</v>
      </c>
      <c r="AA21" s="1388">
        <f>-'ПБ V-1 (fin min)'!BW40</f>
        <v>-1194.3042960266666</v>
      </c>
    </row>
    <row r="22" spans="1:34" x14ac:dyDescent="0.35">
      <c r="A22" s="1386" t="s">
        <v>168</v>
      </c>
      <c r="B22" s="1386">
        <f>-'ПБ V-1 (fin min)'!AX41</f>
        <v>-333</v>
      </c>
      <c r="C22" s="1386">
        <f>-'ПБ V-1 (fin min)'!AY41</f>
        <v>165</v>
      </c>
      <c r="D22" s="1386">
        <f>-'ПБ V-1 (fin min)'!AZ41</f>
        <v>147</v>
      </c>
      <c r="E22" s="1386">
        <f>-'ПБ V-1 (fin min)'!BA41</f>
        <v>-24</v>
      </c>
      <c r="F22" s="1386">
        <f>-'ПБ V-1 (fin min)'!BB41</f>
        <v>-42</v>
      </c>
      <c r="G22" s="1387">
        <f>-'ПБ V-1 (fin min)'!BC41</f>
        <v>-180</v>
      </c>
      <c r="H22" s="1386">
        <f>-'ПБ V-1 (fin min)'!BD41</f>
        <v>12</v>
      </c>
      <c r="I22" s="1386">
        <f>-'ПБ V-1 (fin min)'!BE41</f>
        <v>-263</v>
      </c>
      <c r="J22" s="1386">
        <f>-'ПБ V-1 (fin min)'!BF41</f>
        <v>-50</v>
      </c>
      <c r="K22" s="1386">
        <f>-'ПБ V-1 (fin min)'!BG41</f>
        <v>48</v>
      </c>
      <c r="L22" s="1386">
        <f>-'ПБ V-1 (fin min)'!BH41</f>
        <v>-159</v>
      </c>
      <c r="M22" s="1386">
        <f>-'ПБ V-1 (fin min)'!BI41</f>
        <v>-105.30429602666668</v>
      </c>
      <c r="N22" s="1386">
        <f>-'ПБ V-1 (fin min)'!BJ41</f>
        <v>-94.053942993333322</v>
      </c>
      <c r="O22" s="1386">
        <f>-'ПБ V-1 (fin min)'!BK41</f>
        <v>-94.053942993333322</v>
      </c>
      <c r="P22" s="1386">
        <f>-'ПБ V-1 (fin min)'!BL41</f>
        <v>-94.053942993333322</v>
      </c>
      <c r="Q22" s="1386">
        <f>-'ПБ V-1 (fin min)'!BM41</f>
        <v>-102.83725612000001</v>
      </c>
      <c r="R22" s="1386">
        <f>-'ПБ V-1 (fin min)'!BN41</f>
        <v>-102.83725612000001</v>
      </c>
      <c r="S22" s="1387">
        <f>-'ПБ V-1 (fin min)'!BO41</f>
        <v>-102.83725612000001</v>
      </c>
      <c r="T22" s="1386">
        <f>-'ПБ V-1 (fin min)'!BP41</f>
        <v>-94.882240206666665</v>
      </c>
      <c r="U22" s="1386">
        <f>-'ПБ V-1 (fin min)'!BQ41</f>
        <v>-94.882240206666665</v>
      </c>
      <c r="V22" s="1386">
        <f>-'ПБ V-1 (fin min)'!BR41</f>
        <v>-94.882240206666665</v>
      </c>
      <c r="W22" s="1386">
        <f>-'ПБ V-1 (fin min)'!BS41</f>
        <v>-103.11880858333333</v>
      </c>
      <c r="X22" s="1386">
        <f>-'ПБ V-1 (fin min)'!BT41</f>
        <v>-103.11880858333333</v>
      </c>
      <c r="Y22" s="1386">
        <f>-'ПБ V-1 (fin min)'!BU41</f>
        <v>-103.11880858333333</v>
      </c>
      <c r="Z22" s="1388">
        <f>-'ПБ V-1 (fin min)'!BV41</f>
        <v>-1184.67674371</v>
      </c>
      <c r="AA22" s="1388">
        <f>-'ПБ V-1 (fin min)'!BW41</f>
        <v>-784.30429602666663</v>
      </c>
    </row>
    <row r="23" spans="1:34" x14ac:dyDescent="0.35">
      <c r="A23" s="1386" t="s">
        <v>97</v>
      </c>
      <c r="B23" s="1386">
        <f>-'ПБ V-1 (fin min)'!AX42</f>
        <v>-499</v>
      </c>
      <c r="C23" s="1386">
        <f>-'ПБ V-1 (fin min)'!AY42</f>
        <v>-740</v>
      </c>
      <c r="D23" s="1386">
        <f>-'ПБ V-1 (fin min)'!AZ42</f>
        <v>-773</v>
      </c>
      <c r="E23" s="1386">
        <f>-'ПБ V-1 (fin min)'!BA42</f>
        <v>42</v>
      </c>
      <c r="F23" s="1386">
        <f>-'ПБ V-1 (fin min)'!BB42</f>
        <v>-23</v>
      </c>
      <c r="G23" s="1387">
        <f>-'ПБ V-1 (fin min)'!BC42</f>
        <v>-38</v>
      </c>
      <c r="H23" s="1386">
        <f>-'ПБ V-1 (fin min)'!BD42</f>
        <v>-78</v>
      </c>
      <c r="I23" s="1386">
        <f>-'ПБ V-1 (fin min)'!BE42</f>
        <v>204</v>
      </c>
      <c r="J23" s="1386">
        <f>-'ПБ V-1 (fin min)'!BF42</f>
        <v>406</v>
      </c>
      <c r="K23" s="1386">
        <f>-'ПБ V-1 (fin min)'!BG42</f>
        <v>78</v>
      </c>
      <c r="L23" s="1386">
        <f>-'ПБ V-1 (fin min)'!BH42</f>
        <v>611</v>
      </c>
      <c r="M23" s="1386">
        <f>-'ПБ V-1 (fin min)'!BI42</f>
        <v>400</v>
      </c>
      <c r="N23" s="1386">
        <f>-'ПБ V-1 (fin min)'!BJ42</f>
        <v>250</v>
      </c>
      <c r="O23" s="1386">
        <f>-'ПБ V-1 (fin min)'!BK42</f>
        <v>200</v>
      </c>
      <c r="P23" s="1386">
        <f>-'ПБ V-1 (fin min)'!BL42</f>
        <v>150</v>
      </c>
      <c r="Q23" s="1386">
        <f>-'ПБ V-1 (fin min)'!BM42</f>
        <v>150</v>
      </c>
      <c r="R23" s="1386">
        <f>-'ПБ V-1 (fin min)'!BN42</f>
        <v>150</v>
      </c>
      <c r="S23" s="1387">
        <f>-'ПБ V-1 (fin min)'!BO42</f>
        <v>50</v>
      </c>
      <c r="T23" s="1386">
        <f>-'ПБ V-1 (fin min)'!BP42</f>
        <v>-200</v>
      </c>
      <c r="U23" s="1386">
        <f>-'ПБ V-1 (fin min)'!BQ42</f>
        <v>-250</v>
      </c>
      <c r="V23" s="1386">
        <f>-'ПБ V-1 (fin min)'!BR42</f>
        <v>-350</v>
      </c>
      <c r="W23" s="1386">
        <f>-'ПБ V-1 (fin min)'!BS42</f>
        <v>-350</v>
      </c>
      <c r="X23" s="1386">
        <f>-'ПБ V-1 (fin min)'!BT42</f>
        <v>-200</v>
      </c>
      <c r="Y23" s="1386">
        <f>-'ПБ V-1 (fin min)'!BU42</f>
        <v>-100</v>
      </c>
      <c r="Z23" s="1386">
        <f>-'ПБ V-1 (fin min)'!BV42</f>
        <v>-500</v>
      </c>
      <c r="AA23" s="1386">
        <f>-'ПБ V-1 (fin min)'!BW42</f>
        <v>-410</v>
      </c>
    </row>
    <row r="24" spans="1:34" x14ac:dyDescent="0.35">
      <c r="A24" s="1391" t="s">
        <v>98</v>
      </c>
      <c r="B24" s="1391">
        <f>-'ПБ V-1 (fin min)'!AX43</f>
        <v>-134</v>
      </c>
      <c r="C24" s="1391">
        <f>-'ПБ V-1 (fin min)'!AY43</f>
        <v>-386</v>
      </c>
      <c r="D24" s="1391">
        <f>-'ПБ V-1 (fin min)'!AZ43</f>
        <v>-62</v>
      </c>
      <c r="E24" s="1391">
        <f>-'ПБ V-1 (fin min)'!BA43</f>
        <v>-197</v>
      </c>
      <c r="F24" s="1391">
        <f>-'ПБ V-1 (fin min)'!BB43</f>
        <v>-188</v>
      </c>
      <c r="G24" s="1392">
        <f>-'ПБ V-1 (fin min)'!BC43</f>
        <v>-68</v>
      </c>
      <c r="H24" s="1391">
        <f>-'ПБ V-1 (fin min)'!BD43</f>
        <v>48</v>
      </c>
      <c r="I24" s="1391">
        <f>-'ПБ V-1 (fin min)'!BE43</f>
        <v>-62</v>
      </c>
      <c r="J24" s="1391">
        <f>-'ПБ V-1 (fin min)'!BF43</f>
        <v>-187</v>
      </c>
      <c r="K24" s="1391">
        <f>-'ПБ V-1 (fin min)'!BG43</f>
        <v>-201</v>
      </c>
      <c r="L24" s="1391">
        <f>-'ПБ V-1 (fin min)'!BH43</f>
        <v>-391</v>
      </c>
      <c r="M24" s="1391">
        <f>-'ПБ V-1 (fin min)'!BI43</f>
        <v>0</v>
      </c>
      <c r="N24" s="1391">
        <f>-'ПБ V-1 (fin min)'!BJ43</f>
        <v>0</v>
      </c>
      <c r="O24" s="1391">
        <f>-'ПБ V-1 (fin min)'!BK43</f>
        <v>0</v>
      </c>
      <c r="P24" s="1391">
        <f>-'ПБ V-1 (fin min)'!BL43</f>
        <v>0</v>
      </c>
      <c r="Q24" s="1391">
        <f>-'ПБ V-1 (fin min)'!BM43</f>
        <v>0</v>
      </c>
      <c r="R24" s="1391">
        <f>-'ПБ V-1 (fin min)'!BN43</f>
        <v>0</v>
      </c>
      <c r="S24" s="1392">
        <f>-'ПБ V-1 (fin min)'!BO43</f>
        <v>0</v>
      </c>
      <c r="T24" s="1391">
        <f>-'ПБ V-1 (fin min)'!BP43</f>
        <v>0</v>
      </c>
      <c r="U24" s="1391">
        <f>-'ПБ V-1 (fin min)'!BQ43</f>
        <v>0</v>
      </c>
      <c r="V24" s="1391">
        <f>-'ПБ V-1 (fin min)'!BR43</f>
        <v>0</v>
      </c>
      <c r="W24" s="1391">
        <f>-'ПБ V-1 (fin min)'!BS43</f>
        <v>0</v>
      </c>
      <c r="X24" s="1391">
        <f>-'ПБ V-1 (fin min)'!BT43</f>
        <v>0</v>
      </c>
      <c r="Y24" s="1391">
        <f>-'ПБ V-1 (fin min)'!BU43</f>
        <v>0</v>
      </c>
      <c r="Z24" s="1391">
        <f>-'ПБ V-1 (fin min)'!BV43</f>
        <v>0</v>
      </c>
      <c r="AA24" s="1391">
        <f>-'ПБ V-1 (fin min)'!BW43</f>
        <v>-1828</v>
      </c>
    </row>
    <row r="27" spans="1:34" x14ac:dyDescent="0.35">
      <c r="B27" s="1439">
        <v>2023</v>
      </c>
      <c r="C27" s="1439"/>
      <c r="D27" s="1439"/>
      <c r="E27" s="1439"/>
      <c r="F27" s="1439"/>
      <c r="G27" s="1439"/>
      <c r="H27" s="1439"/>
      <c r="I27" s="1439"/>
      <c r="J27" s="1439"/>
      <c r="K27" s="1439"/>
      <c r="L27" s="1439"/>
      <c r="M27" s="1439"/>
      <c r="N27" s="1439">
        <v>2024</v>
      </c>
      <c r="O27" s="1439"/>
      <c r="P27" s="1439"/>
      <c r="Q27" s="1439"/>
      <c r="R27" s="1439"/>
      <c r="S27" s="1439"/>
      <c r="T27" s="1439"/>
      <c r="U27" s="1439"/>
      <c r="V27" s="1439"/>
      <c r="W27" s="1439"/>
      <c r="X27" s="1439"/>
      <c r="Y27" s="1439"/>
    </row>
    <row r="28" spans="1:34" x14ac:dyDescent="0.35">
      <c r="B28" s="1370">
        <v>1</v>
      </c>
      <c r="C28" s="1370">
        <v>2</v>
      </c>
      <c r="D28" s="1370">
        <v>3</v>
      </c>
      <c r="E28" s="1370">
        <v>4</v>
      </c>
      <c r="F28" s="1370">
        <v>5</v>
      </c>
      <c r="G28" s="1370">
        <v>6</v>
      </c>
      <c r="H28" s="1370">
        <v>7</v>
      </c>
      <c r="I28" s="1370">
        <v>8</v>
      </c>
      <c r="J28" s="1370">
        <v>9</v>
      </c>
      <c r="K28" s="1370">
        <v>10</v>
      </c>
      <c r="L28" s="1370">
        <v>11</v>
      </c>
      <c r="M28" s="1370">
        <v>12</v>
      </c>
      <c r="N28" s="1370">
        <v>1</v>
      </c>
      <c r="O28" s="1370">
        <v>2</v>
      </c>
      <c r="P28" s="1370">
        <v>3</v>
      </c>
      <c r="Q28" s="1370">
        <v>4</v>
      </c>
      <c r="R28" s="1370">
        <v>5</v>
      </c>
      <c r="S28" s="1370">
        <v>6</v>
      </c>
      <c r="T28" s="1370">
        <v>7</v>
      </c>
      <c r="U28" s="1370">
        <v>8</v>
      </c>
      <c r="V28" s="1370">
        <v>9</v>
      </c>
      <c r="W28" s="1370">
        <v>10</v>
      </c>
      <c r="X28" s="1370">
        <v>11</v>
      </c>
      <c r="Y28" s="1370">
        <v>12</v>
      </c>
      <c r="AF28" s="1353" t="s">
        <v>336</v>
      </c>
      <c r="AG28" s="1353" t="s">
        <v>337</v>
      </c>
      <c r="AH28" s="1353" t="s">
        <v>334</v>
      </c>
    </row>
    <row r="29" spans="1:34" x14ac:dyDescent="0.35">
      <c r="A29" s="1393" t="str">
        <f>INDEX(AF29:AH29,1,MATCH(Чарти!$B$1,$AF$28:$AH$28,0))</f>
        <v>Финансовый счет</v>
      </c>
      <c r="B29" s="1394">
        <f>B4</f>
        <v>-1052</v>
      </c>
      <c r="C29" s="1394">
        <f t="shared" ref="C29:J29" si="0">C4</f>
        <v>-396</v>
      </c>
      <c r="D29" s="1394">
        <f t="shared" si="0"/>
        <v>55</v>
      </c>
      <c r="E29" s="1394">
        <f t="shared" si="0"/>
        <v>-254</v>
      </c>
      <c r="F29" s="1394">
        <f t="shared" si="0"/>
        <v>-129</v>
      </c>
      <c r="G29" s="1394">
        <f t="shared" si="0"/>
        <v>-692</v>
      </c>
      <c r="H29" s="1394">
        <f t="shared" si="0"/>
        <v>370</v>
      </c>
      <c r="I29" s="1394">
        <f t="shared" si="0"/>
        <v>-280</v>
      </c>
      <c r="J29" s="1394">
        <f t="shared" si="0"/>
        <v>-361</v>
      </c>
      <c r="K29" s="1394">
        <f t="shared" ref="K29:L29" si="1">K4</f>
        <v>-1402</v>
      </c>
      <c r="L29" s="1394">
        <f t="shared" si="1"/>
        <v>-724</v>
      </c>
      <c r="M29" s="1394"/>
      <c r="N29" s="1394"/>
      <c r="O29" s="1394"/>
      <c r="P29" s="1394"/>
      <c r="Q29" s="1394"/>
      <c r="R29" s="1394"/>
      <c r="S29" s="1394"/>
      <c r="T29" s="1394"/>
      <c r="U29" s="1394"/>
      <c r="V29" s="1394"/>
      <c r="W29" s="1394"/>
      <c r="X29" s="1394"/>
      <c r="Y29" s="1394"/>
      <c r="Z29" s="1394"/>
      <c r="AA29" s="1394"/>
      <c r="AF29" s="1369" t="s">
        <v>162</v>
      </c>
      <c r="AG29" s="1369" t="s">
        <v>667</v>
      </c>
      <c r="AH29" s="1369" t="s">
        <v>662</v>
      </c>
    </row>
    <row r="30" spans="1:34" x14ac:dyDescent="0.35">
      <c r="A30" s="1393" t="str">
        <f>INDEX(AF30:AH30,1,MATCH(Чарти!$B$1,$AF$28:$AH$28,0))</f>
        <v>Прямые инвестиции</v>
      </c>
      <c r="B30" s="1394">
        <f t="shared" ref="B30:J31" si="2">B5</f>
        <v>370</v>
      </c>
      <c r="C30" s="1394">
        <f t="shared" si="2"/>
        <v>387</v>
      </c>
      <c r="D30" s="1394">
        <f t="shared" si="2"/>
        <v>388</v>
      </c>
      <c r="E30" s="1394">
        <f t="shared" si="2"/>
        <v>536</v>
      </c>
      <c r="F30" s="1394">
        <f t="shared" si="2"/>
        <v>376</v>
      </c>
      <c r="G30" s="1394">
        <f t="shared" si="2"/>
        <v>392</v>
      </c>
      <c r="H30" s="1394">
        <f t="shared" si="2"/>
        <v>663</v>
      </c>
      <c r="I30" s="1394">
        <f t="shared" si="2"/>
        <v>445</v>
      </c>
      <c r="J30" s="1394">
        <f t="shared" si="2"/>
        <v>532</v>
      </c>
      <c r="K30" s="1394">
        <f t="shared" ref="K30:L30" si="3">K5</f>
        <v>174</v>
      </c>
      <c r="L30" s="1394">
        <f t="shared" si="3"/>
        <v>94</v>
      </c>
      <c r="M30" s="1394"/>
      <c r="N30" s="1394"/>
      <c r="O30" s="1394"/>
      <c r="P30" s="1394"/>
      <c r="Q30" s="1394"/>
      <c r="R30" s="1394"/>
      <c r="S30" s="1394"/>
      <c r="T30" s="1394"/>
      <c r="U30" s="1394"/>
      <c r="V30" s="1394"/>
      <c r="W30" s="1394"/>
      <c r="X30" s="1394"/>
      <c r="Y30" s="1394"/>
      <c r="Z30" s="1394"/>
      <c r="AA30" s="1394"/>
      <c r="AF30" s="1369" t="s">
        <v>671</v>
      </c>
      <c r="AG30" s="1369" t="s">
        <v>668</v>
      </c>
      <c r="AH30" s="1369" t="s">
        <v>663</v>
      </c>
    </row>
    <row r="31" spans="1:34" x14ac:dyDescent="0.35">
      <c r="A31" s="1393" t="str">
        <f>INDEX(AF31:AH31,1,MATCH(Чарти!$B$1,$AF$28:$AH$28,0))</f>
        <v>Портфельные инвестиции</v>
      </c>
      <c r="B31" s="1394">
        <f t="shared" si="2"/>
        <v>-186</v>
      </c>
      <c r="C31" s="1394">
        <f t="shared" si="2"/>
        <v>-180</v>
      </c>
      <c r="D31" s="1394">
        <f t="shared" si="2"/>
        <v>-224</v>
      </c>
      <c r="E31" s="1394">
        <f t="shared" si="2"/>
        <v>-187</v>
      </c>
      <c r="F31" s="1394">
        <f t="shared" si="2"/>
        <v>-132</v>
      </c>
      <c r="G31" s="1394">
        <f t="shared" si="2"/>
        <v>-189</v>
      </c>
      <c r="H31" s="1394">
        <f t="shared" si="2"/>
        <v>-303</v>
      </c>
      <c r="I31" s="1394">
        <f t="shared" si="2"/>
        <v>-249</v>
      </c>
      <c r="J31" s="1394">
        <f t="shared" si="2"/>
        <v>-237</v>
      </c>
      <c r="K31" s="1394">
        <f t="shared" ref="K31:L31" si="4">K6</f>
        <v>-177</v>
      </c>
      <c r="L31" s="1394">
        <f t="shared" si="4"/>
        <v>-281</v>
      </c>
      <c r="M31" s="1394"/>
      <c r="N31" s="1394"/>
      <c r="O31" s="1394"/>
      <c r="P31" s="1394"/>
      <c r="Q31" s="1394"/>
      <c r="R31" s="1394"/>
      <c r="S31" s="1394"/>
      <c r="T31" s="1394"/>
      <c r="U31" s="1394"/>
      <c r="V31" s="1394"/>
      <c r="W31" s="1394"/>
      <c r="X31" s="1394"/>
      <c r="Y31" s="1394"/>
      <c r="Z31" s="1394"/>
      <c r="AA31" s="1394"/>
      <c r="AF31" s="1369" t="s">
        <v>672</v>
      </c>
      <c r="AG31" s="1369" t="s">
        <v>669</v>
      </c>
      <c r="AH31" s="1369" t="s">
        <v>664</v>
      </c>
    </row>
    <row r="32" spans="1:34" x14ac:dyDescent="0.35">
      <c r="A32" s="1393" t="str">
        <f>INDEX(AF32:AH32,1,MATCH(Чарти!$B$1,$AF$28:$AH$28,0))</f>
        <v>Прочие инвестиции</v>
      </c>
      <c r="B32" s="1394">
        <f t="shared" ref="B32:J32" si="5">B13</f>
        <v>-1370</v>
      </c>
      <c r="C32" s="1394">
        <f t="shared" si="5"/>
        <v>-989</v>
      </c>
      <c r="D32" s="1394">
        <f t="shared" si="5"/>
        <v>-171</v>
      </c>
      <c r="E32" s="1394">
        <f t="shared" si="5"/>
        <v>-800</v>
      </c>
      <c r="F32" s="1394">
        <f t="shared" si="5"/>
        <v>-561</v>
      </c>
      <c r="G32" s="1394">
        <f t="shared" si="5"/>
        <v>-963</v>
      </c>
      <c r="H32" s="1394">
        <f t="shared" si="5"/>
        <v>58</v>
      </c>
      <c r="I32" s="1394">
        <f t="shared" si="5"/>
        <v>-538</v>
      </c>
      <c r="J32" s="1394">
        <f t="shared" si="5"/>
        <v>-843</v>
      </c>
      <c r="K32" s="1394">
        <f t="shared" ref="K32:L32" si="6">K13</f>
        <v>-1600</v>
      </c>
      <c r="L32" s="1394">
        <f t="shared" si="6"/>
        <v>-928</v>
      </c>
      <c r="M32" s="1394"/>
      <c r="N32" s="1394"/>
      <c r="O32" s="1394"/>
      <c r="P32" s="1394"/>
      <c r="Q32" s="1394"/>
      <c r="R32" s="1394"/>
      <c r="S32" s="1394"/>
      <c r="T32" s="1394"/>
      <c r="U32" s="1394"/>
      <c r="V32" s="1394"/>
      <c r="W32" s="1394"/>
      <c r="X32" s="1394"/>
      <c r="Y32" s="1394"/>
      <c r="Z32" s="1394"/>
      <c r="AA32" s="1394"/>
      <c r="AF32" s="1369" t="s">
        <v>673</v>
      </c>
      <c r="AG32" s="1369" t="s">
        <v>670</v>
      </c>
      <c r="AH32" s="1369" t="s">
        <v>675</v>
      </c>
    </row>
    <row r="33" spans="1:34" x14ac:dyDescent="0.35">
      <c r="A33" s="1393" t="str">
        <f>INDEX(AF33:AH33,1,MATCH(Чарти!$B$1,$AF$28:$AH$28,0))</f>
        <v>Финансовый счет</v>
      </c>
      <c r="B33" s="1394"/>
      <c r="C33" s="1394"/>
      <c r="D33" s="1394"/>
      <c r="E33" s="1394"/>
      <c r="F33" s="1394"/>
      <c r="G33" s="1394"/>
      <c r="H33" s="1394"/>
      <c r="I33" s="1394"/>
      <c r="J33" s="1394"/>
      <c r="K33" s="1394"/>
      <c r="L33" s="1394">
        <f t="shared" ref="L33:AA35" si="7">L4</f>
        <v>-724</v>
      </c>
      <c r="M33" s="1394">
        <f t="shared" si="7"/>
        <v>-1687.1736069111566</v>
      </c>
      <c r="N33" s="1394">
        <f t="shared" si="7"/>
        <v>-1042.6693844210224</v>
      </c>
      <c r="O33" s="1394">
        <f t="shared" si="7"/>
        <v>-946.65619524383817</v>
      </c>
      <c r="P33" s="1394">
        <f t="shared" si="7"/>
        <v>-1312.2188160036326</v>
      </c>
      <c r="Q33" s="1394">
        <f t="shared" si="7"/>
        <v>-395.07903231262355</v>
      </c>
      <c r="R33" s="1394">
        <f t="shared" si="7"/>
        <v>-690.06397758901574</v>
      </c>
      <c r="S33" s="1394">
        <f t="shared" si="7"/>
        <v>-405.53427783507573</v>
      </c>
      <c r="T33" s="1394">
        <f t="shared" si="7"/>
        <v>-123.07613394045495</v>
      </c>
      <c r="U33" s="1394">
        <f t="shared" si="7"/>
        <v>532.72729646689811</v>
      </c>
      <c r="V33" s="1394">
        <f t="shared" si="7"/>
        <v>50.3231205868139</v>
      </c>
      <c r="W33" s="1394">
        <f t="shared" si="7"/>
        <v>156.04013729351013</v>
      </c>
      <c r="X33" s="1394">
        <f t="shared" si="7"/>
        <v>-111.747246161276</v>
      </c>
      <c r="Y33" s="1394">
        <f t="shared" si="7"/>
        <v>-195.8261901767728</v>
      </c>
      <c r="Z33" s="1394">
        <f t="shared" si="7"/>
        <v>-4483.7806993364893</v>
      </c>
      <c r="AA33" s="1394">
        <f t="shared" si="7"/>
        <v>-6552.1736069111566</v>
      </c>
      <c r="AB33" s="1369" t="str">
        <f>INDEX(AF37:AH37,1,MATCH(Чарти!$B$1,$AF$28:$AH$28,0))</f>
        <v>млрд</v>
      </c>
      <c r="AC33" s="1394" t="str">
        <f>IF(Чарти!$B$1="ENG",SUBSTITUTE(TEXT(AA33/1000,"$0,0"),",","."),TEXT(AA33/1000,"$0,0"))</f>
        <v>-$6,6</v>
      </c>
      <c r="AD33" s="1369" t="str">
        <f>AC33&amp;" "&amp;$AB$33</f>
        <v>-$6,6 млрд</v>
      </c>
      <c r="AF33" s="1369" t="s">
        <v>162</v>
      </c>
      <c r="AG33" s="1369" t="s">
        <v>667</v>
      </c>
      <c r="AH33" s="1369" t="s">
        <v>662</v>
      </c>
    </row>
    <row r="34" spans="1:34" x14ac:dyDescent="0.35">
      <c r="A34" s="1393" t="str">
        <f>INDEX(AF34:AH34,1,MATCH(Чарти!$B$1,$AF$28:$AH$28,0))</f>
        <v>Прямые инвестиции</v>
      </c>
      <c r="B34" s="1394"/>
      <c r="C34" s="1394"/>
      <c r="D34" s="1394"/>
      <c r="E34" s="1394"/>
      <c r="F34" s="1394"/>
      <c r="G34" s="1394"/>
      <c r="H34" s="1394"/>
      <c r="I34" s="1394"/>
      <c r="J34" s="1394"/>
      <c r="K34" s="1394"/>
      <c r="L34" s="1394"/>
      <c r="M34" s="1394">
        <f t="shared" si="7"/>
        <v>337.10870130221758</v>
      </c>
      <c r="N34" s="1394">
        <f t="shared" si="7"/>
        <v>390.40861155940388</v>
      </c>
      <c r="O34" s="1394">
        <f t="shared" si="7"/>
        <v>450.38181749499046</v>
      </c>
      <c r="P34" s="1394">
        <f t="shared" si="7"/>
        <v>379.69150639132033</v>
      </c>
      <c r="Q34" s="1394">
        <f t="shared" si="7"/>
        <v>411.30420036547724</v>
      </c>
      <c r="R34" s="1394">
        <f t="shared" si="7"/>
        <v>437.49283299981892</v>
      </c>
      <c r="S34" s="1394">
        <f t="shared" si="7"/>
        <v>417.22480666124363</v>
      </c>
      <c r="T34" s="1394">
        <f t="shared" si="7"/>
        <v>473.66053617996613</v>
      </c>
      <c r="U34" s="1394">
        <f t="shared" si="7"/>
        <v>500.70413094416892</v>
      </c>
      <c r="V34" s="1394">
        <f t="shared" si="7"/>
        <v>514.97107193273666</v>
      </c>
      <c r="W34" s="1394">
        <f t="shared" si="7"/>
        <v>259.92592095411231</v>
      </c>
      <c r="X34" s="1394">
        <f t="shared" si="7"/>
        <v>324.963395759202</v>
      </c>
      <c r="Y34" s="1394">
        <f t="shared" si="7"/>
        <v>365.43656451051481</v>
      </c>
      <c r="Z34" s="1394">
        <f t="shared" si="7"/>
        <v>4926.1653957529552</v>
      </c>
      <c r="AA34" s="1394">
        <f t="shared" si="7"/>
        <v>4694.1087013022179</v>
      </c>
      <c r="AC34" s="1394" t="str">
        <f>IF(Чарти!$B$1="ENG",SUBSTITUTE(TEXT(AA34/1000,"$0,0"),",","."),TEXT(AA34/1000,"$0,0"))</f>
        <v>$4,7</v>
      </c>
      <c r="AD34" s="1369" t="str">
        <f t="shared" ref="AD34:AD36" si="8">AC34&amp;" "&amp;$AB$33</f>
        <v>$4,7 млрд</v>
      </c>
      <c r="AF34" s="1369" t="s">
        <v>671</v>
      </c>
      <c r="AG34" s="1369" t="s">
        <v>668</v>
      </c>
      <c r="AH34" s="1369" t="s">
        <v>663</v>
      </c>
    </row>
    <row r="35" spans="1:34" x14ac:dyDescent="0.35">
      <c r="A35" s="1393" t="str">
        <f>INDEX(AF35:AH35,1,MATCH(Чарти!$B$1,$AF$28:$AH$28,0))</f>
        <v>Портфельные инвестиции</v>
      </c>
      <c r="B35" s="1394"/>
      <c r="C35" s="1394"/>
      <c r="D35" s="1394"/>
      <c r="E35" s="1394"/>
      <c r="F35" s="1394"/>
      <c r="G35" s="1394"/>
      <c r="H35" s="1394"/>
      <c r="I35" s="1394"/>
      <c r="J35" s="1394"/>
      <c r="K35" s="1394"/>
      <c r="L35" s="1394"/>
      <c r="M35" s="1394">
        <f t="shared" si="7"/>
        <v>-154.75</v>
      </c>
      <c r="N35" s="1394">
        <f t="shared" si="7"/>
        <v>-195.77151639344262</v>
      </c>
      <c r="O35" s="1394">
        <f t="shared" si="7"/>
        <v>-240.45739412568304</v>
      </c>
      <c r="P35" s="1394">
        <f t="shared" si="7"/>
        <v>-235.18403489298726</v>
      </c>
      <c r="Q35" s="1394">
        <f t="shared" si="7"/>
        <v>-189.96849681712959</v>
      </c>
      <c r="R35" s="1394">
        <f t="shared" si="7"/>
        <v>-170.21587155189044</v>
      </c>
      <c r="S35" s="1394">
        <f t="shared" si="7"/>
        <v>-193.40052751454797</v>
      </c>
      <c r="T35" s="1394">
        <f t="shared" si="7"/>
        <v>-214.22625453420289</v>
      </c>
      <c r="U35" s="1394">
        <f t="shared" si="7"/>
        <v>-186.83117465249029</v>
      </c>
      <c r="V35" s="1394">
        <f t="shared" si="7"/>
        <v>-257.32257035440546</v>
      </c>
      <c r="W35" s="1394">
        <f t="shared" si="7"/>
        <v>-183.70464247410322</v>
      </c>
      <c r="X35" s="1394">
        <f t="shared" si="7"/>
        <v>-290.26336268027853</v>
      </c>
      <c r="Y35" s="1394">
        <f t="shared" si="7"/>
        <v>-163.03530957030171</v>
      </c>
      <c r="Z35" s="1394">
        <f t="shared" si="7"/>
        <v>-2520.3811555614634</v>
      </c>
      <c r="AA35" s="1394">
        <f t="shared" si="7"/>
        <v>-2499.75</v>
      </c>
      <c r="AC35" s="1394" t="str">
        <f>IF(Чарти!$B$1="ENG",SUBSTITUTE(TEXT(AA35/1000,"$0,0"),",","."),TEXT(AA35/1000,"$0,0"))</f>
        <v>-$2,5</v>
      </c>
      <c r="AD35" s="1369" t="str">
        <f t="shared" si="8"/>
        <v>-$2,5 млрд</v>
      </c>
      <c r="AF35" s="1369" t="s">
        <v>672</v>
      </c>
      <c r="AG35" s="1369" t="s">
        <v>669</v>
      </c>
      <c r="AH35" s="1369" t="s">
        <v>664</v>
      </c>
    </row>
    <row r="36" spans="1:34" x14ac:dyDescent="0.35">
      <c r="A36" s="1393" t="str">
        <f>INDEX(AF36:AH36,1,MATCH(Чарти!$B$1,$AF$28:$AH$28,0))</f>
        <v>Другие инвестиции</v>
      </c>
      <c r="B36" s="1394"/>
      <c r="C36" s="1394"/>
      <c r="D36" s="1394"/>
      <c r="E36" s="1394"/>
      <c r="F36" s="1394"/>
      <c r="G36" s="1394"/>
      <c r="H36" s="1394"/>
      <c r="I36" s="1394"/>
      <c r="J36" s="1394"/>
      <c r="K36" s="1394"/>
      <c r="L36" s="1394"/>
      <c r="M36" s="1394">
        <f t="shared" ref="M36:AA36" si="9">M13</f>
        <v>-1869.5323082133743</v>
      </c>
      <c r="N36" s="1394">
        <f t="shared" si="9"/>
        <v>-1237.3064795869836</v>
      </c>
      <c r="O36" s="1394">
        <f t="shared" si="9"/>
        <v>-1156.5806186131456</v>
      </c>
      <c r="P36" s="1394">
        <f t="shared" si="9"/>
        <v>-1456.7262875019658</v>
      </c>
      <c r="Q36" s="1394">
        <f t="shared" si="9"/>
        <v>-616.41473586097118</v>
      </c>
      <c r="R36" s="1394">
        <f t="shared" si="9"/>
        <v>-957.34093903694418</v>
      </c>
      <c r="S36" s="1394">
        <f t="shared" si="9"/>
        <v>-629.35855698177136</v>
      </c>
      <c r="T36" s="1394">
        <f t="shared" si="9"/>
        <v>-382.51041558621819</v>
      </c>
      <c r="U36" s="1394">
        <f t="shared" si="9"/>
        <v>218.85434017521948</v>
      </c>
      <c r="V36" s="1394">
        <f t="shared" si="9"/>
        <v>-207.32538099151731</v>
      </c>
      <c r="W36" s="1394">
        <f t="shared" si="9"/>
        <v>79.818858813501038</v>
      </c>
      <c r="X36" s="1394">
        <f t="shared" si="9"/>
        <v>-146.44727924019946</v>
      </c>
      <c r="Y36" s="1394">
        <f t="shared" si="9"/>
        <v>-398.2274451169859</v>
      </c>
      <c r="Z36" s="1394">
        <f t="shared" si="9"/>
        <v>-6889.5649395279825</v>
      </c>
      <c r="AA36" s="1394">
        <f t="shared" si="9"/>
        <v>-10574.532308213375</v>
      </c>
      <c r="AC36" s="1394" t="str">
        <f>IF(Чарти!$B$1="ENG",SUBSTITUTE(TEXT(AA36/1000,"$0,0"),",","."),TEXT(AA36/1000,"$0,0"))</f>
        <v>-$10,6</v>
      </c>
      <c r="AD36" s="1369" t="str">
        <f t="shared" si="8"/>
        <v>-$10,6 млрд</v>
      </c>
      <c r="AF36" s="1369" t="s">
        <v>674</v>
      </c>
      <c r="AG36" s="1369" t="s">
        <v>670</v>
      </c>
      <c r="AH36" s="1369" t="s">
        <v>675</v>
      </c>
    </row>
    <row r="37" spans="1:34" x14ac:dyDescent="0.35">
      <c r="B37" s="1393"/>
      <c r="C37" s="1393"/>
      <c r="D37" s="1393"/>
      <c r="E37" s="1393"/>
      <c r="F37" s="1393"/>
      <c r="G37" s="1393"/>
      <c r="H37" s="1393"/>
      <c r="I37" s="1393"/>
      <c r="J37" s="1393"/>
      <c r="K37" s="1393"/>
      <c r="L37" s="1393"/>
      <c r="M37" s="1393"/>
      <c r="N37" s="1393"/>
      <c r="O37" s="1393"/>
      <c r="P37" s="1393"/>
      <c r="Q37" s="1393"/>
      <c r="R37" s="1393"/>
      <c r="S37" s="1393"/>
      <c r="T37" s="1393"/>
      <c r="U37" s="1393"/>
      <c r="V37" s="1393"/>
      <c r="W37" s="1393"/>
      <c r="X37" s="1393"/>
      <c r="Y37" s="1393"/>
      <c r="Z37" s="1393"/>
      <c r="AA37" s="1393"/>
      <c r="AF37" s="1369" t="s">
        <v>486</v>
      </c>
      <c r="AG37" s="1369" t="s">
        <v>495</v>
      </c>
      <c r="AH37" s="1369" t="s">
        <v>486</v>
      </c>
    </row>
    <row r="38" spans="1:34" x14ac:dyDescent="0.35">
      <c r="B38" s="1393"/>
      <c r="C38" s="1393"/>
      <c r="D38" s="1393"/>
      <c r="E38" s="1393"/>
      <c r="F38" s="1393"/>
      <c r="G38" s="1393"/>
      <c r="H38" s="1393"/>
      <c r="I38" s="1393"/>
      <c r="J38" s="1393"/>
      <c r="K38" s="1393"/>
      <c r="L38" s="1393"/>
      <c r="M38" s="1393"/>
      <c r="N38" s="1393"/>
      <c r="O38" s="1393"/>
      <c r="P38" s="1393"/>
      <c r="Q38" s="1393"/>
      <c r="R38" s="1393"/>
      <c r="S38" s="1393"/>
      <c r="T38" s="1393"/>
      <c r="U38" s="1393"/>
      <c r="V38" s="1393"/>
      <c r="W38" s="1393"/>
      <c r="X38" s="1393"/>
      <c r="Y38" s="1393"/>
      <c r="Z38" s="1393"/>
      <c r="AA38" s="1393"/>
    </row>
    <row r="39" spans="1:34" x14ac:dyDescent="0.35">
      <c r="B39" s="1393"/>
      <c r="C39" s="1393"/>
      <c r="D39" s="1393"/>
      <c r="E39" s="1393"/>
      <c r="F39" s="1393"/>
      <c r="G39" s="1393"/>
      <c r="H39" s="1393"/>
      <c r="I39" s="1393"/>
      <c r="J39" s="1393"/>
      <c r="K39" s="1393"/>
      <c r="L39" s="1393"/>
      <c r="M39" s="1393"/>
      <c r="N39" s="1393"/>
      <c r="O39" s="1393"/>
      <c r="P39" s="1393"/>
      <c r="Q39" s="1393"/>
      <c r="R39" s="1393"/>
      <c r="S39" s="1393"/>
      <c r="T39" s="1393"/>
      <c r="U39" s="1393"/>
      <c r="V39" s="1393"/>
      <c r="W39" s="1393"/>
      <c r="X39" s="1393"/>
      <c r="Y39" s="1393"/>
      <c r="Z39" s="1393"/>
      <c r="AA39" s="1393"/>
    </row>
    <row r="40" spans="1:34" x14ac:dyDescent="0.35">
      <c r="B40" s="1393"/>
      <c r="C40" s="1393"/>
      <c r="D40" s="1393"/>
      <c r="E40" s="1393"/>
      <c r="F40" s="1393"/>
      <c r="G40" s="1393"/>
      <c r="H40" s="1393"/>
      <c r="I40" s="1393"/>
      <c r="J40" s="1393"/>
      <c r="K40" s="1393"/>
      <c r="L40" s="1393"/>
      <c r="M40" s="1393"/>
      <c r="N40" s="1393"/>
      <c r="O40" s="1393"/>
      <c r="P40" s="1393"/>
      <c r="Q40" s="1393"/>
      <c r="R40" s="1393"/>
      <c r="S40" s="1393"/>
      <c r="T40" s="1393"/>
      <c r="U40" s="1393"/>
      <c r="V40" s="1393"/>
      <c r="W40" s="1393"/>
      <c r="X40" s="1393"/>
      <c r="Y40" s="1393"/>
      <c r="Z40" s="1393"/>
      <c r="AA40" s="1393"/>
    </row>
    <row r="41" spans="1:34" x14ac:dyDescent="0.35">
      <c r="B41" s="1393"/>
      <c r="C41" s="1393"/>
      <c r="D41" s="1393"/>
      <c r="E41" s="1393"/>
      <c r="F41" s="1393"/>
      <c r="G41" s="1393"/>
      <c r="H41" s="1393"/>
      <c r="I41" s="1393"/>
      <c r="J41" s="1393"/>
      <c r="K41" s="1393"/>
      <c r="L41" s="1393"/>
      <c r="M41" s="1393"/>
      <c r="N41" s="1393"/>
      <c r="O41" s="1393"/>
      <c r="P41" s="1393"/>
      <c r="Q41" s="1393"/>
      <c r="R41" s="1393"/>
      <c r="S41" s="1393"/>
      <c r="T41" s="1393"/>
      <c r="U41" s="1393"/>
      <c r="V41" s="1393"/>
      <c r="W41" s="1393"/>
      <c r="X41" s="1393"/>
      <c r="Y41" s="1393"/>
      <c r="Z41" s="1393"/>
      <c r="AA41" s="1393"/>
    </row>
    <row r="42" spans="1:34" x14ac:dyDescent="0.35">
      <c r="B42" s="1393"/>
      <c r="C42" s="1393"/>
      <c r="D42" s="1393"/>
      <c r="E42" s="1393"/>
      <c r="F42" s="1393"/>
      <c r="G42" s="1393"/>
      <c r="H42" s="1393"/>
      <c r="I42" s="1393"/>
      <c r="J42" s="1393"/>
      <c r="K42" s="1393"/>
      <c r="L42" s="1393"/>
      <c r="M42" s="1393"/>
      <c r="N42" s="1393"/>
      <c r="O42" s="1393"/>
      <c r="P42" s="1393"/>
      <c r="Q42" s="1393"/>
      <c r="R42" s="1393"/>
      <c r="S42" s="1393"/>
      <c r="T42" s="1393"/>
      <c r="U42" s="1393"/>
      <c r="V42" s="1393"/>
      <c r="W42" s="1393"/>
      <c r="X42" s="1393"/>
      <c r="Y42" s="1393"/>
      <c r="Z42" s="1393"/>
      <c r="AA42" s="1393"/>
    </row>
    <row r="43" spans="1:34" x14ac:dyDescent="0.35">
      <c r="B43" s="1393"/>
      <c r="C43" s="1393"/>
      <c r="D43" s="1393"/>
      <c r="E43" s="1393"/>
      <c r="F43" s="1393"/>
      <c r="G43" s="1393"/>
      <c r="H43" s="1393"/>
      <c r="I43" s="1393"/>
      <c r="J43" s="1393"/>
      <c r="K43" s="1393"/>
      <c r="L43" s="1393"/>
      <c r="M43" s="1393"/>
      <c r="N43" s="1393"/>
      <c r="O43" s="1393"/>
      <c r="P43" s="1393"/>
      <c r="Q43" s="1393"/>
      <c r="R43" s="1393"/>
      <c r="S43" s="1393"/>
      <c r="T43" s="1393"/>
      <c r="U43" s="1393"/>
      <c r="V43" s="1393"/>
      <c r="W43" s="1393"/>
      <c r="X43" s="1393"/>
      <c r="Y43" s="1393"/>
      <c r="Z43" s="1393"/>
      <c r="AA43" s="1393"/>
    </row>
    <row r="44" spans="1:34" x14ac:dyDescent="0.35">
      <c r="B44" s="1393"/>
      <c r="C44" s="1393"/>
      <c r="D44" s="1393"/>
      <c r="E44" s="1393"/>
      <c r="F44" s="1393"/>
      <c r="G44" s="1393"/>
      <c r="H44" s="1393"/>
      <c r="I44" s="1393"/>
      <c r="J44" s="1393"/>
      <c r="K44" s="1393"/>
      <c r="L44" s="1393"/>
      <c r="M44" s="1393"/>
      <c r="N44" s="1393"/>
      <c r="O44" s="1393"/>
      <c r="P44" s="1393"/>
      <c r="Q44" s="1393"/>
      <c r="R44" s="1393"/>
      <c r="S44" s="1393"/>
      <c r="T44" s="1393"/>
      <c r="U44" s="1393"/>
      <c r="V44" s="1393"/>
      <c r="W44" s="1393"/>
      <c r="X44" s="1393"/>
      <c r="Y44" s="1393"/>
      <c r="Z44" s="1393"/>
      <c r="AA44" s="1393"/>
    </row>
    <row r="45" spans="1:34" x14ac:dyDescent="0.35">
      <c r="B45" s="1393"/>
      <c r="C45" s="1393"/>
      <c r="D45" s="1393"/>
      <c r="E45" s="1393"/>
      <c r="F45" s="1393"/>
      <c r="G45" s="1393"/>
      <c r="H45" s="1393"/>
      <c r="I45" s="1393"/>
      <c r="J45" s="1393"/>
      <c r="K45" s="1393"/>
      <c r="L45" s="1393"/>
      <c r="M45" s="1393"/>
      <c r="N45" s="1393"/>
      <c r="O45" s="1393"/>
      <c r="P45" s="1393"/>
      <c r="Q45" s="1393"/>
      <c r="R45" s="1393"/>
      <c r="S45" s="1393"/>
      <c r="T45" s="1393"/>
      <c r="U45" s="1393"/>
      <c r="V45" s="1393"/>
      <c r="W45" s="1393"/>
      <c r="X45" s="1393"/>
      <c r="Y45" s="1393"/>
      <c r="Z45" s="1393"/>
      <c r="AA45" s="1393"/>
    </row>
    <row r="46" spans="1:34" x14ac:dyDescent="0.35">
      <c r="B46" s="1393"/>
      <c r="C46" s="1393"/>
      <c r="D46" s="1393"/>
      <c r="E46" s="1393"/>
      <c r="F46" s="1393"/>
      <c r="G46" s="1393"/>
      <c r="H46" s="1393"/>
      <c r="I46" s="1393"/>
      <c r="J46" s="1393"/>
      <c r="K46" s="1393"/>
      <c r="L46" s="1393"/>
      <c r="M46" s="1393"/>
      <c r="N46" s="1393"/>
      <c r="O46" s="1393"/>
      <c r="P46" s="1393"/>
      <c r="Q46" s="1393"/>
      <c r="R46" s="1393"/>
      <c r="S46" s="1393"/>
      <c r="T46" s="1393"/>
      <c r="U46" s="1393"/>
      <c r="V46" s="1393"/>
      <c r="W46" s="1393"/>
      <c r="X46" s="1393"/>
      <c r="Y46" s="1393"/>
      <c r="Z46" s="1393"/>
      <c r="AA46" s="1393"/>
    </row>
    <row r="47" spans="1:34" x14ac:dyDescent="0.35">
      <c r="B47" s="1393"/>
      <c r="C47" s="1393"/>
      <c r="D47" s="1393"/>
      <c r="E47" s="1393"/>
      <c r="F47" s="1393"/>
      <c r="G47" s="1393"/>
      <c r="H47" s="1393"/>
      <c r="I47" s="1393"/>
      <c r="J47" s="1393"/>
      <c r="K47" s="1393"/>
      <c r="L47" s="1393"/>
      <c r="M47" s="1393"/>
      <c r="N47" s="1393"/>
      <c r="O47" s="1393"/>
      <c r="P47" s="1393"/>
      <c r="Q47" s="1393"/>
      <c r="R47" s="1393"/>
      <c r="S47" s="1393"/>
      <c r="T47" s="1393"/>
      <c r="U47" s="1393"/>
      <c r="V47" s="1393"/>
      <c r="W47" s="1393"/>
      <c r="X47" s="1393"/>
      <c r="Y47" s="1393"/>
      <c r="Z47" s="1393"/>
      <c r="AA47" s="1393"/>
    </row>
    <row r="48" spans="1:34" x14ac:dyDescent="0.35">
      <c r="B48" s="1393"/>
      <c r="C48" s="1393"/>
      <c r="D48" s="1393"/>
      <c r="E48" s="1393"/>
      <c r="F48" s="1393"/>
      <c r="G48" s="1393"/>
      <c r="H48" s="1393"/>
      <c r="I48" s="1393"/>
      <c r="J48" s="1393"/>
      <c r="K48" s="1393"/>
      <c r="L48" s="1393"/>
      <c r="M48" s="1393"/>
      <c r="N48" s="1393"/>
      <c r="O48" s="1393"/>
      <c r="P48" s="1393"/>
      <c r="Q48" s="1393"/>
      <c r="R48" s="1393"/>
      <c r="S48" s="1393"/>
      <c r="T48" s="1393"/>
      <c r="U48" s="1393"/>
      <c r="V48" s="1393"/>
      <c r="W48" s="1393"/>
      <c r="X48" s="1393"/>
      <c r="Y48" s="1393"/>
      <c r="Z48" s="1393"/>
      <c r="AA48" s="1393"/>
    </row>
    <row r="49" spans="2:27" x14ac:dyDescent="0.35">
      <c r="B49" s="1393"/>
      <c r="C49" s="1393"/>
      <c r="D49" s="1393"/>
      <c r="E49" s="1393"/>
      <c r="F49" s="1393"/>
      <c r="G49" s="1393"/>
      <c r="H49" s="1393"/>
      <c r="I49" s="1393"/>
      <c r="J49" s="1393"/>
      <c r="K49" s="1393"/>
      <c r="L49" s="1393"/>
      <c r="M49" s="1393"/>
      <c r="N49" s="1393"/>
      <c r="O49" s="1393"/>
      <c r="P49" s="1393"/>
      <c r="Q49" s="1393"/>
      <c r="R49" s="1393"/>
      <c r="S49" s="1393"/>
      <c r="T49" s="1393"/>
      <c r="U49" s="1393"/>
      <c r="V49" s="1393"/>
      <c r="W49" s="1393"/>
      <c r="X49" s="1393"/>
      <c r="Y49" s="1393"/>
      <c r="Z49" s="1393"/>
      <c r="AA49" s="1393"/>
    </row>
    <row r="50" spans="2:27" x14ac:dyDescent="0.35">
      <c r="B50" s="1393"/>
      <c r="C50" s="1393"/>
      <c r="D50" s="1393"/>
      <c r="E50" s="1393"/>
      <c r="F50" s="1393"/>
      <c r="G50" s="1393"/>
      <c r="H50" s="1393"/>
      <c r="I50" s="1393"/>
      <c r="J50" s="1393"/>
      <c r="K50" s="1393"/>
      <c r="L50" s="1393"/>
      <c r="M50" s="1393"/>
      <c r="N50" s="1393"/>
      <c r="O50" s="1393"/>
      <c r="P50" s="1393"/>
      <c r="Q50" s="1393"/>
      <c r="R50" s="1393"/>
      <c r="S50" s="1393"/>
      <c r="T50" s="1393"/>
      <c r="U50" s="1393"/>
      <c r="V50" s="1393"/>
      <c r="W50" s="1393"/>
      <c r="X50" s="1393"/>
      <c r="Y50" s="1393"/>
      <c r="Z50" s="1393"/>
      <c r="AA50" s="1393"/>
    </row>
    <row r="51" spans="2:27" x14ac:dyDescent="0.35">
      <c r="B51" s="1393"/>
      <c r="C51" s="1393"/>
      <c r="D51" s="1393"/>
      <c r="E51" s="1393"/>
      <c r="F51" s="1393"/>
      <c r="G51" s="1393"/>
      <c r="H51" s="1393"/>
      <c r="I51" s="1393"/>
      <c r="J51" s="1393"/>
      <c r="K51" s="1393"/>
      <c r="L51" s="1393"/>
      <c r="M51" s="1393"/>
      <c r="N51" s="1393"/>
      <c r="O51" s="1393"/>
      <c r="P51" s="1393"/>
      <c r="Q51" s="1393"/>
      <c r="R51" s="1393"/>
      <c r="S51" s="1393"/>
      <c r="T51" s="1393"/>
      <c r="U51" s="1393"/>
      <c r="V51" s="1393"/>
      <c r="W51" s="1393"/>
      <c r="X51" s="1393"/>
      <c r="Y51" s="1393"/>
      <c r="Z51" s="1393"/>
      <c r="AA51" s="1393"/>
    </row>
    <row r="52" spans="2:27" x14ac:dyDescent="0.35">
      <c r="B52" s="1393"/>
      <c r="C52" s="1393"/>
      <c r="D52" s="1393"/>
      <c r="E52" s="1393"/>
      <c r="F52" s="1393"/>
      <c r="G52" s="1393"/>
      <c r="H52" s="1393"/>
      <c r="I52" s="1393"/>
      <c r="J52" s="1393"/>
      <c r="K52" s="1393"/>
      <c r="L52" s="1393"/>
      <c r="M52" s="1393"/>
      <c r="N52" s="1393"/>
      <c r="O52" s="1393"/>
      <c r="P52" s="1393"/>
      <c r="Q52" s="1393"/>
      <c r="R52" s="1393"/>
      <c r="S52" s="1393"/>
      <c r="T52" s="1393"/>
      <c r="U52" s="1393"/>
      <c r="V52" s="1393"/>
      <c r="W52" s="1393"/>
      <c r="X52" s="1393"/>
      <c r="Y52" s="1393"/>
      <c r="Z52" s="1393"/>
      <c r="AA52" s="1393"/>
    </row>
    <row r="53" spans="2:27" x14ac:dyDescent="0.35">
      <c r="B53" s="1393"/>
      <c r="C53" s="1393"/>
      <c r="D53" s="1393"/>
      <c r="E53" s="1393"/>
      <c r="F53" s="1393"/>
      <c r="G53" s="1393"/>
      <c r="H53" s="1393"/>
      <c r="I53" s="1393"/>
      <c r="J53" s="1393"/>
      <c r="K53" s="1393"/>
      <c r="L53" s="1393"/>
      <c r="M53" s="1393"/>
      <c r="N53" s="1393"/>
      <c r="O53" s="1393"/>
      <c r="P53" s="1393"/>
      <c r="Q53" s="1393"/>
      <c r="R53" s="1393"/>
      <c r="S53" s="1393"/>
      <c r="T53" s="1393"/>
      <c r="U53" s="1393"/>
      <c r="V53" s="1393"/>
      <c r="W53" s="1393"/>
      <c r="X53" s="1393"/>
      <c r="Y53" s="1393"/>
      <c r="Z53" s="1393"/>
      <c r="AA53" s="1393"/>
    </row>
  </sheetData>
  <mergeCells count="4">
    <mergeCell ref="B1:M1"/>
    <mergeCell ref="N1:Y1"/>
    <mergeCell ref="B27:M27"/>
    <mergeCell ref="N27:Y27"/>
  </mergeCells>
  <conditionalFormatting sqref="B18:M18 AA18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22:M22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7:M17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18:Z18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22:Y22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17:Y17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1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22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17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C5DA6-EF7F-42B1-A4A4-CFA4496C4AD6}">
  <dimension ref="A1:Q23"/>
  <sheetViews>
    <sheetView zoomScaleNormal="100" workbookViewId="0">
      <selection activeCell="O9" sqref="O9:Q9"/>
    </sheetView>
  </sheetViews>
  <sheetFormatPr defaultColWidth="8.69921875" defaultRowHeight="18" x14ac:dyDescent="0.35"/>
  <cols>
    <col min="1" max="1" width="24.8984375" style="1353" customWidth="1"/>
    <col min="2" max="4" width="9" style="1353" bestFit="1" customWidth="1"/>
    <col min="5" max="5" width="9.09765625" style="1353" bestFit="1" customWidth="1"/>
    <col min="6" max="8" width="9" style="1353" bestFit="1" customWidth="1"/>
    <col min="9" max="9" width="9.09765625" style="1353" bestFit="1" customWidth="1"/>
    <col min="10" max="13" width="9" style="1353" bestFit="1" customWidth="1"/>
    <col min="14" max="14" width="13.5" style="1353" customWidth="1"/>
    <col min="15" max="15" width="18.09765625" style="1353" customWidth="1"/>
    <col min="16" max="16384" width="8.69921875" style="1353"/>
  </cols>
  <sheetData>
    <row r="1" spans="1:17" s="1358" customFormat="1" ht="29.25" customHeight="1" x14ac:dyDescent="0.35">
      <c r="A1" s="1440" t="s">
        <v>603</v>
      </c>
      <c r="B1" s="1440"/>
      <c r="C1" s="1440"/>
      <c r="D1" s="1440"/>
      <c r="E1" s="1440"/>
      <c r="F1" s="1440"/>
      <c r="G1" s="1440"/>
      <c r="H1" s="1440"/>
      <c r="I1" s="1440"/>
      <c r="J1" s="1440"/>
      <c r="K1" s="1440"/>
      <c r="L1" s="1440"/>
      <c r="M1" s="1440"/>
      <c r="N1" s="1440"/>
      <c r="O1" s="1440"/>
    </row>
    <row r="2" spans="1:17" s="1358" customFormat="1" ht="33.6" customHeight="1" x14ac:dyDescent="0.35">
      <c r="A2" s="1359" t="s">
        <v>604</v>
      </c>
      <c r="B2" s="1359">
        <v>1</v>
      </c>
      <c r="C2" s="1359">
        <v>2</v>
      </c>
      <c r="D2" s="1359">
        <v>3</v>
      </c>
      <c r="E2" s="1359">
        <v>4</v>
      </c>
      <c r="F2" s="1359">
        <v>5</v>
      </c>
      <c r="G2" s="1359">
        <v>6</v>
      </c>
      <c r="H2" s="1359">
        <v>7</v>
      </c>
      <c r="I2" s="1359">
        <v>8</v>
      </c>
      <c r="J2" s="1359">
        <v>9</v>
      </c>
      <c r="K2" s="1359">
        <v>10</v>
      </c>
      <c r="L2" s="1359">
        <v>11</v>
      </c>
      <c r="M2" s="1359">
        <v>12</v>
      </c>
      <c r="N2" s="1360" t="s">
        <v>605</v>
      </c>
      <c r="O2" s="1360" t="s">
        <v>606</v>
      </c>
    </row>
    <row r="3" spans="1:17" x14ac:dyDescent="0.35">
      <c r="A3" s="1361">
        <v>2021</v>
      </c>
      <c r="B3" s="1355">
        <v>0.52300000000000002</v>
      </c>
      <c r="C3" s="1355">
        <v>0.56999999999999995</v>
      </c>
      <c r="D3" s="1355">
        <v>0.28999999999999998</v>
      </c>
      <c r="E3" s="1355">
        <v>0.16900000000000001</v>
      </c>
      <c r="F3" s="1355">
        <v>0.30599999999999999</v>
      </c>
      <c r="G3" s="1355">
        <v>0.19600000000000001</v>
      </c>
      <c r="H3" s="1355">
        <v>0.19400000000000001</v>
      </c>
      <c r="I3" s="1355">
        <v>0.64700000000000002</v>
      </c>
      <c r="J3" s="1355">
        <v>0.499</v>
      </c>
      <c r="K3" s="1355">
        <v>0.53600000000000003</v>
      </c>
      <c r="L3" s="1355">
        <v>0.82399999999999995</v>
      </c>
      <c r="M3" s="1355">
        <v>0.36699999999999999</v>
      </c>
      <c r="N3" s="1362">
        <f t="shared" ref="N3:N5" si="0">SUM(B3:M3)</f>
        <v>5.1210000000000004</v>
      </c>
      <c r="O3" s="1361" t="str">
        <f>"$"&amp;ROUND(N3,1)&amp;" млрд "</f>
        <v xml:space="preserve">$5,1 млрд </v>
      </c>
    </row>
    <row r="4" spans="1:17" x14ac:dyDescent="0.35">
      <c r="A4" s="1361">
        <v>2022</v>
      </c>
      <c r="B4" s="1355">
        <v>0.80900000000000005</v>
      </c>
      <c r="C4" s="1355">
        <v>0.94299999999999995</v>
      </c>
      <c r="D4" s="1355">
        <v>0.74299999999999999</v>
      </c>
      <c r="E4" s="1355">
        <v>0.86799999999999999</v>
      </c>
      <c r="F4" s="1355">
        <v>1.1100000000000001</v>
      </c>
      <c r="G4" s="1355">
        <v>0.76800000000000002</v>
      </c>
      <c r="H4" s="1355">
        <v>0.77900000000000003</v>
      </c>
      <c r="I4" s="1355">
        <v>0.77400000000000002</v>
      </c>
      <c r="J4" s="1355">
        <v>1.0900000000000001</v>
      </c>
      <c r="K4" s="1355">
        <v>0.876</v>
      </c>
      <c r="L4" s="1355">
        <v>0.66600000000000004</v>
      </c>
      <c r="M4" s="1355">
        <v>0.86099999999999999</v>
      </c>
      <c r="N4" s="1362">
        <f t="shared" si="0"/>
        <v>10.287000000000001</v>
      </c>
      <c r="O4" s="1361" t="str">
        <f t="shared" ref="O4:O6" si="1">"$"&amp;ROUND(N4,1)&amp;" млрд "</f>
        <v xml:space="preserve">$10,3 млрд </v>
      </c>
    </row>
    <row r="5" spans="1:17" x14ac:dyDescent="0.35">
      <c r="A5" s="1361">
        <v>2023</v>
      </c>
      <c r="B5" s="1355">
        <f>B22/1000</f>
        <v>1.012</v>
      </c>
      <c r="C5" s="1355">
        <f>C22/1000</f>
        <v>1.044</v>
      </c>
      <c r="D5" s="1355">
        <f t="shared" ref="C5:M6" si="2">D22/1000</f>
        <v>1.2</v>
      </c>
      <c r="E5" s="1355">
        <f t="shared" si="2"/>
        <v>1.04</v>
      </c>
      <c r="F5" s="1355">
        <f t="shared" si="2"/>
        <v>1.0780000000000001</v>
      </c>
      <c r="G5" s="1355">
        <f t="shared" si="2"/>
        <v>0.751</v>
      </c>
      <c r="H5" s="1355">
        <f t="shared" si="2"/>
        <v>0.55700000000000005</v>
      </c>
      <c r="I5" s="1355">
        <f t="shared" si="2"/>
        <v>0.65500000000000003</v>
      </c>
      <c r="J5" s="1355">
        <f t="shared" si="2"/>
        <v>0.77100000000000002</v>
      </c>
      <c r="K5" s="1355">
        <f t="shared" si="2"/>
        <v>1.0900000000000001</v>
      </c>
      <c r="L5" s="1355">
        <f t="shared" si="2"/>
        <v>1.1140000000000001</v>
      </c>
      <c r="M5" s="1355">
        <f t="shared" si="2"/>
        <v>1.2</v>
      </c>
      <c r="N5" s="1362">
        <f t="shared" si="0"/>
        <v>11.512000000000002</v>
      </c>
      <c r="O5" s="1361" t="str">
        <f t="shared" si="1"/>
        <v xml:space="preserve">$11,5 млрд </v>
      </c>
    </row>
    <row r="6" spans="1:17" x14ac:dyDescent="0.35">
      <c r="A6" s="1361">
        <v>2024</v>
      </c>
      <c r="B6" s="1355">
        <f>B23/1000</f>
        <v>1.1000000000000001</v>
      </c>
      <c r="C6" s="1355">
        <f t="shared" si="2"/>
        <v>1</v>
      </c>
      <c r="D6" s="1355">
        <f t="shared" si="2"/>
        <v>1.1000000000000001</v>
      </c>
      <c r="E6" s="1355">
        <f t="shared" si="2"/>
        <v>0.9</v>
      </c>
      <c r="F6" s="1355">
        <f t="shared" si="2"/>
        <v>0.85</v>
      </c>
      <c r="G6" s="1355">
        <f t="shared" si="2"/>
        <v>0.85</v>
      </c>
      <c r="H6" s="1355">
        <f t="shared" si="2"/>
        <v>0.8</v>
      </c>
      <c r="I6" s="1355">
        <f t="shared" si="2"/>
        <v>0.7</v>
      </c>
      <c r="J6" s="1355">
        <f t="shared" si="2"/>
        <v>0.7</v>
      </c>
      <c r="K6" s="1355">
        <f t="shared" si="2"/>
        <v>0.75</v>
      </c>
      <c r="L6" s="1355">
        <f t="shared" si="2"/>
        <v>0.9</v>
      </c>
      <c r="M6" s="1355">
        <f t="shared" si="2"/>
        <v>0.9</v>
      </c>
      <c r="N6" s="1362">
        <f t="shared" ref="N6" si="3">SUM(B6:M6)</f>
        <v>10.55</v>
      </c>
      <c r="O6" s="1361" t="str">
        <f t="shared" si="1"/>
        <v xml:space="preserve">$10,6 млрд </v>
      </c>
    </row>
    <row r="9" spans="1:17" x14ac:dyDescent="0.35">
      <c r="O9" s="1353" t="s">
        <v>336</v>
      </c>
      <c r="P9" s="1353" t="s">
        <v>337</v>
      </c>
      <c r="Q9" s="1353" t="s">
        <v>334</v>
      </c>
    </row>
    <row r="10" spans="1:17" x14ac:dyDescent="0.35">
      <c r="H10" s="1353" t="s">
        <v>335</v>
      </c>
      <c r="N10" s="1353" t="str">
        <f>INDEX($O10:$Q10,1,MATCH(Чарти!$B$1,$O$9:$Q$9,0))</f>
        <v xml:space="preserve">$5,1 млрд </v>
      </c>
      <c r="O10" s="1353" t="str">
        <f t="shared" ref="O10:O11" si="4">O3</f>
        <v xml:space="preserve">$5,1 млрд </v>
      </c>
      <c r="P10" s="1353" t="s">
        <v>610</v>
      </c>
      <c r="Q10" s="1353" t="str">
        <f>O3</f>
        <v xml:space="preserve">$5,1 млрд </v>
      </c>
    </row>
    <row r="11" spans="1:17" x14ac:dyDescent="0.35">
      <c r="H11" s="1363" t="s">
        <v>334</v>
      </c>
      <c r="I11" s="1353" t="s">
        <v>607</v>
      </c>
      <c r="N11" s="1353" t="str">
        <f>INDEX($O11:$Q11,1,MATCH(Чарти!$B$1,$O$9:$Q$9,0))</f>
        <v xml:space="preserve">$10,3 млрд </v>
      </c>
      <c r="O11" s="1353" t="str">
        <f t="shared" si="4"/>
        <v xml:space="preserve">$10,3 млрд </v>
      </c>
      <c r="P11" s="1353" t="s">
        <v>611</v>
      </c>
      <c r="Q11" s="1353" t="str">
        <f t="shared" ref="Q11:Q13" si="5">O4</f>
        <v xml:space="preserve">$10,3 млрд </v>
      </c>
    </row>
    <row r="12" spans="1:17" x14ac:dyDescent="0.35">
      <c r="H12" s="1363" t="s">
        <v>336</v>
      </c>
      <c r="I12" s="1353" t="s">
        <v>608</v>
      </c>
      <c r="N12" s="1353" t="str">
        <f>INDEX($O12:$Q12,1,MATCH(Чарти!$B$1,$O$9:$Q$9,0))</f>
        <v xml:space="preserve">$11,5 млрд </v>
      </c>
      <c r="O12" s="1353" t="str">
        <f>O5</f>
        <v xml:space="preserve">$11,5 млрд </v>
      </c>
      <c r="P12" s="1353" t="s">
        <v>612</v>
      </c>
      <c r="Q12" s="1353" t="str">
        <f t="shared" si="5"/>
        <v xml:space="preserve">$11,5 млрд </v>
      </c>
    </row>
    <row r="13" spans="1:17" x14ac:dyDescent="0.35">
      <c r="H13" s="1363" t="s">
        <v>337</v>
      </c>
      <c r="I13" s="1353" t="s">
        <v>609</v>
      </c>
      <c r="N13" s="1353" t="str">
        <f>INDEX($O13:$Q13,1,MATCH(Чарти!$B$1,$O$9:$Q$9,0))</f>
        <v xml:space="preserve">$10,6 млрд </v>
      </c>
      <c r="O13" s="1353" t="str">
        <f>O6</f>
        <v xml:space="preserve">$10,6 млрд </v>
      </c>
      <c r="P13" s="1353" t="s">
        <v>613</v>
      </c>
      <c r="Q13" s="1353" t="str">
        <f t="shared" si="5"/>
        <v xml:space="preserve">$10,6 млрд </v>
      </c>
    </row>
    <row r="22" spans="1:14" x14ac:dyDescent="0.35">
      <c r="A22" s="1361">
        <v>2023</v>
      </c>
      <c r="B22" s="1354">
        <f>'ПБ V-1 (fin min)'!AX36</f>
        <v>1012</v>
      </c>
      <c r="C22" s="1354">
        <f>'ПБ V-1 (fin min)'!AY36</f>
        <v>1044</v>
      </c>
      <c r="D22" s="1354">
        <f>'ПБ V-1 (fin min)'!AZ36</f>
        <v>1200</v>
      </c>
      <c r="E22" s="1354">
        <f>'ПБ V-1 (fin min)'!BA36</f>
        <v>1040</v>
      </c>
      <c r="F22" s="1354">
        <f>'ПБ V-1 (fin min)'!BB36</f>
        <v>1078</v>
      </c>
      <c r="G22" s="1354">
        <f>'ПБ V-1 (fin min)'!BC36</f>
        <v>751</v>
      </c>
      <c r="H22" s="1354">
        <f>'ПБ V-1 (fin min)'!BD36</f>
        <v>557</v>
      </c>
      <c r="I22" s="1354">
        <f>'ПБ V-1 (fin min)'!BE36</f>
        <v>655</v>
      </c>
      <c r="J22" s="1354">
        <f>'ПБ V-1 (fin min)'!BF36</f>
        <v>771</v>
      </c>
      <c r="K22" s="1354">
        <f>'ПБ V-1 (fin min)'!BG36</f>
        <v>1090</v>
      </c>
      <c r="L22" s="1354">
        <f>'ПБ V-1 (fin min)'!BH36</f>
        <v>1114</v>
      </c>
      <c r="M22" s="1354">
        <f>'ПБ V-1 (fin min)'!BI36</f>
        <v>1200</v>
      </c>
      <c r="N22" s="1354"/>
    </row>
    <row r="23" spans="1:14" x14ac:dyDescent="0.35">
      <c r="A23" s="1361">
        <v>2024</v>
      </c>
      <c r="B23" s="1354">
        <f>'ПБ V-1 (fin min)'!BJ36</f>
        <v>1100</v>
      </c>
      <c r="C23" s="1354">
        <f>'ПБ V-1 (fin min)'!BK36</f>
        <v>1000</v>
      </c>
      <c r="D23" s="1354">
        <f>'ПБ V-1 (fin min)'!BL36</f>
        <v>1100</v>
      </c>
      <c r="E23" s="1354">
        <f>'ПБ V-1 (fin min)'!BM36</f>
        <v>900</v>
      </c>
      <c r="F23" s="1354">
        <f>'ПБ V-1 (fin min)'!BN36</f>
        <v>850</v>
      </c>
      <c r="G23" s="1354">
        <f>'ПБ V-1 (fin min)'!BO36</f>
        <v>850</v>
      </c>
      <c r="H23" s="1354">
        <f>'ПБ V-1 (fin min)'!BP36</f>
        <v>800</v>
      </c>
      <c r="I23" s="1354">
        <f>'ПБ V-1 (fin min)'!BQ36</f>
        <v>700</v>
      </c>
      <c r="J23" s="1354">
        <f>'ПБ V-1 (fin min)'!BR36</f>
        <v>700</v>
      </c>
      <c r="K23" s="1354">
        <f>'ПБ V-1 (fin min)'!BS36</f>
        <v>750</v>
      </c>
      <c r="L23" s="1354">
        <f>'ПБ V-1 (fin min)'!BT36</f>
        <v>900</v>
      </c>
      <c r="M23" s="1354">
        <f>'ПБ V-1 (fin min)'!BU36</f>
        <v>900</v>
      </c>
    </row>
  </sheetData>
  <mergeCells count="1">
    <mergeCell ref="A1:O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AA5B7-6496-4EC2-AD85-45169512E3D8}">
  <dimension ref="A2:J6"/>
  <sheetViews>
    <sheetView workbookViewId="0">
      <selection activeCell="I9" sqref="I9"/>
    </sheetView>
  </sheetViews>
  <sheetFormatPr defaultColWidth="8.69921875" defaultRowHeight="18" x14ac:dyDescent="0.35"/>
  <cols>
    <col min="1" max="1" width="19.8984375" style="1353" bestFit="1" customWidth="1"/>
    <col min="2" max="16384" width="8.69921875" style="1353"/>
  </cols>
  <sheetData>
    <row r="2" spans="1:10" x14ac:dyDescent="0.35">
      <c r="H2" s="1353" t="s">
        <v>336</v>
      </c>
      <c r="I2" s="1353" t="s">
        <v>337</v>
      </c>
      <c r="J2" s="1353" t="s">
        <v>334</v>
      </c>
    </row>
    <row r="3" spans="1:10" x14ac:dyDescent="0.35">
      <c r="A3" s="1353" t="str">
        <f>INDEX($H3:$J3,1,MATCH(Чарти!$B$1,$H$2:$J$2,0))</f>
        <v>Внешнее финансирование</v>
      </c>
      <c r="B3" s="1354">
        <f>'ПБ V-1 (fin min)'!BW54</f>
        <v>31447.819264006834</v>
      </c>
      <c r="C3" s="1354">
        <f>'ПБ V-1 (fin min)'!BV54</f>
        <v>30699.999999999996</v>
      </c>
      <c r="D3" s="1355">
        <f t="shared" ref="D3:E5" si="0">B3/1000</f>
        <v>31.447819264006835</v>
      </c>
      <c r="E3" s="1355">
        <f t="shared" si="0"/>
        <v>30.699999999999996</v>
      </c>
      <c r="H3" s="1353" t="s">
        <v>576</v>
      </c>
      <c r="I3" s="1353" t="s">
        <v>577</v>
      </c>
      <c r="J3" s="1353" t="s">
        <v>578</v>
      </c>
    </row>
    <row r="4" spans="1:10" x14ac:dyDescent="0.35">
      <c r="A4" s="1353" t="str">
        <f>INDEX($H4:$J4,1,MATCH(Чарти!$B$1,$H$2:$J$2,0))</f>
        <v>Гранты</v>
      </c>
      <c r="B4" s="1354">
        <f>'ПБ V-1 (fin min)'!BW55</f>
        <v>11583</v>
      </c>
      <c r="C4" s="1354">
        <f>'ПБ V-1 (fin min)'!BV55</f>
        <v>13000</v>
      </c>
      <c r="D4" s="1355">
        <f t="shared" si="0"/>
        <v>11.583</v>
      </c>
      <c r="E4" s="1355">
        <f t="shared" si="0"/>
        <v>13</v>
      </c>
      <c r="H4" s="1353" t="s">
        <v>579</v>
      </c>
      <c r="I4" s="1353" t="s">
        <v>580</v>
      </c>
      <c r="J4" s="1353" t="s">
        <v>581</v>
      </c>
    </row>
    <row r="5" spans="1:10" x14ac:dyDescent="0.35">
      <c r="A5" s="1353" t="str">
        <f>INDEX($H5:$J5,1,MATCH(Чарти!$B$1,$H$2:$J$2,0))</f>
        <v>Валютные ОВГЗ</v>
      </c>
      <c r="B5" s="1354">
        <f>'ПБ V-1 (fin min)'!BW53</f>
        <v>4490.6000000000004</v>
      </c>
      <c r="C5" s="1354">
        <f>'ПБ V-1 (fin min)'!BV53</f>
        <v>4194.4428604000004</v>
      </c>
      <c r="D5" s="1355">
        <f>B5/1000</f>
        <v>4.4906000000000006</v>
      </c>
      <c r="E5" s="1355">
        <f t="shared" si="0"/>
        <v>4.1944428604000006</v>
      </c>
      <c r="H5" s="1353" t="s">
        <v>582</v>
      </c>
      <c r="I5" s="1353" t="s">
        <v>583</v>
      </c>
      <c r="J5" s="1353" t="s">
        <v>584</v>
      </c>
    </row>
    <row r="6" spans="1:10" x14ac:dyDescent="0.35">
      <c r="D6" s="1355">
        <f>D3+D4+D5</f>
        <v>47.521419264006838</v>
      </c>
      <c r="E6" s="1355">
        <f>E3+E4+E5</f>
        <v>47.894442860399998</v>
      </c>
      <c r="F6" s="1353" t="str">
        <f>TEXT(D6,"0")&amp;INDEX($H6:$J6,1,MATCH(Чарти!$B$1,$H$2:$J$2,0))</f>
        <v>48 млрд</v>
      </c>
      <c r="G6" s="1353" t="str">
        <f>TEXT(E6,"0")&amp;INDEX($H6:$J6,1,MATCH(Чарти!$B$1,$H$2:$J$2,0))</f>
        <v>48 млрд</v>
      </c>
      <c r="H6" s="1353" t="s">
        <v>489</v>
      </c>
      <c r="I6" s="1353" t="s">
        <v>492</v>
      </c>
      <c r="J6" s="1353" t="s">
        <v>489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K95"/>
  <sheetViews>
    <sheetView zoomScale="40" zoomScaleNormal="40" workbookViewId="0">
      <selection activeCell="G15" sqref="G15"/>
    </sheetView>
  </sheetViews>
  <sheetFormatPr defaultRowHeight="18" zeroHeight="1" x14ac:dyDescent="0.35"/>
  <cols>
    <col min="1" max="1" width="2.5" customWidth="1"/>
    <col min="4" max="4" width="6.3984375" customWidth="1"/>
    <col min="5" max="5" width="17" customWidth="1"/>
    <col min="6" max="6" width="16.09765625" customWidth="1"/>
    <col min="7" max="9" width="19.69921875" customWidth="1"/>
    <col min="10" max="11" width="14.69921875" customWidth="1"/>
    <col min="13" max="18" width="6.3984375" customWidth="1"/>
  </cols>
  <sheetData>
    <row r="1" spans="2:11" x14ac:dyDescent="0.35"/>
    <row r="2" spans="2:11" x14ac:dyDescent="0.35"/>
    <row r="3" spans="2:11" x14ac:dyDescent="0.35"/>
    <row r="4" spans="2:11" x14ac:dyDescent="0.35"/>
    <row r="5" spans="2:11" x14ac:dyDescent="0.35"/>
    <row r="6" spans="2:11" ht="34.5" customHeight="1" x14ac:dyDescent="0.35">
      <c r="E6" s="236" t="s">
        <v>157</v>
      </c>
      <c r="F6" s="236" t="s">
        <v>158</v>
      </c>
      <c r="G6" s="236" t="s">
        <v>159</v>
      </c>
      <c r="H6" s="236" t="s">
        <v>160</v>
      </c>
      <c r="I6" s="236" t="s">
        <v>161</v>
      </c>
      <c r="J6" s="236" t="s">
        <v>162</v>
      </c>
      <c r="K6" s="236" t="s">
        <v>163</v>
      </c>
    </row>
    <row r="7" spans="2:11" ht="18.75" x14ac:dyDescent="0.35">
      <c r="B7" s="1441">
        <v>2020</v>
      </c>
      <c r="C7" s="232">
        <v>1</v>
      </c>
      <c r="E7" s="238" t="e">
        <f t="array" ref="E7:E18">TRANSPOSE(#REF!)</f>
        <v>#REF!</v>
      </c>
      <c r="F7" s="238" t="e">
        <f t="array" ref="F7:F18">TRANSPOSE(#REF!)</f>
        <v>#REF!</v>
      </c>
      <c r="G7" s="238" t="e">
        <f t="array" ref="G7:G18">TRANSPOSE(#REF!)</f>
        <v>#REF!</v>
      </c>
      <c r="H7" s="238" t="e">
        <f t="array" ref="H7:H18">TRANSPOSE(#REF!)</f>
        <v>#REF!</v>
      </c>
      <c r="I7" s="238" t="e">
        <f t="array" ref="I7:I18">TRANSPOSE(#REF!)</f>
        <v>#REF!</v>
      </c>
      <c r="J7" s="321" t="e">
        <f t="array" ref="J7:J18">TRANSPOSE(-1*#REF!)</f>
        <v>#REF!</v>
      </c>
      <c r="K7" s="238" t="e">
        <f t="array" ref="K7:K18">TRANSPOSE(#REF!)</f>
        <v>#REF!</v>
      </c>
    </row>
    <row r="8" spans="2:11" ht="18.75" x14ac:dyDescent="0.35">
      <c r="B8" s="1442"/>
      <c r="C8" s="233">
        <v>2</v>
      </c>
      <c r="E8" s="238" t="e">
        <v>#REF!</v>
      </c>
      <c r="F8" s="238" t="e">
        <v>#REF!</v>
      </c>
      <c r="G8" s="238" t="e">
        <v>#REF!</v>
      </c>
      <c r="H8" s="238" t="e">
        <v>#REF!</v>
      </c>
      <c r="I8" s="238" t="e">
        <v>#REF!</v>
      </c>
      <c r="J8" s="321" t="e">
        <v>#REF!</v>
      </c>
      <c r="K8" s="238" t="e">
        <v>#REF!</v>
      </c>
    </row>
    <row r="9" spans="2:11" ht="18.75" x14ac:dyDescent="0.35">
      <c r="B9" s="1442"/>
      <c r="C9" s="233">
        <v>3</v>
      </c>
      <c r="E9" s="238" t="e">
        <v>#REF!</v>
      </c>
      <c r="F9" s="238" t="e">
        <v>#REF!</v>
      </c>
      <c r="G9" s="238" t="e">
        <v>#REF!</v>
      </c>
      <c r="H9" s="238" t="e">
        <v>#REF!</v>
      </c>
      <c r="I9" s="238" t="e">
        <v>#REF!</v>
      </c>
      <c r="J9" s="321" t="e">
        <v>#REF!</v>
      </c>
      <c r="K9" s="238" t="e">
        <v>#REF!</v>
      </c>
    </row>
    <row r="10" spans="2:11" ht="18.75" x14ac:dyDescent="0.35">
      <c r="B10" s="1442"/>
      <c r="C10" s="233">
        <v>4</v>
      </c>
      <c r="E10" s="238" t="e">
        <v>#REF!</v>
      </c>
      <c r="F10" s="238" t="e">
        <v>#REF!</v>
      </c>
      <c r="G10" s="238" t="e">
        <v>#REF!</v>
      </c>
      <c r="H10" s="238" t="e">
        <v>#REF!</v>
      </c>
      <c r="I10" s="238" t="e">
        <v>#REF!</v>
      </c>
      <c r="J10" s="321" t="e">
        <v>#REF!</v>
      </c>
      <c r="K10" s="238" t="e">
        <v>#REF!</v>
      </c>
    </row>
    <row r="11" spans="2:11" ht="18.75" x14ac:dyDescent="0.35">
      <c r="B11" s="1442"/>
      <c r="C11" s="233">
        <v>5</v>
      </c>
      <c r="E11" s="238" t="e">
        <v>#REF!</v>
      </c>
      <c r="F11" s="238" t="e">
        <v>#REF!</v>
      </c>
      <c r="G11" s="238" t="e">
        <v>#REF!</v>
      </c>
      <c r="H11" s="238" t="e">
        <v>#REF!</v>
      </c>
      <c r="I11" s="238" t="e">
        <v>#REF!</v>
      </c>
      <c r="J11" s="321" t="e">
        <v>#REF!</v>
      </c>
      <c r="K11" s="238" t="e">
        <v>#REF!</v>
      </c>
    </row>
    <row r="12" spans="2:11" ht="18.75" x14ac:dyDescent="0.35">
      <c r="B12" s="1442"/>
      <c r="C12" s="233">
        <v>6</v>
      </c>
      <c r="E12" s="238" t="e">
        <v>#REF!</v>
      </c>
      <c r="F12" s="238" t="e">
        <v>#REF!</v>
      </c>
      <c r="G12" s="238" t="e">
        <v>#REF!</v>
      </c>
      <c r="H12" s="238" t="e">
        <v>#REF!</v>
      </c>
      <c r="I12" s="238" t="e">
        <v>#REF!</v>
      </c>
      <c r="J12" s="321" t="e">
        <v>#REF!</v>
      </c>
      <c r="K12" s="238" t="e">
        <v>#REF!</v>
      </c>
    </row>
    <row r="13" spans="2:11" ht="18.75" x14ac:dyDescent="0.35">
      <c r="B13" s="1442"/>
      <c r="C13" s="233">
        <v>7</v>
      </c>
      <c r="E13" s="238" t="e">
        <v>#REF!</v>
      </c>
      <c r="F13" s="238" t="e">
        <v>#REF!</v>
      </c>
      <c r="G13" s="238" t="e">
        <v>#REF!</v>
      </c>
      <c r="H13" s="238" t="e">
        <v>#REF!</v>
      </c>
      <c r="I13" s="238" t="e">
        <v>#REF!</v>
      </c>
      <c r="J13" s="321" t="e">
        <v>#REF!</v>
      </c>
      <c r="K13" s="238" t="e">
        <v>#REF!</v>
      </c>
    </row>
    <row r="14" spans="2:11" ht="18.75" x14ac:dyDescent="0.35">
      <c r="B14" s="1442"/>
      <c r="C14" s="233">
        <v>8</v>
      </c>
      <c r="E14" s="238" t="e">
        <v>#REF!</v>
      </c>
      <c r="F14" s="238" t="e">
        <v>#REF!</v>
      </c>
      <c r="G14" s="238" t="e">
        <v>#REF!</v>
      </c>
      <c r="H14" s="238" t="e">
        <v>#REF!</v>
      </c>
      <c r="I14" s="238" t="e">
        <v>#REF!</v>
      </c>
      <c r="J14" s="321" t="e">
        <v>#REF!</v>
      </c>
      <c r="K14" s="238" t="e">
        <v>#REF!</v>
      </c>
    </row>
    <row r="15" spans="2:11" ht="18.75" x14ac:dyDescent="0.35">
      <c r="B15" s="1442"/>
      <c r="C15" s="233">
        <v>9</v>
      </c>
      <c r="E15" s="238" t="e">
        <v>#REF!</v>
      </c>
      <c r="F15" s="238" t="e">
        <v>#REF!</v>
      </c>
      <c r="G15" s="238" t="e">
        <v>#REF!</v>
      </c>
      <c r="H15" s="238" t="e">
        <v>#REF!</v>
      </c>
      <c r="I15" s="238" t="e">
        <v>#REF!</v>
      </c>
      <c r="J15" s="321" t="e">
        <v>#REF!</v>
      </c>
      <c r="K15" s="238" t="e">
        <v>#REF!</v>
      </c>
    </row>
    <row r="16" spans="2:11" ht="18.75" x14ac:dyDescent="0.35">
      <c r="B16" s="1442"/>
      <c r="C16" s="233">
        <v>10</v>
      </c>
      <c r="E16" s="238" t="e">
        <v>#REF!</v>
      </c>
      <c r="F16" s="238" t="e">
        <v>#REF!</v>
      </c>
      <c r="G16" s="238" t="e">
        <v>#REF!</v>
      </c>
      <c r="H16" s="238" t="e">
        <v>#REF!</v>
      </c>
      <c r="I16" s="238" t="e">
        <v>#REF!</v>
      </c>
      <c r="J16" s="321" t="e">
        <v>#REF!</v>
      </c>
      <c r="K16" s="238" t="e">
        <v>#REF!</v>
      </c>
    </row>
    <row r="17" spans="2:11" ht="18.75" x14ac:dyDescent="0.35">
      <c r="B17" s="1442"/>
      <c r="C17" s="233">
        <v>11</v>
      </c>
      <c r="E17" s="238" t="e">
        <v>#REF!</v>
      </c>
      <c r="F17" s="238" t="e">
        <v>#REF!</v>
      </c>
      <c r="G17" s="238" t="e">
        <v>#REF!</v>
      </c>
      <c r="H17" s="238" t="e">
        <v>#REF!</v>
      </c>
      <c r="I17" s="238" t="e">
        <v>#REF!</v>
      </c>
      <c r="J17" s="321" t="e">
        <v>#REF!</v>
      </c>
      <c r="K17" s="238" t="e">
        <v>#REF!</v>
      </c>
    </row>
    <row r="18" spans="2:11" ht="18.75" x14ac:dyDescent="0.35">
      <c r="B18" s="1442"/>
      <c r="C18" s="233">
        <v>12</v>
      </c>
      <c r="E18" s="238" t="e">
        <v>#REF!</v>
      </c>
      <c r="F18" s="238" t="e">
        <v>#REF!</v>
      </c>
      <c r="G18" s="238" t="e">
        <v>#REF!</v>
      </c>
      <c r="H18" s="238" t="e">
        <v>#REF!</v>
      </c>
      <c r="I18" s="238" t="e">
        <v>#REF!</v>
      </c>
      <c r="J18" s="321" t="e">
        <v>#REF!</v>
      </c>
      <c r="K18" s="238" t="e">
        <v>#REF!</v>
      </c>
    </row>
    <row r="19" spans="2:11" x14ac:dyDescent="0.35"/>
    <row r="20" spans="2:11" x14ac:dyDescent="0.35"/>
    <row r="21" spans="2:11" x14ac:dyDescent="0.35"/>
    <row r="22" spans="2:11" x14ac:dyDescent="0.35"/>
    <row r="23" spans="2:11" x14ac:dyDescent="0.35"/>
    <row r="24" spans="2:11" x14ac:dyDescent="0.35"/>
    <row r="25" spans="2:11" x14ac:dyDescent="0.35"/>
    <row r="26" spans="2:11" x14ac:dyDescent="0.35"/>
    <row r="27" spans="2:11" x14ac:dyDescent="0.35"/>
    <row r="28" spans="2:11" x14ac:dyDescent="0.35"/>
    <row r="29" spans="2:11" x14ac:dyDescent="0.35"/>
    <row r="30" spans="2:11" x14ac:dyDescent="0.35"/>
    <row r="31" spans="2:11" x14ac:dyDescent="0.35"/>
    <row r="32" spans="2:11" x14ac:dyDescent="0.35"/>
    <row r="33" spans="2:11" ht="36" x14ac:dyDescent="0.35">
      <c r="E33" s="236" t="s">
        <v>157</v>
      </c>
      <c r="F33" s="236" t="s">
        <v>158</v>
      </c>
      <c r="G33" s="236" t="s">
        <v>159</v>
      </c>
      <c r="H33" s="236" t="s">
        <v>160</v>
      </c>
      <c r="I33" s="236" t="s">
        <v>161</v>
      </c>
      <c r="J33" s="236" t="s">
        <v>162</v>
      </c>
      <c r="K33" s="236" t="s">
        <v>163</v>
      </c>
    </row>
    <row r="34" spans="2:11" ht="18.75" x14ac:dyDescent="0.35">
      <c r="B34" s="1441">
        <v>2020</v>
      </c>
      <c r="C34" s="232">
        <v>1</v>
      </c>
      <c r="E34" s="1" t="e">
        <f t="array" ref="E34:E45">TRANSPOSE(#REF!)</f>
        <v>#REF!</v>
      </c>
      <c r="F34" s="1" t="e">
        <f t="array" ref="F34:F45">TRANSPOSE(#REF!)</f>
        <v>#REF!</v>
      </c>
      <c r="G34" s="275" t="e">
        <f t="array" ref="G34:G45">TRANSPOSE(#REF!)</f>
        <v>#REF!</v>
      </c>
      <c r="H34" s="275" t="e">
        <f t="array" ref="H34:H45">TRANSPOSE(#REF!)</f>
        <v>#REF!</v>
      </c>
      <c r="I34" s="275" t="e">
        <f t="array" ref="I34:I45">TRANSPOSE(#REF!)</f>
        <v>#REF!</v>
      </c>
      <c r="J34" s="275" t="e">
        <f t="array" ref="J34:J45">TRANSPOSE(-1*#REF!)</f>
        <v>#REF!</v>
      </c>
      <c r="K34" s="275" t="e">
        <f t="array" ref="K34:K45">TRANSPOSE(#REF!)</f>
        <v>#REF!</v>
      </c>
    </row>
    <row r="35" spans="2:11" ht="18.75" x14ac:dyDescent="0.35">
      <c r="B35" s="1442"/>
      <c r="C35" s="233">
        <v>2</v>
      </c>
      <c r="E35" s="1" t="e">
        <v>#REF!</v>
      </c>
      <c r="F35" s="1" t="e">
        <v>#REF!</v>
      </c>
      <c r="G35" s="275" t="e">
        <v>#REF!</v>
      </c>
      <c r="H35" s="275" t="e">
        <v>#REF!</v>
      </c>
      <c r="I35" s="275" t="e">
        <v>#REF!</v>
      </c>
      <c r="J35" s="275" t="e">
        <v>#REF!</v>
      </c>
      <c r="K35" s="275" t="e">
        <v>#REF!</v>
      </c>
    </row>
    <row r="36" spans="2:11" ht="18.75" x14ac:dyDescent="0.35">
      <c r="B36" s="1442"/>
      <c r="C36" s="233">
        <v>3</v>
      </c>
      <c r="E36" s="1" t="e">
        <v>#REF!</v>
      </c>
      <c r="F36" s="1" t="e">
        <v>#REF!</v>
      </c>
      <c r="G36" s="275" t="e">
        <v>#REF!</v>
      </c>
      <c r="H36" s="275" t="e">
        <v>#REF!</v>
      </c>
      <c r="I36" s="275" t="e">
        <v>#REF!</v>
      </c>
      <c r="J36" s="275" t="e">
        <v>#REF!</v>
      </c>
      <c r="K36" s="275" t="e">
        <v>#REF!</v>
      </c>
    </row>
    <row r="37" spans="2:11" ht="18.75" x14ac:dyDescent="0.35">
      <c r="B37" s="1442"/>
      <c r="C37" s="233">
        <v>4</v>
      </c>
      <c r="E37" s="1" t="e">
        <v>#REF!</v>
      </c>
      <c r="F37" s="1" t="e">
        <v>#REF!</v>
      </c>
      <c r="G37" s="275" t="e">
        <v>#REF!</v>
      </c>
      <c r="H37" s="275" t="e">
        <v>#REF!</v>
      </c>
      <c r="I37" s="275" t="e">
        <v>#REF!</v>
      </c>
      <c r="J37" s="275" t="e">
        <v>#REF!</v>
      </c>
      <c r="K37" s="275" t="e">
        <v>#REF!</v>
      </c>
    </row>
    <row r="38" spans="2:11" ht="18.75" x14ac:dyDescent="0.35">
      <c r="B38" s="1442"/>
      <c r="C38" s="233">
        <v>5</v>
      </c>
      <c r="E38" s="1" t="e">
        <v>#REF!</v>
      </c>
      <c r="F38" s="1" t="e">
        <v>#REF!</v>
      </c>
      <c r="G38" s="275" t="e">
        <v>#REF!</v>
      </c>
      <c r="H38" s="275" t="e">
        <v>#REF!</v>
      </c>
      <c r="I38" s="275" t="e">
        <v>#REF!</v>
      </c>
      <c r="J38" s="275" t="e">
        <v>#REF!</v>
      </c>
      <c r="K38" s="275" t="e">
        <v>#REF!</v>
      </c>
    </row>
    <row r="39" spans="2:11" ht="18.75" x14ac:dyDescent="0.35">
      <c r="B39" s="1442"/>
      <c r="C39" s="233">
        <v>6</v>
      </c>
      <c r="E39" s="1" t="e">
        <v>#REF!</v>
      </c>
      <c r="F39" s="1" t="e">
        <v>#REF!</v>
      </c>
      <c r="G39" s="275" t="e">
        <v>#REF!</v>
      </c>
      <c r="H39" s="275" t="e">
        <v>#REF!</v>
      </c>
      <c r="I39" s="275" t="e">
        <v>#REF!</v>
      </c>
      <c r="J39" s="275" t="e">
        <v>#REF!</v>
      </c>
      <c r="K39" s="275" t="e">
        <v>#REF!</v>
      </c>
    </row>
    <row r="40" spans="2:11" ht="18.75" x14ac:dyDescent="0.35">
      <c r="B40" s="1442"/>
      <c r="C40" s="233">
        <v>7</v>
      </c>
      <c r="E40" s="1" t="e">
        <v>#REF!</v>
      </c>
      <c r="F40" s="1" t="e">
        <v>#REF!</v>
      </c>
      <c r="G40" s="275" t="e">
        <v>#REF!</v>
      </c>
      <c r="H40" s="275" t="e">
        <v>#REF!</v>
      </c>
      <c r="I40" s="275" t="e">
        <v>#REF!</v>
      </c>
      <c r="J40" s="275" t="e">
        <v>#REF!</v>
      </c>
      <c r="K40" s="275" t="e">
        <v>#REF!</v>
      </c>
    </row>
    <row r="41" spans="2:11" ht="18.75" x14ac:dyDescent="0.35">
      <c r="B41" s="1442"/>
      <c r="C41" s="233">
        <v>8</v>
      </c>
      <c r="E41" s="1" t="e">
        <v>#REF!</v>
      </c>
      <c r="F41" s="1" t="e">
        <v>#REF!</v>
      </c>
      <c r="G41" s="275" t="e">
        <v>#REF!</v>
      </c>
      <c r="H41" s="275" t="e">
        <v>#REF!</v>
      </c>
      <c r="I41" s="275" t="e">
        <v>#REF!</v>
      </c>
      <c r="J41" s="275" t="e">
        <v>#REF!</v>
      </c>
      <c r="K41" s="275" t="e">
        <v>#REF!</v>
      </c>
    </row>
    <row r="42" spans="2:11" ht="18.75" x14ac:dyDescent="0.35">
      <c r="B42" s="1442"/>
      <c r="C42" s="233">
        <v>9</v>
      </c>
      <c r="E42" s="1" t="e">
        <v>#REF!</v>
      </c>
      <c r="F42" s="1" t="e">
        <v>#REF!</v>
      </c>
      <c r="G42" s="275" t="e">
        <v>#REF!</v>
      </c>
      <c r="H42" s="275" t="e">
        <v>#REF!</v>
      </c>
      <c r="I42" s="275" t="e">
        <v>#REF!</v>
      </c>
      <c r="J42" s="275" t="e">
        <v>#REF!</v>
      </c>
      <c r="K42" s="275" t="e">
        <v>#REF!</v>
      </c>
    </row>
    <row r="43" spans="2:11" ht="18.75" x14ac:dyDescent="0.35">
      <c r="B43" s="1442"/>
      <c r="C43" s="233">
        <v>10</v>
      </c>
      <c r="E43" s="1" t="e">
        <v>#REF!</v>
      </c>
      <c r="F43" s="1" t="e">
        <v>#REF!</v>
      </c>
      <c r="G43" s="275" t="e">
        <v>#REF!</v>
      </c>
      <c r="H43" s="275" t="e">
        <v>#REF!</v>
      </c>
      <c r="I43" s="275" t="e">
        <v>#REF!</v>
      </c>
      <c r="J43" s="275" t="e">
        <v>#REF!</v>
      </c>
      <c r="K43" s="275" t="e">
        <v>#REF!</v>
      </c>
    </row>
    <row r="44" spans="2:11" ht="18.75" x14ac:dyDescent="0.35">
      <c r="B44" s="1442"/>
      <c r="C44" s="233">
        <v>11</v>
      </c>
      <c r="E44" s="1" t="e">
        <v>#REF!</v>
      </c>
      <c r="F44" s="1" t="e">
        <v>#REF!</v>
      </c>
      <c r="G44" s="275" t="e">
        <v>#REF!</v>
      </c>
      <c r="H44" s="275" t="e">
        <v>#REF!</v>
      </c>
      <c r="I44" s="275" t="e">
        <v>#REF!</v>
      </c>
      <c r="J44" s="275" t="e">
        <v>#REF!</v>
      </c>
      <c r="K44" s="275" t="e">
        <v>#REF!</v>
      </c>
    </row>
    <row r="45" spans="2:11" ht="18.75" x14ac:dyDescent="0.35">
      <c r="B45" s="1442"/>
      <c r="C45" s="233">
        <v>12</v>
      </c>
      <c r="E45" s="1" t="e">
        <v>#REF!</v>
      </c>
      <c r="F45" s="1" t="e">
        <v>#REF!</v>
      </c>
      <c r="G45" s="275" t="e">
        <v>#REF!</v>
      </c>
      <c r="H45" s="275" t="e">
        <v>#REF!</v>
      </c>
      <c r="I45" s="275" t="e">
        <v>#REF!</v>
      </c>
      <c r="J45" s="275" t="e">
        <v>#REF!</v>
      </c>
      <c r="K45" s="275" t="e">
        <v>#REF!</v>
      </c>
    </row>
    <row r="46" spans="2:11" x14ac:dyDescent="0.35"/>
    <row r="47" spans="2:11" x14ac:dyDescent="0.35"/>
    <row r="48" spans="2:11" x14ac:dyDescent="0.35"/>
    <row r="49" x14ac:dyDescent="0.35"/>
    <row r="50" x14ac:dyDescent="0.35"/>
    <row r="51" x14ac:dyDescent="0.35"/>
    <row r="52" x14ac:dyDescent="0.35"/>
    <row r="53" x14ac:dyDescent="0.35"/>
    <row r="54" x14ac:dyDescent="0.35"/>
    <row r="55" x14ac:dyDescent="0.35"/>
    <row r="56" x14ac:dyDescent="0.35"/>
    <row r="57" x14ac:dyDescent="0.35"/>
    <row r="58" x14ac:dyDescent="0.35"/>
    <row r="59" x14ac:dyDescent="0.35"/>
    <row r="60" x14ac:dyDescent="0.35"/>
    <row r="61" x14ac:dyDescent="0.35"/>
    <row r="62" x14ac:dyDescent="0.35"/>
    <row r="63" x14ac:dyDescent="0.35"/>
    <row r="64" x14ac:dyDescent="0.35"/>
    <row r="65" x14ac:dyDescent="0.35"/>
    <row r="66" x14ac:dyDescent="0.35"/>
    <row r="67" x14ac:dyDescent="0.35"/>
    <row r="68" x14ac:dyDescent="0.35"/>
    <row r="69" x14ac:dyDescent="0.35"/>
    <row r="70" x14ac:dyDescent="0.35"/>
    <row r="71" x14ac:dyDescent="0.35"/>
    <row r="72" x14ac:dyDescent="0.35"/>
    <row r="73" x14ac:dyDescent="0.35"/>
    <row r="74" x14ac:dyDescent="0.35"/>
    <row r="75" x14ac:dyDescent="0.35"/>
    <row r="76" x14ac:dyDescent="0.35"/>
    <row r="77" x14ac:dyDescent="0.35"/>
    <row r="78" x14ac:dyDescent="0.35"/>
    <row r="79" x14ac:dyDescent="0.35"/>
    <row r="80" x14ac:dyDescent="0.35"/>
    <row r="81" x14ac:dyDescent="0.35"/>
    <row r="82" x14ac:dyDescent="0.35"/>
    <row r="83" x14ac:dyDescent="0.35"/>
    <row r="84" x14ac:dyDescent="0.35"/>
    <row r="85" x14ac:dyDescent="0.35"/>
    <row r="86" x14ac:dyDescent="0.35"/>
    <row r="87" x14ac:dyDescent="0.35"/>
    <row r="88" x14ac:dyDescent="0.35"/>
    <row r="89" x14ac:dyDescent="0.35"/>
    <row r="90" x14ac:dyDescent="0.35"/>
    <row r="91" x14ac:dyDescent="0.35"/>
    <row r="92" x14ac:dyDescent="0.35"/>
    <row r="93" x14ac:dyDescent="0.35"/>
    <row r="94" x14ac:dyDescent="0.35"/>
    <row r="95" x14ac:dyDescent="0.35"/>
  </sheetData>
  <mergeCells count="2">
    <mergeCell ref="B7:B18"/>
    <mergeCell ref="B34:B45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0.39997558519241921"/>
  </sheetPr>
  <dimension ref="A1:Y120"/>
  <sheetViews>
    <sheetView topLeftCell="M1" zoomScale="44" zoomScaleNormal="55" workbookViewId="0">
      <selection activeCell="U15" sqref="U15"/>
    </sheetView>
  </sheetViews>
  <sheetFormatPr defaultColWidth="8.69921875" defaultRowHeight="18" zeroHeight="1" x14ac:dyDescent="0.35"/>
  <cols>
    <col min="1" max="1" width="77.69921875" style="72" customWidth="1"/>
    <col min="2" max="2" width="19.59765625" style="2" customWidth="1"/>
    <col min="3" max="3" width="34.09765625" style="2" customWidth="1"/>
    <col min="4" max="4" width="28" style="2" customWidth="1"/>
    <col min="5" max="5" width="16.59765625" style="2" customWidth="1"/>
    <col min="6" max="6" width="26" style="2" customWidth="1"/>
    <col min="7" max="7" width="19.3984375" style="2" customWidth="1"/>
    <col min="8" max="8" width="24.59765625" style="2" customWidth="1"/>
    <col min="9" max="9" width="28.09765625" style="2" customWidth="1"/>
    <col min="10" max="10" width="17" style="2" customWidth="1"/>
    <col min="11" max="12" width="30.3984375" style="2" customWidth="1"/>
    <col min="13" max="13" width="41.69921875" style="2" customWidth="1"/>
    <col min="14" max="14" width="13.09765625" style="2" customWidth="1"/>
    <col min="15" max="15" width="31.69921875" style="2" customWidth="1"/>
    <col min="16" max="16" width="25.3984375" style="2" customWidth="1"/>
    <col min="17" max="17" width="40.09765625" style="2" customWidth="1"/>
    <col min="18" max="18" width="32.69921875" style="2" customWidth="1"/>
    <col min="19" max="19" width="24.09765625" style="2" customWidth="1"/>
    <col min="20" max="20" width="12" style="2" customWidth="1"/>
    <col min="21" max="21" width="19" style="2" customWidth="1"/>
    <col min="22" max="22" width="17.69921875" style="2" customWidth="1"/>
    <col min="23" max="24" width="8.69921875" style="2"/>
    <col min="25" max="25" width="11.09765625" style="2" customWidth="1"/>
    <col min="26" max="16384" width="8.69921875" style="2"/>
  </cols>
  <sheetData>
    <row r="1" spans="1:25" x14ac:dyDescent="0.35">
      <c r="F1" s="3">
        <v>1000</v>
      </c>
      <c r="G1" s="2">
        <v>-1</v>
      </c>
      <c r="J1" s="2">
        <v>-1</v>
      </c>
      <c r="L1" s="2" t="s">
        <v>22</v>
      </c>
      <c r="M1" s="2">
        <v>-1000</v>
      </c>
    </row>
    <row r="2" spans="1:25" ht="18.75" thickBot="1" x14ac:dyDescent="0.4">
      <c r="F2" s="68"/>
      <c r="L2" s="2">
        <v>1</v>
      </c>
      <c r="M2" s="2">
        <v>1.0920000000000001</v>
      </c>
      <c r="P2" s="68"/>
      <c r="S2" s="68"/>
      <c r="T2" s="68"/>
      <c r="U2" s="68"/>
    </row>
    <row r="3" spans="1:25" ht="83.25" customHeight="1" x14ac:dyDescent="0.35">
      <c r="A3" s="73"/>
      <c r="B3" s="10"/>
      <c r="C3" s="227" t="s">
        <v>151</v>
      </c>
      <c r="D3" s="227" t="s">
        <v>149</v>
      </c>
      <c r="E3" s="227" t="s">
        <v>148</v>
      </c>
      <c r="F3" s="264" t="s">
        <v>42</v>
      </c>
      <c r="G3" s="11" t="s">
        <v>152</v>
      </c>
      <c r="H3" s="11" t="s">
        <v>37</v>
      </c>
      <c r="I3" s="12" t="s">
        <v>38</v>
      </c>
      <c r="J3" s="11" t="s">
        <v>39</v>
      </c>
      <c r="K3" s="11" t="s">
        <v>40</v>
      </c>
      <c r="L3" s="225" t="s">
        <v>150</v>
      </c>
      <c r="M3" s="226" t="s">
        <v>147</v>
      </c>
      <c r="N3" s="4"/>
      <c r="O3" s="4"/>
      <c r="P3" s="11" t="s">
        <v>152</v>
      </c>
      <c r="Q3" s="11" t="s">
        <v>37</v>
      </c>
      <c r="R3" s="12" t="s">
        <v>38</v>
      </c>
      <c r="S3" s="11" t="s">
        <v>39</v>
      </c>
      <c r="T3" s="11" t="s">
        <v>40</v>
      </c>
      <c r="U3" s="226" t="s">
        <v>147</v>
      </c>
      <c r="V3" s="264" t="s">
        <v>42</v>
      </c>
      <c r="W3" s="4"/>
    </row>
    <row r="4" spans="1:25" x14ac:dyDescent="0.35">
      <c r="A4" s="70">
        <v>2020</v>
      </c>
      <c r="B4" s="8" t="s">
        <v>0</v>
      </c>
      <c r="D4" s="5" t="e">
        <f t="array" ref="D4:D15">TRANSPOSE(#REF!/1000)</f>
        <v>#REF!</v>
      </c>
      <c r="E4" s="5" t="e">
        <f t="array" ref="E4:E15">TRANSPOSE(#REF!/1000)</f>
        <v>#REF!</v>
      </c>
      <c r="F4" s="221" t="e">
        <f>-V4/1000</f>
        <v>#REF!</v>
      </c>
      <c r="G4" s="3" t="e">
        <f>P4/1000</f>
        <v>#REF!</v>
      </c>
      <c r="H4">
        <v>0</v>
      </c>
      <c r="I4" s="222">
        <v>0.50298984900225319</v>
      </c>
      <c r="J4" s="221" t="e">
        <f>-S4/1000</f>
        <v>#REF!</v>
      </c>
      <c r="K4" s="221" t="e">
        <f>-T4/1000</f>
        <v>#REF!</v>
      </c>
      <c r="L4" s="13" t="e">
        <f>(J4+K4)</f>
        <v>#REF!</v>
      </c>
      <c r="M4" s="3" t="e">
        <f>U4/1000</f>
        <v>#REF!</v>
      </c>
      <c r="N4" s="315">
        <v>2020</v>
      </c>
      <c r="O4" s="316" t="s">
        <v>178</v>
      </c>
      <c r="P4" s="265" t="e">
        <f t="array" ref="P4:P15">TRANSPOSE(#REF!)</f>
        <v>#REF!</v>
      </c>
      <c r="Q4" s="266"/>
      <c r="R4" s="266"/>
      <c r="S4" s="266" t="e">
        <f t="array" ref="S4:S15">TRANSPOSE(#REF!)</f>
        <v>#REF!</v>
      </c>
      <c r="T4" s="266" t="e">
        <f t="array" ref="T4:T15">TRANSPOSE(#REF!)</f>
        <v>#REF!</v>
      </c>
      <c r="U4" s="267" t="e">
        <f t="array" ref="U4:U15">TRANSPOSE(#REF!)</f>
        <v>#REF!</v>
      </c>
      <c r="V4" s="268" t="e">
        <f t="array" ref="V4:V15">TRANSPOSE(#REF!)</f>
        <v>#REF!</v>
      </c>
      <c r="W4" s="315"/>
      <c r="Y4" s="267"/>
    </row>
    <row r="5" spans="1:25" x14ac:dyDescent="0.35">
      <c r="A5" s="70"/>
      <c r="B5" s="8" t="s">
        <v>1</v>
      </c>
      <c r="D5" s="5" t="e">
        <v>#REF!</v>
      </c>
      <c r="E5" s="5" t="e">
        <v>#REF!</v>
      </c>
      <c r="F5" s="221" t="e">
        <f>-V5/1000</f>
        <v>#REF!</v>
      </c>
      <c r="G5" s="3" t="e">
        <f t="shared" ref="G5:G15" si="0">P5/1000</f>
        <v>#REF!</v>
      </c>
      <c r="H5">
        <v>0</v>
      </c>
      <c r="I5" s="222">
        <v>1.323205379109855</v>
      </c>
      <c r="J5" s="221" t="e">
        <f t="shared" ref="J5:J15" si="1">-S5/1000</f>
        <v>#REF!</v>
      </c>
      <c r="K5" s="221" t="e">
        <f>-T5/1000</f>
        <v>#REF!</v>
      </c>
      <c r="L5" s="13" t="e">
        <f>(J5+K5)*$L$2</f>
        <v>#REF!</v>
      </c>
      <c r="M5" s="3" t="e">
        <f t="shared" ref="M5:M15" si="2">U5/1000</f>
        <v>#REF!</v>
      </c>
      <c r="N5" s="3"/>
      <c r="O5" s="316" t="s">
        <v>179</v>
      </c>
      <c r="P5" s="265" t="e">
        <v>#REF!</v>
      </c>
      <c r="Q5" s="267"/>
      <c r="R5" s="266"/>
      <c r="S5" s="266" t="e">
        <v>#REF!</v>
      </c>
      <c r="T5" s="266" t="e">
        <v>#REF!</v>
      </c>
      <c r="U5" s="267" t="e">
        <v>#REF!</v>
      </c>
      <c r="V5" s="268" t="e">
        <v>#REF!</v>
      </c>
      <c r="W5" s="9"/>
      <c r="Y5" s="267"/>
    </row>
    <row r="6" spans="1:25" x14ac:dyDescent="0.35">
      <c r="A6" s="70"/>
      <c r="B6" s="8" t="s">
        <v>2</v>
      </c>
      <c r="D6" s="5" t="e">
        <v>#REF!</v>
      </c>
      <c r="E6" s="5" t="e">
        <v>#REF!</v>
      </c>
      <c r="F6" s="221" t="e">
        <f>-V6/1000</f>
        <v>#REF!</v>
      </c>
      <c r="G6" s="3" t="e">
        <f>P6/1000</f>
        <v>#REF!</v>
      </c>
      <c r="H6">
        <v>0</v>
      </c>
      <c r="I6" s="222">
        <v>-0.28591382971590379</v>
      </c>
      <c r="J6" s="221" t="e">
        <f>-S6/1000</f>
        <v>#REF!</v>
      </c>
      <c r="K6" s="221" t="e">
        <f t="shared" ref="K6:K15" si="3">-T6/1000</f>
        <v>#REF!</v>
      </c>
      <c r="L6" s="13" t="e">
        <f t="shared" ref="L6:L15" si="4">(J6+K6)*$L$2</f>
        <v>#REF!</v>
      </c>
      <c r="M6" s="3" t="e">
        <f t="shared" si="2"/>
        <v>#REF!</v>
      </c>
      <c r="N6" s="3"/>
      <c r="O6" s="316" t="s">
        <v>180</v>
      </c>
      <c r="P6" s="265" t="e">
        <v>#REF!</v>
      </c>
      <c r="Q6" s="267"/>
      <c r="R6" s="266"/>
      <c r="S6" s="266" t="e">
        <v>#REF!</v>
      </c>
      <c r="T6" s="266" t="e">
        <v>#REF!</v>
      </c>
      <c r="U6" s="267" t="e">
        <v>#REF!</v>
      </c>
      <c r="V6" s="268" t="e">
        <v>#REF!</v>
      </c>
      <c r="W6" s="9"/>
      <c r="Y6" s="267"/>
    </row>
    <row r="7" spans="1:25" x14ac:dyDescent="0.35">
      <c r="A7" s="70"/>
      <c r="B7" s="8" t="s">
        <v>3</v>
      </c>
      <c r="D7" s="5" t="e">
        <v>#REF!</v>
      </c>
      <c r="E7" s="5" t="e">
        <v>#REF!</v>
      </c>
      <c r="F7" s="221" t="e">
        <f t="shared" ref="F7:F15" si="5">-V7/1000</f>
        <v>#REF!</v>
      </c>
      <c r="G7" s="3" t="e">
        <f>P7/1000</f>
        <v>#REF!</v>
      </c>
      <c r="H7">
        <v>0</v>
      </c>
      <c r="I7" s="222">
        <v>0</v>
      </c>
      <c r="J7" s="221" t="e">
        <f t="shared" si="1"/>
        <v>#REF!</v>
      </c>
      <c r="K7" s="221" t="e">
        <f>-T7/1000</f>
        <v>#REF!</v>
      </c>
      <c r="L7" s="13" t="e">
        <f>(J7+K7)*$L$2</f>
        <v>#REF!</v>
      </c>
      <c r="M7" s="3" t="e">
        <f t="shared" si="2"/>
        <v>#REF!</v>
      </c>
      <c r="N7" s="3"/>
      <c r="O7" s="316" t="s">
        <v>181</v>
      </c>
      <c r="P7" s="265" t="e">
        <v>#REF!</v>
      </c>
      <c r="Q7" s="267"/>
      <c r="R7" s="266"/>
      <c r="S7" s="266" t="e">
        <v>#REF!</v>
      </c>
      <c r="T7" s="266" t="e">
        <v>#REF!</v>
      </c>
      <c r="U7" s="267" t="e">
        <v>#REF!</v>
      </c>
      <c r="V7" s="268" t="e">
        <v>#REF!</v>
      </c>
      <c r="W7" s="9"/>
      <c r="Y7" s="267"/>
    </row>
    <row r="8" spans="1:25" x14ac:dyDescent="0.35">
      <c r="A8" s="70"/>
      <c r="B8" s="8" t="s">
        <v>4</v>
      </c>
      <c r="D8" s="5" t="e">
        <v>#REF!</v>
      </c>
      <c r="E8" s="5" t="e">
        <v>#REF!</v>
      </c>
      <c r="F8" s="221" t="e">
        <f>-V8/1000</f>
        <v>#REF!</v>
      </c>
      <c r="G8" s="3" t="e">
        <f t="shared" si="0"/>
        <v>#REF!</v>
      </c>
      <c r="H8">
        <v>0</v>
      </c>
      <c r="I8" s="222">
        <v>0</v>
      </c>
      <c r="J8" s="221" t="e">
        <f t="shared" si="1"/>
        <v>#REF!</v>
      </c>
      <c r="K8" s="221" t="e">
        <f t="shared" si="3"/>
        <v>#REF!</v>
      </c>
      <c r="L8" s="13" t="e">
        <f t="shared" si="4"/>
        <v>#REF!</v>
      </c>
      <c r="M8" s="3" t="e">
        <f t="shared" si="2"/>
        <v>#REF!</v>
      </c>
      <c r="N8" s="3"/>
      <c r="O8" s="316" t="s">
        <v>182</v>
      </c>
      <c r="P8" s="265" t="e">
        <v>#REF!</v>
      </c>
      <c r="Q8" s="267"/>
      <c r="R8" s="266"/>
      <c r="S8" s="266" t="e">
        <v>#REF!</v>
      </c>
      <c r="T8" s="266" t="e">
        <v>#REF!</v>
      </c>
      <c r="U8" s="267" t="e">
        <v>#REF!</v>
      </c>
      <c r="V8" s="268" t="e">
        <v>#REF!</v>
      </c>
      <c r="W8" s="9"/>
      <c r="Y8" s="267"/>
    </row>
    <row r="9" spans="1:25" x14ac:dyDescent="0.35">
      <c r="A9" s="70"/>
      <c r="B9" s="8" t="s">
        <v>5</v>
      </c>
      <c r="D9" s="5" t="e">
        <v>#REF!</v>
      </c>
      <c r="E9" s="5" t="e">
        <v>#REF!</v>
      </c>
      <c r="F9" s="221" t="e">
        <f t="shared" si="5"/>
        <v>#REF!</v>
      </c>
      <c r="G9" s="3" t="e">
        <f t="shared" si="0"/>
        <v>#REF!</v>
      </c>
      <c r="H9">
        <v>0</v>
      </c>
      <c r="I9" s="222">
        <v>0</v>
      </c>
      <c r="J9" s="221" t="e">
        <f t="shared" si="1"/>
        <v>#REF!</v>
      </c>
      <c r="K9" s="221" t="e">
        <f t="shared" si="3"/>
        <v>#REF!</v>
      </c>
      <c r="L9" s="13" t="e">
        <f>(J9+K9)*$L$2</f>
        <v>#REF!</v>
      </c>
      <c r="M9" s="3" t="e">
        <f>U9/1000</f>
        <v>#REF!</v>
      </c>
      <c r="N9" s="3"/>
      <c r="O9" s="316" t="s">
        <v>183</v>
      </c>
      <c r="P9" s="266" t="e">
        <v>#REF!</v>
      </c>
      <c r="Q9" s="267"/>
      <c r="R9" s="266"/>
      <c r="S9" s="266" t="e">
        <v>#REF!</v>
      </c>
      <c r="T9" s="266" t="e">
        <v>#REF!</v>
      </c>
      <c r="U9" s="267" t="e">
        <v>#REF!</v>
      </c>
      <c r="V9" s="268" t="e">
        <v>#REF!</v>
      </c>
      <c r="W9" s="9"/>
      <c r="Y9" s="267"/>
    </row>
    <row r="10" spans="1:25" x14ac:dyDescent="0.35">
      <c r="A10" s="70"/>
      <c r="B10" s="8" t="s">
        <v>6</v>
      </c>
      <c r="D10" s="5" t="e">
        <v>#REF!</v>
      </c>
      <c r="E10" s="5" t="e">
        <v>#REF!</v>
      </c>
      <c r="F10" s="221" t="e">
        <f t="shared" si="5"/>
        <v>#REF!</v>
      </c>
      <c r="G10" s="3" t="e">
        <f t="shared" si="0"/>
        <v>#REF!</v>
      </c>
      <c r="H10">
        <v>0</v>
      </c>
      <c r="I10" s="222">
        <v>0</v>
      </c>
      <c r="J10" s="221" t="e">
        <f t="shared" si="1"/>
        <v>#REF!</v>
      </c>
      <c r="K10" s="221" t="e">
        <f t="shared" si="3"/>
        <v>#REF!</v>
      </c>
      <c r="L10" s="13" t="e">
        <f t="shared" si="4"/>
        <v>#REF!</v>
      </c>
      <c r="M10" s="3" t="e">
        <f t="shared" si="2"/>
        <v>#REF!</v>
      </c>
      <c r="N10" s="3"/>
      <c r="O10" s="316" t="s">
        <v>184</v>
      </c>
      <c r="P10" s="266" t="e">
        <v>#REF!</v>
      </c>
      <c r="Q10" s="267"/>
      <c r="R10" s="266"/>
      <c r="S10" s="266" t="e">
        <v>#REF!</v>
      </c>
      <c r="T10" s="266" t="e">
        <v>#REF!</v>
      </c>
      <c r="U10" s="267" t="e">
        <v>#REF!</v>
      </c>
      <c r="V10" s="268" t="e">
        <v>#REF!</v>
      </c>
      <c r="W10" s="9"/>
      <c r="Y10" s="267"/>
    </row>
    <row r="11" spans="1:25" x14ac:dyDescent="0.35">
      <c r="A11" s="70"/>
      <c r="B11" s="8" t="s">
        <v>7</v>
      </c>
      <c r="D11" s="5" t="e">
        <v>#REF!</v>
      </c>
      <c r="E11" s="5" t="e">
        <v>#REF!</v>
      </c>
      <c r="F11" s="221" t="e">
        <f t="shared" si="5"/>
        <v>#REF!</v>
      </c>
      <c r="G11" s="3" t="e">
        <f t="shared" si="0"/>
        <v>#REF!</v>
      </c>
      <c r="H11">
        <v>0</v>
      </c>
      <c r="I11" s="222">
        <v>0</v>
      </c>
      <c r="J11" s="221" t="e">
        <f t="shared" si="1"/>
        <v>#REF!</v>
      </c>
      <c r="K11" s="221" t="e">
        <f t="shared" si="3"/>
        <v>#REF!</v>
      </c>
      <c r="L11" s="13" t="e">
        <f>(J11+K11)*$L$2</f>
        <v>#REF!</v>
      </c>
      <c r="M11" s="3" t="e">
        <f t="shared" si="2"/>
        <v>#REF!</v>
      </c>
      <c r="N11" s="3"/>
      <c r="O11" s="316" t="s">
        <v>185</v>
      </c>
      <c r="P11" s="266" t="e">
        <v>#REF!</v>
      </c>
      <c r="Q11" s="267"/>
      <c r="R11" s="266"/>
      <c r="S11" s="266" t="e">
        <v>#REF!</v>
      </c>
      <c r="T11" s="266" t="e">
        <v>#REF!</v>
      </c>
      <c r="U11" s="267" t="e">
        <v>#REF!</v>
      </c>
      <c r="V11" s="268" t="e">
        <v>#REF!</v>
      </c>
      <c r="W11" s="9"/>
      <c r="Y11" s="267"/>
    </row>
    <row r="12" spans="1:25" x14ac:dyDescent="0.35">
      <c r="A12" s="70"/>
      <c r="B12" s="8" t="s">
        <v>8</v>
      </c>
      <c r="D12" s="5" t="e">
        <v>#REF!</v>
      </c>
      <c r="E12" s="5" t="e">
        <v>#REF!</v>
      </c>
      <c r="F12" s="221" t="e">
        <f t="shared" si="5"/>
        <v>#REF!</v>
      </c>
      <c r="G12" s="3" t="e">
        <f t="shared" si="0"/>
        <v>#REF!</v>
      </c>
      <c r="H12">
        <v>0</v>
      </c>
      <c r="I12" s="222">
        <v>0</v>
      </c>
      <c r="J12" s="221" t="e">
        <f t="shared" si="1"/>
        <v>#REF!</v>
      </c>
      <c r="K12" s="221" t="e">
        <f t="shared" si="3"/>
        <v>#REF!</v>
      </c>
      <c r="L12" s="13" t="e">
        <f t="shared" si="4"/>
        <v>#REF!</v>
      </c>
      <c r="M12" s="3" t="e">
        <f t="shared" si="2"/>
        <v>#REF!</v>
      </c>
      <c r="N12" s="3"/>
      <c r="O12" s="316" t="s">
        <v>186</v>
      </c>
      <c r="P12" s="266" t="e">
        <v>#REF!</v>
      </c>
      <c r="Q12" s="267"/>
      <c r="R12" s="266"/>
      <c r="S12" s="266" t="e">
        <v>#REF!</v>
      </c>
      <c r="T12" s="266" t="e">
        <v>#REF!</v>
      </c>
      <c r="U12" s="267" t="e">
        <v>#REF!</v>
      </c>
      <c r="V12" s="268" t="e">
        <v>#REF!</v>
      </c>
      <c r="W12" s="9"/>
      <c r="Y12" s="267"/>
    </row>
    <row r="13" spans="1:25" x14ac:dyDescent="0.35">
      <c r="A13" s="70"/>
      <c r="B13" s="8" t="s">
        <v>9</v>
      </c>
      <c r="D13" s="5" t="e">
        <v>#REF!</v>
      </c>
      <c r="E13" s="5" t="e">
        <v>#REF!</v>
      </c>
      <c r="F13" s="221" t="e">
        <f t="shared" si="5"/>
        <v>#REF!</v>
      </c>
      <c r="G13" s="3" t="e">
        <f t="shared" si="0"/>
        <v>#REF!</v>
      </c>
      <c r="H13">
        <v>0</v>
      </c>
      <c r="I13" s="222">
        <v>0</v>
      </c>
      <c r="J13" s="221" t="e">
        <f t="shared" si="1"/>
        <v>#REF!</v>
      </c>
      <c r="K13" s="221" t="e">
        <f t="shared" si="3"/>
        <v>#REF!</v>
      </c>
      <c r="L13" s="13" t="e">
        <f t="shared" si="4"/>
        <v>#REF!</v>
      </c>
      <c r="M13" s="3" t="e">
        <f t="shared" si="2"/>
        <v>#REF!</v>
      </c>
      <c r="N13" s="3"/>
      <c r="O13" s="316" t="s">
        <v>187</v>
      </c>
      <c r="P13" s="266" t="e">
        <v>#REF!</v>
      </c>
      <c r="Q13" s="267"/>
      <c r="R13" s="266"/>
      <c r="S13" s="268" t="e">
        <v>#REF!</v>
      </c>
      <c r="T13" s="266" t="e">
        <v>#REF!</v>
      </c>
      <c r="U13" s="267" t="e">
        <v>#REF!</v>
      </c>
      <c r="V13" s="268" t="e">
        <v>#REF!</v>
      </c>
      <c r="W13" s="9"/>
      <c r="Y13" s="267"/>
    </row>
    <row r="14" spans="1:25" x14ac:dyDescent="0.35">
      <c r="A14" s="70"/>
      <c r="B14" s="8" t="s">
        <v>10</v>
      </c>
      <c r="D14" s="5" t="e">
        <v>#REF!</v>
      </c>
      <c r="E14" s="5" t="e">
        <v>#REF!</v>
      </c>
      <c r="F14" s="221" t="e">
        <f t="shared" si="5"/>
        <v>#REF!</v>
      </c>
      <c r="G14" s="3" t="e">
        <f t="shared" si="0"/>
        <v>#REF!</v>
      </c>
      <c r="H14">
        <v>0</v>
      </c>
      <c r="I14" s="222">
        <v>0</v>
      </c>
      <c r="J14" s="221" t="e">
        <f t="shared" si="1"/>
        <v>#REF!</v>
      </c>
      <c r="K14" s="221" t="e">
        <f t="shared" si="3"/>
        <v>#REF!</v>
      </c>
      <c r="L14" s="13" t="e">
        <f t="shared" si="4"/>
        <v>#REF!</v>
      </c>
      <c r="M14" s="3" t="e">
        <f t="shared" si="2"/>
        <v>#REF!</v>
      </c>
      <c r="N14" s="3"/>
      <c r="O14" s="316" t="s">
        <v>188</v>
      </c>
      <c r="P14" s="266" t="e">
        <v>#REF!</v>
      </c>
      <c r="Q14" s="267"/>
      <c r="R14" s="266"/>
      <c r="S14" s="266" t="e">
        <v>#REF!</v>
      </c>
      <c r="T14" s="266" t="e">
        <v>#REF!</v>
      </c>
      <c r="U14" s="267" t="e">
        <v>#REF!</v>
      </c>
      <c r="V14" s="268" t="e">
        <v>#REF!</v>
      </c>
      <c r="W14" s="9"/>
      <c r="Y14" s="267"/>
    </row>
    <row r="15" spans="1:25" ht="18.75" thickBot="1" x14ac:dyDescent="0.4">
      <c r="A15" s="71"/>
      <c r="B15" s="8" t="s">
        <v>11</v>
      </c>
      <c r="C15" s="14"/>
      <c r="D15" s="224" t="e">
        <v>#REF!</v>
      </c>
      <c r="E15" s="5" t="e">
        <v>#REF!</v>
      </c>
      <c r="F15" s="221" t="e">
        <f t="shared" si="5"/>
        <v>#REF!</v>
      </c>
      <c r="G15" s="3" t="e">
        <f t="shared" si="0"/>
        <v>#REF!</v>
      </c>
      <c r="H15">
        <v>0</v>
      </c>
      <c r="I15" s="222">
        <v>0</v>
      </c>
      <c r="J15" s="221" t="e">
        <f t="shared" si="1"/>
        <v>#REF!</v>
      </c>
      <c r="K15" s="221" t="e">
        <f t="shared" si="3"/>
        <v>#REF!</v>
      </c>
      <c r="L15" s="16" t="e">
        <f t="shared" si="4"/>
        <v>#REF!</v>
      </c>
      <c r="M15" s="3" t="e">
        <f t="shared" si="2"/>
        <v>#REF!</v>
      </c>
      <c r="N15" s="3"/>
      <c r="O15" s="316" t="s">
        <v>189</v>
      </c>
      <c r="P15" s="269" t="e">
        <v>#REF!</v>
      </c>
      <c r="Q15" s="267"/>
      <c r="R15" s="269"/>
      <c r="S15" s="269" t="e">
        <v>#REF!</v>
      </c>
      <c r="T15" s="269" t="e">
        <v>#REF!</v>
      </c>
      <c r="U15" s="270" t="e">
        <v>#REF!</v>
      </c>
      <c r="V15" s="268" t="e">
        <v>#REF!</v>
      </c>
      <c r="W15" s="9"/>
      <c r="Y15" s="267"/>
    </row>
    <row r="16" spans="1:25" ht="19.5" thickBot="1" x14ac:dyDescent="0.4">
      <c r="B16" s="8"/>
      <c r="D16" s="7"/>
      <c r="E16" s="15"/>
      <c r="P16" s="6"/>
    </row>
    <row r="17" spans="2:16" x14ac:dyDescent="0.35">
      <c r="B17" s="8"/>
      <c r="C17" s="8"/>
      <c r="D17" s="9"/>
      <c r="F17" s="221"/>
      <c r="G17" s="3"/>
      <c r="J17" s="221"/>
      <c r="K17" s="221"/>
      <c r="M17" s="3"/>
      <c r="N17" s="3"/>
      <c r="P17" s="6"/>
    </row>
    <row r="18" spans="2:16" x14ac:dyDescent="0.35">
      <c r="B18" s="8"/>
      <c r="C18" s="3" t="e">
        <f>D18/1000</f>
        <v>#REF!</v>
      </c>
      <c r="D18" s="9" t="e">
        <f t="array" ref="D18:D29">TRANSPOSE(#REF!)</f>
        <v>#REF!</v>
      </c>
      <c r="E18" s="221"/>
      <c r="F18" s="221"/>
      <c r="G18" s="3"/>
      <c r="J18" s="221"/>
      <c r="K18" s="221"/>
      <c r="M18" s="3"/>
      <c r="N18" s="3"/>
      <c r="P18" s="6"/>
    </row>
    <row r="19" spans="2:16" x14ac:dyDescent="0.35">
      <c r="B19" s="8"/>
      <c r="C19" s="3" t="e">
        <f t="shared" ref="C19:C29" si="6">D19/1000</f>
        <v>#REF!</v>
      </c>
      <c r="D19" s="9" t="e">
        <v>#REF!</v>
      </c>
      <c r="E19" s="221"/>
      <c r="F19" s="221"/>
      <c r="G19" s="3"/>
      <c r="J19" s="221"/>
      <c r="K19" s="221"/>
      <c r="M19" s="3"/>
      <c r="N19" s="3"/>
      <c r="P19" s="6"/>
    </row>
    <row r="20" spans="2:16" x14ac:dyDescent="0.35">
      <c r="B20" s="8"/>
      <c r="C20" s="3" t="e">
        <f t="shared" si="6"/>
        <v>#REF!</v>
      </c>
      <c r="D20" s="9" t="e">
        <v>#REF!</v>
      </c>
      <c r="E20" s="221"/>
      <c r="F20" s="221"/>
      <c r="G20" s="3"/>
      <c r="J20" s="221"/>
      <c r="K20" s="221"/>
      <c r="M20" s="3"/>
      <c r="N20" s="3"/>
    </row>
    <row r="21" spans="2:16" x14ac:dyDescent="0.35">
      <c r="B21" s="8"/>
      <c r="C21" s="3" t="e">
        <f t="shared" si="6"/>
        <v>#REF!</v>
      </c>
      <c r="D21" s="9" t="e">
        <v>#REF!</v>
      </c>
      <c r="E21" s="221"/>
      <c r="F21" s="221"/>
      <c r="G21" s="3"/>
      <c r="J21" s="221"/>
      <c r="K21" s="221"/>
      <c r="M21" s="3"/>
      <c r="N21" s="3"/>
    </row>
    <row r="22" spans="2:16" x14ac:dyDescent="0.35">
      <c r="B22" s="8"/>
      <c r="C22" s="3" t="e">
        <f t="shared" si="6"/>
        <v>#REF!</v>
      </c>
      <c r="D22" s="9" t="e">
        <v>#REF!</v>
      </c>
      <c r="E22" s="221"/>
      <c r="F22" s="221"/>
      <c r="G22" s="3"/>
      <c r="J22" s="221"/>
      <c r="K22" s="221"/>
      <c r="M22" s="3"/>
      <c r="N22" s="3"/>
    </row>
    <row r="23" spans="2:16" x14ac:dyDescent="0.35">
      <c r="B23" s="8"/>
      <c r="C23" s="3" t="e">
        <f t="shared" si="6"/>
        <v>#REF!</v>
      </c>
      <c r="D23" s="9" t="e">
        <v>#REF!</v>
      </c>
      <c r="E23" s="221"/>
      <c r="F23" s="221"/>
      <c r="G23" s="3"/>
      <c r="J23" s="221"/>
      <c r="K23" s="221"/>
      <c r="M23" s="3"/>
      <c r="N23" s="3"/>
    </row>
    <row r="24" spans="2:16" x14ac:dyDescent="0.35">
      <c r="B24" s="8"/>
      <c r="C24" s="3" t="e">
        <f t="shared" si="6"/>
        <v>#REF!</v>
      </c>
      <c r="D24" s="9" t="e">
        <v>#REF!</v>
      </c>
      <c r="E24" s="221"/>
      <c r="F24" s="221"/>
      <c r="G24" s="3"/>
      <c r="J24" s="221"/>
      <c r="K24" s="221"/>
      <c r="M24" s="3"/>
      <c r="N24" s="3"/>
    </row>
    <row r="25" spans="2:16" x14ac:dyDescent="0.35">
      <c r="B25" s="8"/>
      <c r="C25" s="3" t="e">
        <f t="shared" si="6"/>
        <v>#REF!</v>
      </c>
      <c r="D25" s="9" t="e">
        <v>#REF!</v>
      </c>
      <c r="E25" s="221"/>
      <c r="F25" s="221"/>
      <c r="G25" s="3"/>
      <c r="J25" s="221"/>
      <c r="K25" s="221"/>
      <c r="M25" s="3"/>
      <c r="N25" s="3"/>
    </row>
    <row r="26" spans="2:16" x14ac:dyDescent="0.35">
      <c r="B26" s="8"/>
      <c r="C26" s="3" t="e">
        <f t="shared" si="6"/>
        <v>#REF!</v>
      </c>
      <c r="D26" s="9" t="e">
        <v>#REF!</v>
      </c>
      <c r="E26" s="221"/>
      <c r="F26" s="221"/>
      <c r="G26" s="3"/>
      <c r="J26" s="221"/>
      <c r="K26" s="221"/>
      <c r="M26" s="3"/>
      <c r="N26" s="3"/>
    </row>
    <row r="27" spans="2:16" x14ac:dyDescent="0.35">
      <c r="B27" s="8"/>
      <c r="C27" s="3" t="e">
        <f>D27/1000</f>
        <v>#REF!</v>
      </c>
      <c r="D27" s="9" t="e">
        <v>#REF!</v>
      </c>
      <c r="E27" s="221"/>
      <c r="F27" s="221"/>
      <c r="G27" s="3"/>
      <c r="J27" s="221"/>
      <c r="K27" s="221"/>
      <c r="M27" s="3"/>
      <c r="N27" s="3"/>
    </row>
    <row r="28" spans="2:16" x14ac:dyDescent="0.35">
      <c r="C28" s="3" t="e">
        <f t="shared" si="6"/>
        <v>#REF!</v>
      </c>
      <c r="D28" s="9" t="e">
        <v>#REF!</v>
      </c>
      <c r="E28" s="221"/>
      <c r="F28" s="221"/>
      <c r="G28" s="3"/>
      <c r="J28" s="221"/>
      <c r="K28" s="221"/>
      <c r="M28" s="3"/>
      <c r="N28" s="3"/>
    </row>
    <row r="29" spans="2:16" x14ac:dyDescent="0.35">
      <c r="B29" s="8"/>
      <c r="C29" s="3" t="e">
        <f t="shared" si="6"/>
        <v>#REF!</v>
      </c>
      <c r="D29" s="5" t="e">
        <v>#REF!</v>
      </c>
      <c r="E29" s="221"/>
    </row>
    <row r="30" spans="2:16" x14ac:dyDescent="0.35">
      <c r="B30" s="8"/>
      <c r="D30" s="5"/>
    </row>
    <row r="31" spans="2:16" x14ac:dyDescent="0.35"/>
    <row r="32" spans="2:16" x14ac:dyDescent="0.35"/>
    <row r="33" spans="1:15" x14ac:dyDescent="0.35"/>
    <row r="34" spans="1:15" x14ac:dyDescent="0.35"/>
    <row r="35" spans="1:15" x14ac:dyDescent="0.35"/>
    <row r="36" spans="1:15" x14ac:dyDescent="0.35"/>
    <row r="37" spans="1:15" x14ac:dyDescent="0.35"/>
    <row r="38" spans="1:15" ht="23.25" x14ac:dyDescent="0.35">
      <c r="A38" s="76"/>
      <c r="B38" s="1443">
        <v>2020</v>
      </c>
      <c r="C38" s="1444"/>
      <c r="D38" s="1444"/>
      <c r="E38" s="1444"/>
      <c r="F38" s="1444"/>
      <c r="G38" s="1444"/>
      <c r="H38" s="1444"/>
      <c r="I38" s="1444"/>
      <c r="J38" s="1444"/>
      <c r="K38" s="1444"/>
      <c r="L38" s="1444"/>
      <c r="M38" s="1445"/>
    </row>
    <row r="39" spans="1:15" ht="23.25" x14ac:dyDescent="0.35">
      <c r="A39" s="77"/>
      <c r="B39" s="75" t="s">
        <v>0</v>
      </c>
      <c r="C39" s="75" t="s">
        <v>1</v>
      </c>
      <c r="D39" s="75" t="s">
        <v>2</v>
      </c>
      <c r="E39" s="75" t="s">
        <v>3</v>
      </c>
      <c r="F39" s="75" t="s">
        <v>4</v>
      </c>
      <c r="G39" s="75" t="s">
        <v>5</v>
      </c>
      <c r="H39" s="75" t="s">
        <v>6</v>
      </c>
      <c r="I39" s="75" t="s">
        <v>7</v>
      </c>
      <c r="J39" s="75" t="s">
        <v>8</v>
      </c>
      <c r="K39" s="75" t="s">
        <v>9</v>
      </c>
      <c r="L39" s="75" t="s">
        <v>10</v>
      </c>
      <c r="M39" s="78" t="s">
        <v>11</v>
      </c>
    </row>
    <row r="40" spans="1:15" ht="24" x14ac:dyDescent="0.45">
      <c r="A40" s="82" t="s">
        <v>42</v>
      </c>
      <c r="B40" s="74">
        <v>-0.26900000000000002</v>
      </c>
      <c r="C40" s="74">
        <v>1.9E-2</v>
      </c>
      <c r="D40" s="74">
        <v>-0.5</v>
      </c>
      <c r="E40" s="74">
        <v>-0.5</v>
      </c>
      <c r="F40" s="74">
        <v>-0.5</v>
      </c>
      <c r="G40" s="74">
        <v>-0.5</v>
      </c>
      <c r="H40" s="74">
        <v>0.05</v>
      </c>
      <c r="I40" s="74">
        <v>0.1</v>
      </c>
      <c r="J40" s="74">
        <v>0.15</v>
      </c>
      <c r="K40" s="74">
        <v>0.3</v>
      </c>
      <c r="L40" s="74">
        <v>0.60959089677594103</v>
      </c>
      <c r="M40" s="79">
        <v>0.60959089677594147</v>
      </c>
      <c r="N40" s="317"/>
      <c r="O40" s="90"/>
    </row>
    <row r="41" spans="1:15" ht="24" x14ac:dyDescent="0.45">
      <c r="A41" s="82" t="s">
        <v>36</v>
      </c>
      <c r="B41" s="74">
        <v>0.72199999999999998</v>
      </c>
      <c r="C41" s="74">
        <v>-0.159</v>
      </c>
      <c r="D41" s="74">
        <v>-1.4175093081761001</v>
      </c>
      <c r="E41" s="74">
        <v>0.969661018867924</v>
      </c>
      <c r="F41" s="74">
        <v>1.2921456855345907</v>
      </c>
      <c r="G41" s="74">
        <v>0.69721301886792408</v>
      </c>
      <c r="H41" s="74">
        <v>1.4101136226415092</v>
      </c>
      <c r="I41" s="74">
        <v>1.5257436226415093</v>
      </c>
      <c r="J41" s="74">
        <v>0.64213628930817568</v>
      </c>
      <c r="K41" s="74">
        <v>1.2757851572327044</v>
      </c>
      <c r="L41" s="74">
        <v>1.8117658238993708</v>
      </c>
      <c r="M41" s="79">
        <v>1.248843157232705</v>
      </c>
      <c r="N41" s="317"/>
      <c r="O41" s="90"/>
    </row>
    <row r="42" spans="1:15" ht="24" x14ac:dyDescent="0.45">
      <c r="A42" s="82" t="s">
        <v>37</v>
      </c>
      <c r="B42" s="74">
        <v>-0.8944427975994238</v>
      </c>
      <c r="C42" s="74">
        <v>-1.1166237322425692</v>
      </c>
      <c r="D42" s="74">
        <v>-1.1111751241071428</v>
      </c>
      <c r="E42" s="74">
        <v>-0.33886046128571429</v>
      </c>
      <c r="F42" s="74">
        <v>-1.5100516646537141</v>
      </c>
      <c r="G42" s="74">
        <v>-0.22824160592857143</v>
      </c>
      <c r="H42" s="74">
        <v>-1.5500067848477452</v>
      </c>
      <c r="I42" s="74">
        <v>-1.2639662353834595</v>
      </c>
      <c r="J42" s="74">
        <v>-2.4758601241071423</v>
      </c>
      <c r="K42" s="74">
        <v>-0.3752624726864216</v>
      </c>
      <c r="L42" s="74">
        <v>-0.15119079768642155</v>
      </c>
      <c r="M42" s="79">
        <v>-0.27293168932927869</v>
      </c>
      <c r="N42" s="317"/>
      <c r="O42" s="90"/>
    </row>
    <row r="43" spans="1:15" ht="24" x14ac:dyDescent="0.45">
      <c r="A43" s="82" t="s">
        <v>38</v>
      </c>
      <c r="B43" s="74">
        <v>0.50298984900225319</v>
      </c>
      <c r="C43" s="74">
        <v>1.323205379109855</v>
      </c>
      <c r="D43" s="74">
        <v>-0.28591382971590379</v>
      </c>
      <c r="E43" s="74">
        <v>0.3</v>
      </c>
      <c r="F43" s="74">
        <v>0.3</v>
      </c>
      <c r="G43" s="74">
        <v>0.3</v>
      </c>
      <c r="H43" s="74">
        <v>0</v>
      </c>
      <c r="I43" s="74">
        <v>0</v>
      </c>
      <c r="J43" s="74">
        <v>0</v>
      </c>
      <c r="K43" s="74">
        <v>0</v>
      </c>
      <c r="L43" s="74">
        <v>0</v>
      </c>
      <c r="M43" s="79">
        <v>0</v>
      </c>
      <c r="N43" s="317"/>
      <c r="O43" s="90"/>
    </row>
    <row r="44" spans="1:15" ht="24" x14ac:dyDescent="0.45">
      <c r="A44" s="82" t="s">
        <v>39</v>
      </c>
      <c r="B44" s="74">
        <v>0.2</v>
      </c>
      <c r="C44" s="74">
        <v>0.3</v>
      </c>
      <c r="D44" s="74">
        <v>0</v>
      </c>
      <c r="E44" s="88">
        <v>0</v>
      </c>
      <c r="F44" s="88">
        <v>0</v>
      </c>
      <c r="G44" s="88">
        <v>0</v>
      </c>
      <c r="H44" s="88">
        <v>0</v>
      </c>
      <c r="I44" s="88">
        <v>0</v>
      </c>
      <c r="J44" s="88">
        <v>0.25</v>
      </c>
      <c r="K44" s="88">
        <v>0.25</v>
      </c>
      <c r="L44" s="88">
        <v>0.25</v>
      </c>
      <c r="M44" s="89">
        <v>0.25</v>
      </c>
      <c r="N44" s="318"/>
      <c r="O44" s="90"/>
    </row>
    <row r="45" spans="1:15" ht="24" x14ac:dyDescent="0.45">
      <c r="A45" s="82" t="s">
        <v>40</v>
      </c>
      <c r="B45" s="74">
        <v>0</v>
      </c>
      <c r="C45" s="74">
        <v>-0.3</v>
      </c>
      <c r="D45" s="74">
        <v>0</v>
      </c>
      <c r="E45" s="74">
        <v>0</v>
      </c>
      <c r="F45" s="74">
        <v>0</v>
      </c>
      <c r="G45" s="74">
        <v>0</v>
      </c>
      <c r="H45" s="74">
        <v>0</v>
      </c>
      <c r="I45" s="74">
        <v>0</v>
      </c>
      <c r="J45" s="74">
        <v>0</v>
      </c>
      <c r="K45" s="74">
        <v>0</v>
      </c>
      <c r="L45" s="74">
        <v>0</v>
      </c>
      <c r="M45" s="79">
        <v>0</v>
      </c>
      <c r="N45" s="317"/>
      <c r="O45" s="90"/>
    </row>
    <row r="46" spans="1:15" ht="24" x14ac:dyDescent="0.45">
      <c r="A46" s="83" t="s">
        <v>82</v>
      </c>
      <c r="B46" s="74">
        <f>(B44+B45)</f>
        <v>0.2</v>
      </c>
      <c r="C46" s="74">
        <f t="shared" ref="C46:M46" si="7">(C44+C45)*$L$2</f>
        <v>0</v>
      </c>
      <c r="D46" s="88">
        <f t="shared" si="7"/>
        <v>0</v>
      </c>
      <c r="E46" s="88">
        <f t="shared" si="7"/>
        <v>0</v>
      </c>
      <c r="F46" s="88">
        <f t="shared" si="7"/>
        <v>0</v>
      </c>
      <c r="G46" s="88">
        <f t="shared" si="7"/>
        <v>0</v>
      </c>
      <c r="H46" s="88">
        <f t="shared" si="7"/>
        <v>0</v>
      </c>
      <c r="I46" s="88">
        <f t="shared" si="7"/>
        <v>0</v>
      </c>
      <c r="J46" s="88">
        <f t="shared" si="7"/>
        <v>0.25</v>
      </c>
      <c r="K46" s="88">
        <f t="shared" si="7"/>
        <v>0.25</v>
      </c>
      <c r="L46" s="88">
        <f t="shared" si="7"/>
        <v>0.25</v>
      </c>
      <c r="M46" s="89">
        <f t="shared" si="7"/>
        <v>0.25</v>
      </c>
      <c r="N46" s="318"/>
      <c r="O46" s="90"/>
    </row>
    <row r="47" spans="1:15" ht="24" x14ac:dyDescent="0.45">
      <c r="A47" s="82" t="s">
        <v>41</v>
      </c>
      <c r="B47" s="74">
        <v>1.1000000000000001</v>
      </c>
      <c r="C47" s="74">
        <v>0</v>
      </c>
      <c r="D47" s="74">
        <v>0</v>
      </c>
      <c r="E47" s="74">
        <v>0.33</v>
      </c>
      <c r="F47" s="74">
        <v>5.33</v>
      </c>
      <c r="G47" s="74">
        <v>0.33</v>
      </c>
      <c r="H47" s="74">
        <v>1</v>
      </c>
      <c r="I47" s="74">
        <v>0</v>
      </c>
      <c r="J47" s="74">
        <v>0</v>
      </c>
      <c r="K47" s="74">
        <v>0</v>
      </c>
      <c r="L47" s="74">
        <v>0</v>
      </c>
      <c r="M47" s="79">
        <v>0</v>
      </c>
      <c r="N47" s="317"/>
      <c r="O47" s="90"/>
    </row>
    <row r="48" spans="1:15" ht="66.75" customHeight="1" x14ac:dyDescent="0.35">
      <c r="A48" s="80" t="s">
        <v>35</v>
      </c>
      <c r="B48" s="84">
        <f t="shared" ref="B48:M48" si="8">SUM(B40:B47)-B44-B45</f>
        <v>1.3615470514028296</v>
      </c>
      <c r="C48" s="84">
        <f t="shared" si="8"/>
        <v>6.658164686728596E-2</v>
      </c>
      <c r="D48" s="84">
        <f t="shared" si="8"/>
        <v>-3.314598261999147</v>
      </c>
      <c r="E48" s="84">
        <f t="shared" si="8"/>
        <v>0.76080055758220966</v>
      </c>
      <c r="F48" s="84">
        <f t="shared" si="8"/>
        <v>4.9120940208808763</v>
      </c>
      <c r="G48" s="84">
        <f t="shared" si="8"/>
        <v>0.59897141293935263</v>
      </c>
      <c r="H48" s="84">
        <f t="shared" si="8"/>
        <v>0.910106837793764</v>
      </c>
      <c r="I48" s="84">
        <f t="shared" si="8"/>
        <v>0.36177738725804987</v>
      </c>
      <c r="J48" s="84">
        <f t="shared" si="8"/>
        <v>-1.4337238347989665</v>
      </c>
      <c r="K48" s="84">
        <f t="shared" si="8"/>
        <v>1.4505226845462829</v>
      </c>
      <c r="L48" s="84">
        <f>SUM(L40:L47)-L44-L45</f>
        <v>2.5201659229888902</v>
      </c>
      <c r="M48" s="85">
        <f t="shared" si="8"/>
        <v>1.8355023646793676</v>
      </c>
      <c r="N48" s="319"/>
    </row>
    <row r="49" spans="1:14" ht="23.25" x14ac:dyDescent="0.35">
      <c r="A49" s="81" t="s">
        <v>83</v>
      </c>
      <c r="B49" s="86">
        <f>B48</f>
        <v>1.3615470514028296</v>
      </c>
      <c r="C49" s="86">
        <f t="shared" ref="C49:K49" si="9">B49+C48</f>
        <v>1.4281286982701156</v>
      </c>
      <c r="D49" s="86">
        <f t="shared" si="9"/>
        <v>-1.8864695637290314</v>
      </c>
      <c r="E49" s="86">
        <f t="shared" si="9"/>
        <v>-1.1256690061468217</v>
      </c>
      <c r="F49" s="86">
        <f t="shared" si="9"/>
        <v>3.7864250147340544</v>
      </c>
      <c r="G49" s="86">
        <f t="shared" si="9"/>
        <v>4.385396427673407</v>
      </c>
      <c r="H49" s="86">
        <f t="shared" si="9"/>
        <v>5.295503265467171</v>
      </c>
      <c r="I49" s="86">
        <f t="shared" si="9"/>
        <v>5.6572806527252206</v>
      </c>
      <c r="J49" s="86">
        <f t="shared" si="9"/>
        <v>4.2235568179262541</v>
      </c>
      <c r="K49" s="86">
        <f t="shared" si="9"/>
        <v>5.6740795024725372</v>
      </c>
      <c r="L49" s="86">
        <f>K49+L48</f>
        <v>8.1942454254614283</v>
      </c>
      <c r="M49" s="87">
        <f>L49+M48</f>
        <v>10.029747790140796</v>
      </c>
      <c r="N49" s="319"/>
    </row>
    <row r="50" spans="1:14" x14ac:dyDescent="0.35"/>
    <row r="51" spans="1:14" x14ac:dyDescent="0.35"/>
    <row r="52" spans="1:14" x14ac:dyDescent="0.35"/>
    <row r="53" spans="1:14" x14ac:dyDescent="0.35"/>
    <row r="54" spans="1:14" ht="24" x14ac:dyDescent="0.45">
      <c r="A54" s="575" t="s">
        <v>240</v>
      </c>
      <c r="B54" s="576" t="s">
        <v>228</v>
      </c>
      <c r="C54" s="576" t="s">
        <v>229</v>
      </c>
      <c r="D54" s="576" t="s">
        <v>230</v>
      </c>
      <c r="E54" s="576" t="s">
        <v>231</v>
      </c>
      <c r="F54" s="576" t="s">
        <v>232</v>
      </c>
      <c r="G54" s="576" t="s">
        <v>233</v>
      </c>
      <c r="H54" s="576" t="s">
        <v>234</v>
      </c>
      <c r="I54" s="576" t="s">
        <v>235</v>
      </c>
      <c r="J54" s="576" t="s">
        <v>236</v>
      </c>
      <c r="K54" s="576" t="s">
        <v>237</v>
      </c>
      <c r="L54" s="576" t="s">
        <v>238</v>
      </c>
      <c r="M54" s="576" t="s">
        <v>239</v>
      </c>
    </row>
    <row r="55" spans="1:14" ht="21.75" x14ac:dyDescent="0.4">
      <c r="A55" s="569" t="s">
        <v>241</v>
      </c>
      <c r="B55" s="570" t="e">
        <f t="array" ref="B55:M55">TRANSPOSE(G4:G15)</f>
        <v>#REF!</v>
      </c>
      <c r="C55" s="570" t="e">
        <v>#REF!</v>
      </c>
      <c r="D55" s="570" t="e">
        <v>#REF!</v>
      </c>
      <c r="E55" s="570" t="e">
        <v>#REF!</v>
      </c>
      <c r="F55" s="570" t="e">
        <v>#REF!</v>
      </c>
      <c r="G55" s="570" t="e">
        <v>#REF!</v>
      </c>
      <c r="H55" s="570" t="e">
        <v>#REF!</v>
      </c>
      <c r="I55" s="570" t="e">
        <v>#REF!</v>
      </c>
      <c r="J55" s="570" t="e">
        <v>#REF!</v>
      </c>
      <c r="K55" s="570" t="e">
        <v>#REF!</v>
      </c>
      <c r="L55" s="570" t="e">
        <v>#REF!</v>
      </c>
      <c r="M55" s="570" t="e">
        <v>#REF!</v>
      </c>
    </row>
    <row r="56" spans="1:14" ht="21.75" x14ac:dyDescent="0.4">
      <c r="A56" s="571" t="s">
        <v>242</v>
      </c>
      <c r="B56" s="572" t="e">
        <f t="array" ref="B56:M56">TRANSPOSE(L4:L15)</f>
        <v>#REF!</v>
      </c>
      <c r="C56" s="572" t="e">
        <v>#REF!</v>
      </c>
      <c r="D56" s="572" t="e">
        <v>#REF!</v>
      </c>
      <c r="E56" s="572" t="e">
        <v>#REF!</v>
      </c>
      <c r="F56" s="572" t="e">
        <v>#REF!</v>
      </c>
      <c r="G56" s="572" t="e">
        <v>#REF!</v>
      </c>
      <c r="H56" s="572" t="e">
        <v>#REF!</v>
      </c>
      <c r="I56" s="572" t="e">
        <v>#REF!</v>
      </c>
      <c r="J56" s="572" t="e">
        <v>#REF!</v>
      </c>
      <c r="K56" s="572" t="e">
        <v>#REF!</v>
      </c>
      <c r="L56" s="572" t="e">
        <v>#REF!</v>
      </c>
      <c r="M56" s="572" t="e">
        <v>#REF!</v>
      </c>
    </row>
    <row r="57" spans="1:14" ht="21.75" x14ac:dyDescent="0.4">
      <c r="A57" s="569" t="s">
        <v>243</v>
      </c>
      <c r="B57" s="570" t="e">
        <f t="array" ref="B57:M57">TRANSPOSE(M4:M15)</f>
        <v>#REF!</v>
      </c>
      <c r="C57" s="570" t="e">
        <v>#REF!</v>
      </c>
      <c r="D57" s="570" t="e">
        <v>#REF!</v>
      </c>
      <c r="E57" s="570" t="e">
        <v>#REF!</v>
      </c>
      <c r="F57" s="570" t="e">
        <v>#REF!</v>
      </c>
      <c r="G57" s="570" t="e">
        <v>#REF!</v>
      </c>
      <c r="H57" s="570" t="e">
        <v>#REF!</v>
      </c>
      <c r="I57" s="570" t="e">
        <v>#REF!</v>
      </c>
      <c r="J57" s="570" t="e">
        <v>#REF!</v>
      </c>
      <c r="K57" s="570" t="e">
        <v>#REF!</v>
      </c>
      <c r="L57" s="570" t="e">
        <v>#REF!</v>
      </c>
      <c r="M57" s="570" t="e">
        <v>#REF!</v>
      </c>
    </row>
    <row r="58" spans="1:14" ht="21.75" x14ac:dyDescent="0.4">
      <c r="A58" s="571" t="s">
        <v>244</v>
      </c>
      <c r="B58" s="572" t="e">
        <f t="array" ref="B58:M58">TRANSPOSE(E4:E15)</f>
        <v>#REF!</v>
      </c>
      <c r="C58" s="572" t="e">
        <v>#REF!</v>
      </c>
      <c r="D58" s="572" t="e">
        <v>#REF!</v>
      </c>
      <c r="E58" s="572" t="e">
        <v>#REF!</v>
      </c>
      <c r="F58" s="572" t="e">
        <v>#REF!</v>
      </c>
      <c r="G58" s="572" t="e">
        <v>#REF!</v>
      </c>
      <c r="H58" s="572" t="e">
        <v>#REF!</v>
      </c>
      <c r="I58" s="572" t="e">
        <v>#REF!</v>
      </c>
      <c r="J58" s="572" t="e">
        <v>#REF!</v>
      </c>
      <c r="K58" s="572" t="e">
        <v>#REF!</v>
      </c>
      <c r="L58" s="572" t="e">
        <v>#REF!</v>
      </c>
      <c r="M58" s="572" t="e">
        <v>#REF!</v>
      </c>
    </row>
    <row r="59" spans="1:14" ht="21.75" x14ac:dyDescent="0.4">
      <c r="A59" s="573" t="s">
        <v>245</v>
      </c>
      <c r="B59" s="574" t="e">
        <f t="array" ref="B59:M59">TRANSPOSE(D4:D15)</f>
        <v>#REF!</v>
      </c>
      <c r="C59" s="574" t="e">
        <v>#REF!</v>
      </c>
      <c r="D59" s="574" t="e">
        <v>#REF!</v>
      </c>
      <c r="E59" s="574" t="e">
        <v>#REF!</v>
      </c>
      <c r="F59" s="574" t="e">
        <v>#REF!</v>
      </c>
      <c r="G59" s="574" t="e">
        <v>#REF!</v>
      </c>
      <c r="H59" s="574" t="e">
        <v>#REF!</v>
      </c>
      <c r="I59" s="574" t="e">
        <v>#REF!</v>
      </c>
      <c r="J59" s="574" t="e">
        <v>#REF!</v>
      </c>
      <c r="K59" s="574" t="e">
        <v>#REF!</v>
      </c>
      <c r="L59" s="574" t="e">
        <v>#REF!</v>
      </c>
      <c r="M59" s="574" t="e">
        <v>#REF!</v>
      </c>
    </row>
    <row r="60" spans="1:14" x14ac:dyDescent="0.35"/>
    <row r="61" spans="1:14" x14ac:dyDescent="0.35"/>
    <row r="62" spans="1:14" x14ac:dyDescent="0.35"/>
    <row r="63" spans="1:14" x14ac:dyDescent="0.35"/>
    <row r="64" spans="1:14" x14ac:dyDescent="0.35"/>
    <row r="65" x14ac:dyDescent="0.35"/>
    <row r="66" x14ac:dyDescent="0.35"/>
    <row r="67" x14ac:dyDescent="0.35"/>
    <row r="68" x14ac:dyDescent="0.35"/>
    <row r="69" x14ac:dyDescent="0.35"/>
    <row r="70" x14ac:dyDescent="0.35"/>
    <row r="71" x14ac:dyDescent="0.35"/>
    <row r="72" x14ac:dyDescent="0.35"/>
    <row r="73" x14ac:dyDescent="0.35"/>
    <row r="74" x14ac:dyDescent="0.35"/>
    <row r="75" x14ac:dyDescent="0.35"/>
    <row r="76" x14ac:dyDescent="0.35"/>
    <row r="77" x14ac:dyDescent="0.35"/>
    <row r="78" x14ac:dyDescent="0.35"/>
    <row r="79" x14ac:dyDescent="0.35"/>
    <row r="80" x14ac:dyDescent="0.35"/>
    <row r="81" x14ac:dyDescent="0.35"/>
    <row r="82" x14ac:dyDescent="0.35"/>
    <row r="83" x14ac:dyDescent="0.35"/>
    <row r="84" x14ac:dyDescent="0.35"/>
    <row r="85" x14ac:dyDescent="0.35"/>
    <row r="86" x14ac:dyDescent="0.35"/>
    <row r="87" x14ac:dyDescent="0.35"/>
    <row r="88" x14ac:dyDescent="0.35"/>
    <row r="89" x14ac:dyDescent="0.35"/>
    <row r="90" x14ac:dyDescent="0.35"/>
    <row r="91" x14ac:dyDescent="0.35"/>
    <row r="92" x14ac:dyDescent="0.35"/>
    <row r="93" x14ac:dyDescent="0.35"/>
    <row r="94" x14ac:dyDescent="0.35"/>
    <row r="95" x14ac:dyDescent="0.35"/>
    <row r="96" x14ac:dyDescent="0.35"/>
    <row r="97" x14ac:dyDescent="0.35"/>
    <row r="98" x14ac:dyDescent="0.35"/>
    <row r="99" x14ac:dyDescent="0.35"/>
    <row r="100" x14ac:dyDescent="0.35"/>
    <row r="101" x14ac:dyDescent="0.35"/>
    <row r="102" x14ac:dyDescent="0.35"/>
    <row r="103" x14ac:dyDescent="0.35"/>
    <row r="104" x14ac:dyDescent="0.35"/>
    <row r="105" x14ac:dyDescent="0.35"/>
    <row r="106" x14ac:dyDescent="0.35"/>
    <row r="107" x14ac:dyDescent="0.35"/>
    <row r="108" x14ac:dyDescent="0.35"/>
    <row r="109" x14ac:dyDescent="0.35"/>
    <row r="110" x14ac:dyDescent="0.35"/>
    <row r="111" x14ac:dyDescent="0.35"/>
    <row r="112" x14ac:dyDescent="0.35"/>
    <row r="113" x14ac:dyDescent="0.35"/>
    <row r="114" x14ac:dyDescent="0.35"/>
    <row r="115" x14ac:dyDescent="0.35"/>
    <row r="116" x14ac:dyDescent="0.35"/>
    <row r="117" x14ac:dyDescent="0.35"/>
    <row r="118" x14ac:dyDescent="0.35"/>
    <row r="119" x14ac:dyDescent="0.35"/>
    <row r="120" x14ac:dyDescent="0.35"/>
  </sheetData>
  <mergeCells count="1">
    <mergeCell ref="B38:M38"/>
  </mergeCells>
  <pageMargins left="0.7" right="0.7" top="0.75" bottom="0.75" header="0.3" footer="0.3"/>
  <pageSetup paperSize="9" orientation="portrait" horizontalDpi="4294967295" verticalDpi="4294967295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7"/>
  </sheetPr>
  <dimension ref="A1:FI129"/>
  <sheetViews>
    <sheetView zoomScale="85" zoomScaleNormal="85" workbookViewId="0">
      <pane xSplit="1" ySplit="37" topLeftCell="U38" activePane="bottomRight" state="frozen"/>
      <selection pane="topRight" activeCell="B1" sqref="B1"/>
      <selection pane="bottomLeft" activeCell="A38" sqref="A38"/>
      <selection pane="bottomRight" activeCell="U36" sqref="U36:U95"/>
    </sheetView>
  </sheetViews>
  <sheetFormatPr defaultRowHeight="18" x14ac:dyDescent="0.35"/>
  <cols>
    <col min="1" max="1" width="58" style="61" customWidth="1"/>
    <col min="2" max="5" width="0" style="61" hidden="1" customWidth="1"/>
    <col min="6" max="12" width="12.09765625" hidden="1" customWidth="1"/>
    <col min="13" max="13" width="36.09765625" hidden="1" customWidth="1"/>
    <col min="14" max="14" width="12.69921875" hidden="1" customWidth="1"/>
    <col min="15" max="18" width="10" hidden="1" customWidth="1"/>
    <col min="19" max="19" width="11.09765625" hidden="1" customWidth="1"/>
    <col min="20" max="20" width="14" hidden="1" customWidth="1"/>
    <col min="21" max="21" width="27.09765625" customWidth="1"/>
    <col min="22" max="22" width="14.69921875" style="391" customWidth="1"/>
    <col min="23" max="23" width="49.69921875" customWidth="1"/>
    <col min="24" max="27" width="14.69921875" hidden="1" customWidth="1"/>
    <col min="28" max="28" width="10" hidden="1" customWidth="1"/>
    <col min="29" max="30" width="11.69921875" hidden="1" customWidth="1"/>
    <col min="31" max="31" width="28.3984375" customWidth="1"/>
  </cols>
  <sheetData>
    <row r="1" spans="1:22" ht="1.35" customHeight="1" x14ac:dyDescent="0.35">
      <c r="A1" s="19"/>
      <c r="B1" s="20" t="s">
        <v>43</v>
      </c>
      <c r="C1" s="20" t="s">
        <v>44</v>
      </c>
      <c r="D1" s="20" t="s">
        <v>45</v>
      </c>
      <c r="E1" s="20" t="s">
        <v>46</v>
      </c>
      <c r="F1" s="17"/>
      <c r="V1" s="390"/>
    </row>
    <row r="2" spans="1:22" ht="23.25" hidden="1" x14ac:dyDescent="0.35">
      <c r="A2" s="20" t="s">
        <v>47</v>
      </c>
      <c r="B2" s="21">
        <v>575</v>
      </c>
      <c r="C2" s="22">
        <v>270</v>
      </c>
      <c r="D2" s="23">
        <v>887</v>
      </c>
      <c r="E2" s="24">
        <v>968</v>
      </c>
      <c r="F2" s="17"/>
    </row>
    <row r="3" spans="1:22" ht="23.25" hidden="1" x14ac:dyDescent="0.35">
      <c r="A3" s="20" t="s">
        <v>48</v>
      </c>
      <c r="B3" s="25">
        <v>166</v>
      </c>
      <c r="C3" s="22">
        <v>83</v>
      </c>
      <c r="D3" s="26">
        <v>352</v>
      </c>
      <c r="E3" s="24">
        <v>361</v>
      </c>
      <c r="F3" s="17"/>
    </row>
    <row r="4" spans="1:22" ht="23.25" hidden="1" x14ac:dyDescent="0.35">
      <c r="A4" s="20" t="s">
        <v>49</v>
      </c>
      <c r="B4" s="27">
        <v>158</v>
      </c>
      <c r="C4" s="22">
        <v>85</v>
      </c>
      <c r="D4" s="28">
        <v>288</v>
      </c>
      <c r="E4" s="24">
        <v>313</v>
      </c>
      <c r="F4" s="17"/>
    </row>
    <row r="5" spans="1:22" ht="23.25" hidden="1" x14ac:dyDescent="0.35">
      <c r="A5" s="20" t="s">
        <v>50</v>
      </c>
      <c r="B5" s="29">
        <v>145</v>
      </c>
      <c r="C5" s="22">
        <v>76</v>
      </c>
      <c r="D5" s="30">
        <v>250</v>
      </c>
      <c r="E5" s="24">
        <v>270</v>
      </c>
      <c r="F5" s="17"/>
    </row>
    <row r="6" spans="1:22" ht="23.25" hidden="1" x14ac:dyDescent="0.35">
      <c r="A6" s="20" t="s">
        <v>51</v>
      </c>
      <c r="B6" s="31">
        <v>83</v>
      </c>
      <c r="C6" s="22">
        <v>45</v>
      </c>
      <c r="D6" s="32">
        <v>155</v>
      </c>
      <c r="E6" s="24">
        <v>176</v>
      </c>
      <c r="F6" s="17"/>
    </row>
    <row r="7" spans="1:22" ht="6" hidden="1" customHeight="1" x14ac:dyDescent="0.35">
      <c r="A7" s="20" t="s">
        <v>52</v>
      </c>
      <c r="B7" s="33">
        <v>81</v>
      </c>
      <c r="C7" s="22">
        <v>39</v>
      </c>
      <c r="D7" s="34">
        <v>118</v>
      </c>
      <c r="E7" s="24">
        <v>133</v>
      </c>
      <c r="F7" s="17"/>
    </row>
    <row r="8" spans="1:22" ht="23.25" hidden="1" x14ac:dyDescent="0.35">
      <c r="A8" s="20" t="s">
        <v>53</v>
      </c>
      <c r="B8" s="35">
        <v>72</v>
      </c>
      <c r="C8" s="22">
        <v>35</v>
      </c>
      <c r="D8" s="36">
        <v>115</v>
      </c>
      <c r="E8" s="24">
        <v>124</v>
      </c>
      <c r="F8" s="17"/>
    </row>
    <row r="9" spans="1:22" ht="23.25" hidden="1" x14ac:dyDescent="0.35">
      <c r="A9" s="20" t="s">
        <v>54</v>
      </c>
      <c r="B9" s="37">
        <v>59</v>
      </c>
      <c r="C9" s="22">
        <v>31</v>
      </c>
      <c r="D9" s="38">
        <v>96</v>
      </c>
      <c r="E9" s="24">
        <v>108</v>
      </c>
      <c r="F9" s="17"/>
    </row>
    <row r="10" spans="1:22" ht="23.25" hidden="1" x14ac:dyDescent="0.35">
      <c r="A10" s="20" t="s">
        <v>55</v>
      </c>
      <c r="B10" s="39">
        <v>58</v>
      </c>
      <c r="C10" s="22">
        <v>28</v>
      </c>
      <c r="D10" s="40">
        <v>86</v>
      </c>
      <c r="E10" s="24">
        <v>89</v>
      </c>
      <c r="F10" s="17"/>
    </row>
    <row r="11" spans="1:22" ht="23.25" hidden="1" x14ac:dyDescent="0.35">
      <c r="A11" s="20" t="s">
        <v>56</v>
      </c>
      <c r="B11" s="41">
        <v>23</v>
      </c>
      <c r="C11" s="22">
        <v>14</v>
      </c>
      <c r="D11" s="42">
        <v>45</v>
      </c>
      <c r="E11" s="24">
        <v>58</v>
      </c>
      <c r="F11" s="17"/>
    </row>
    <row r="12" spans="1:22" ht="23.25" hidden="1" x14ac:dyDescent="0.35">
      <c r="A12" s="20" t="s">
        <v>57</v>
      </c>
      <c r="B12" s="37">
        <v>30</v>
      </c>
      <c r="C12" s="22">
        <v>15</v>
      </c>
      <c r="D12" s="40">
        <v>50</v>
      </c>
      <c r="E12" s="24">
        <v>52</v>
      </c>
      <c r="F12" s="17"/>
    </row>
    <row r="13" spans="1:22" ht="23.25" hidden="1" x14ac:dyDescent="0.35">
      <c r="A13" s="20" t="s">
        <v>58</v>
      </c>
      <c r="B13" s="43">
        <v>21</v>
      </c>
      <c r="C13" s="22">
        <v>10</v>
      </c>
      <c r="D13" s="44">
        <v>33</v>
      </c>
      <c r="E13" s="24">
        <v>37</v>
      </c>
      <c r="F13" s="17"/>
    </row>
    <row r="14" spans="1:22" ht="23.25" hidden="1" x14ac:dyDescent="0.35">
      <c r="A14" s="20" t="s">
        <v>59</v>
      </c>
      <c r="B14" s="45">
        <v>19</v>
      </c>
      <c r="C14" s="22">
        <v>10</v>
      </c>
      <c r="D14" s="46">
        <v>31</v>
      </c>
      <c r="E14" s="24">
        <v>36</v>
      </c>
      <c r="F14" s="17"/>
    </row>
    <row r="15" spans="1:22" ht="23.25" hidden="1" x14ac:dyDescent="0.35">
      <c r="A15" s="20" t="s">
        <v>60</v>
      </c>
      <c r="B15" s="47">
        <v>19</v>
      </c>
      <c r="C15" s="22">
        <v>10</v>
      </c>
      <c r="D15" s="23">
        <v>29</v>
      </c>
      <c r="E15" s="24">
        <v>32</v>
      </c>
      <c r="F15" s="17"/>
    </row>
    <row r="16" spans="1:22" ht="23.25" hidden="1" x14ac:dyDescent="0.35">
      <c r="A16" s="20" t="s">
        <v>61</v>
      </c>
      <c r="B16" s="48">
        <v>15</v>
      </c>
      <c r="C16" s="22">
        <v>8</v>
      </c>
      <c r="D16" s="49">
        <v>22</v>
      </c>
      <c r="E16" s="24">
        <v>26</v>
      </c>
      <c r="F16" s="17"/>
    </row>
    <row r="17" spans="1:28" ht="23.25" hidden="1" x14ac:dyDescent="0.35">
      <c r="A17" s="20" t="s">
        <v>62</v>
      </c>
      <c r="B17" s="50">
        <v>13</v>
      </c>
      <c r="C17" s="22">
        <v>7</v>
      </c>
      <c r="D17" s="51">
        <v>21</v>
      </c>
      <c r="E17" s="24">
        <v>24</v>
      </c>
      <c r="F17" s="17"/>
    </row>
    <row r="18" spans="1:28" ht="23.25" hidden="1" x14ac:dyDescent="0.35">
      <c r="A18" s="20" t="s">
        <v>63</v>
      </c>
      <c r="B18" s="39">
        <v>14</v>
      </c>
      <c r="C18" s="22">
        <v>7</v>
      </c>
      <c r="D18" s="52">
        <v>20</v>
      </c>
      <c r="E18" s="24">
        <v>22</v>
      </c>
      <c r="F18" s="17"/>
    </row>
    <row r="19" spans="1:28" ht="21" hidden="1" customHeight="1" x14ac:dyDescent="0.35">
      <c r="A19" s="20" t="s">
        <v>64</v>
      </c>
      <c r="B19" s="53">
        <v>11</v>
      </c>
      <c r="C19" s="22">
        <v>6</v>
      </c>
      <c r="D19" s="54">
        <v>20</v>
      </c>
      <c r="E19" s="24">
        <v>22</v>
      </c>
      <c r="F19" s="17"/>
    </row>
    <row r="20" spans="1:28" ht="23.25" hidden="1" x14ac:dyDescent="0.35">
      <c r="A20" s="20" t="s">
        <v>65</v>
      </c>
      <c r="B20" s="27">
        <v>9</v>
      </c>
      <c r="C20" s="22">
        <v>5</v>
      </c>
      <c r="D20" s="55">
        <v>16</v>
      </c>
      <c r="E20" s="24">
        <v>16</v>
      </c>
      <c r="F20" s="17"/>
    </row>
    <row r="21" spans="1:28" ht="23.25" hidden="1" x14ac:dyDescent="0.35">
      <c r="A21" s="20" t="s">
        <v>66</v>
      </c>
      <c r="B21" s="37">
        <v>9</v>
      </c>
      <c r="C21" s="22">
        <v>5</v>
      </c>
      <c r="D21" s="24">
        <v>17</v>
      </c>
      <c r="E21" s="56">
        <v>13</v>
      </c>
      <c r="F21" s="17"/>
    </row>
    <row r="22" spans="1:28" ht="23.25" hidden="1" x14ac:dyDescent="0.35">
      <c r="A22" s="19"/>
      <c r="B22" s="57"/>
      <c r="C22" s="57"/>
      <c r="D22" s="57"/>
      <c r="E22" s="57"/>
      <c r="F22" s="17"/>
    </row>
    <row r="23" spans="1:28" ht="23.25" hidden="1" x14ac:dyDescent="0.35">
      <c r="A23" s="20" t="s">
        <v>67</v>
      </c>
      <c r="B23" s="29">
        <v>219</v>
      </c>
      <c r="C23" s="22">
        <v>120</v>
      </c>
      <c r="D23" s="58">
        <v>370</v>
      </c>
      <c r="E23" s="24">
        <v>402</v>
      </c>
      <c r="F23" s="17"/>
    </row>
    <row r="24" spans="1:28" ht="23.25" hidden="1" x14ac:dyDescent="0.35">
      <c r="A24" s="59"/>
      <c r="B24" s="60"/>
      <c r="C24" s="60"/>
      <c r="D24" s="60"/>
      <c r="E24" s="60"/>
      <c r="F24" s="18"/>
    </row>
    <row r="25" spans="1:28" hidden="1" x14ac:dyDescent="0.35"/>
    <row r="26" spans="1:28" hidden="1" x14ac:dyDescent="0.35"/>
    <row r="27" spans="1:28" ht="18.75" hidden="1" x14ac:dyDescent="0.35">
      <c r="F27" s="61"/>
      <c r="G27" s="61"/>
      <c r="H27" s="61"/>
      <c r="I27" s="61"/>
      <c r="J27" s="61"/>
      <c r="K27" s="61"/>
      <c r="L27" s="61"/>
      <c r="M27" s="310">
        <v>4846.1617066574408</v>
      </c>
      <c r="O27" s="310"/>
      <c r="P27" s="311"/>
      <c r="Q27" s="312"/>
      <c r="R27" s="310"/>
      <c r="S27" s="310"/>
      <c r="T27" s="310"/>
      <c r="U27" s="310"/>
      <c r="V27" s="392"/>
      <c r="W27" s="310"/>
      <c r="X27" s="310"/>
      <c r="Y27" s="310"/>
      <c r="Z27" s="310"/>
      <c r="AA27" s="310"/>
    </row>
    <row r="28" spans="1:28" ht="18.75" hidden="1" x14ac:dyDescent="0.35"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311">
        <v>4593.2913287482097</v>
      </c>
    </row>
    <row r="29" spans="1:28" ht="18.75" hidden="1" x14ac:dyDescent="0.35">
      <c r="M29" s="312">
        <v>4491.4096887181695</v>
      </c>
      <c r="N29">
        <v>1432</v>
      </c>
      <c r="O29">
        <v>563</v>
      </c>
      <c r="P29">
        <v>332</v>
      </c>
      <c r="Q29">
        <v>2070</v>
      </c>
      <c r="R29">
        <v>1418</v>
      </c>
      <c r="T29">
        <v>773</v>
      </c>
    </row>
    <row r="30" spans="1:28" ht="18.75" hidden="1" x14ac:dyDescent="0.35">
      <c r="F30" s="61"/>
      <c r="G30" s="61"/>
      <c r="H30" s="61"/>
      <c r="I30" s="61"/>
      <c r="J30" s="61"/>
      <c r="K30" s="61"/>
      <c r="L30" s="61"/>
      <c r="M30" s="310">
        <v>4915.6455960261119</v>
      </c>
    </row>
    <row r="31" spans="1:28" ht="18.75" hidden="1" x14ac:dyDescent="0.35">
      <c r="F31" s="61"/>
      <c r="G31" s="61"/>
      <c r="H31" s="61"/>
      <c r="I31" s="61"/>
      <c r="J31" s="61"/>
      <c r="K31" s="61"/>
      <c r="L31" s="61"/>
      <c r="M31" s="310">
        <v>4432.2917651450662</v>
      </c>
      <c r="N31" s="1"/>
      <c r="O31" s="1"/>
      <c r="P31" s="1"/>
      <c r="Q31" s="1"/>
      <c r="R31" s="1"/>
      <c r="S31" s="1"/>
      <c r="T31" s="1"/>
      <c r="U31" s="1"/>
      <c r="V31" s="393"/>
      <c r="W31" s="1"/>
      <c r="X31" s="1"/>
      <c r="Y31" s="1"/>
      <c r="Z31" s="1"/>
      <c r="AA31" s="1"/>
      <c r="AB31" s="1"/>
    </row>
    <row r="32" spans="1:28" ht="18.75" hidden="1" x14ac:dyDescent="0.35">
      <c r="M32" s="310">
        <v>4492.2794401628989</v>
      </c>
      <c r="N32" s="1"/>
      <c r="O32" s="1"/>
      <c r="P32" s="1"/>
      <c r="Q32" s="1"/>
      <c r="R32" s="1"/>
      <c r="S32" s="1"/>
      <c r="T32" s="1">
        <f>T56+203</f>
        <v>225</v>
      </c>
      <c r="U32" s="1"/>
      <c r="V32" s="393"/>
      <c r="W32" s="1"/>
      <c r="X32" s="1"/>
      <c r="Y32" s="1"/>
      <c r="Z32" s="1"/>
      <c r="AA32" s="1"/>
      <c r="AB32" s="1"/>
    </row>
    <row r="33" spans="1:165" ht="18.75" hidden="1" x14ac:dyDescent="0.35">
      <c r="A33"/>
      <c r="B33"/>
      <c r="C33">
        <v>1</v>
      </c>
      <c r="E33" s="61">
        <f>1342/P44</f>
        <v>1.0014925373134329</v>
      </c>
      <c r="M33" s="147"/>
      <c r="Q33" s="94"/>
      <c r="R33" s="238"/>
      <c r="S33" s="238"/>
      <c r="T33" s="238"/>
      <c r="U33" s="238"/>
      <c r="V33" s="394"/>
      <c r="W33" s="441"/>
      <c r="X33" s="238"/>
      <c r="Y33" s="238"/>
      <c r="Z33" s="238"/>
      <c r="AA33" s="238"/>
      <c r="AB33" s="238"/>
    </row>
    <row r="34" spans="1:165" ht="18.75" hidden="1" x14ac:dyDescent="0.35">
      <c r="A34"/>
      <c r="B34"/>
      <c r="C34">
        <v>1</v>
      </c>
      <c r="M34" s="147"/>
      <c r="N34" s="148"/>
      <c r="O34" s="148"/>
      <c r="P34" s="148"/>
      <c r="Q34" s="1"/>
      <c r="R34" s="108"/>
      <c r="S34" s="108"/>
      <c r="T34" s="149"/>
      <c r="U34" s="149"/>
      <c r="V34" s="395"/>
      <c r="W34" s="149"/>
      <c r="X34" s="149"/>
      <c r="Y34" s="149"/>
      <c r="Z34" s="1"/>
      <c r="AA34" s="1"/>
      <c r="AB34" s="1"/>
    </row>
    <row r="35" spans="1:165" ht="18.75" x14ac:dyDescent="0.35">
      <c r="A35" s="61" t="s">
        <v>130</v>
      </c>
      <c r="B35" s="1446">
        <v>2019</v>
      </c>
      <c r="C35" s="1446"/>
      <c r="D35" s="1446"/>
      <c r="E35" s="1446"/>
      <c r="F35" s="1446"/>
      <c r="G35" s="1446"/>
      <c r="H35" s="1446"/>
      <c r="I35" s="1446"/>
      <c r="J35" s="1446"/>
      <c r="K35" s="1446"/>
      <c r="L35" s="1446"/>
      <c r="M35" s="1446"/>
      <c r="N35" s="340">
        <v>2020</v>
      </c>
      <c r="O35" s="341"/>
      <c r="P35" s="341"/>
      <c r="Q35" s="341"/>
      <c r="R35" s="341"/>
      <c r="S35" s="341"/>
      <c r="T35" s="341"/>
      <c r="U35" s="353"/>
      <c r="V35" s="396" t="s">
        <v>12</v>
      </c>
      <c r="W35" s="442"/>
      <c r="X35" s="340"/>
      <c r="Y35" s="341"/>
      <c r="Z35" s="341"/>
      <c r="AA35" s="341"/>
      <c r="AB35" s="341"/>
    </row>
    <row r="36" spans="1:165" ht="18.75" x14ac:dyDescent="0.35">
      <c r="B36" s="339" t="s">
        <v>68</v>
      </c>
      <c r="C36" s="339" t="s">
        <v>69</v>
      </c>
      <c r="D36" s="339" t="s">
        <v>70</v>
      </c>
      <c r="E36" s="339" t="s">
        <v>71</v>
      </c>
      <c r="F36" s="339" t="s">
        <v>72</v>
      </c>
      <c r="G36" s="339" t="s">
        <v>73</v>
      </c>
      <c r="H36" s="339" t="s">
        <v>74</v>
      </c>
      <c r="I36" s="339" t="s">
        <v>75</v>
      </c>
      <c r="J36" s="339" t="s">
        <v>76</v>
      </c>
      <c r="K36" s="339" t="s">
        <v>77</v>
      </c>
      <c r="L36" s="339" t="s">
        <v>78</v>
      </c>
      <c r="M36" s="339" t="s">
        <v>79</v>
      </c>
      <c r="N36" s="232" t="s">
        <v>68</v>
      </c>
      <c r="O36" s="233" t="s">
        <v>69</v>
      </c>
      <c r="P36" s="233" t="s">
        <v>70</v>
      </c>
      <c r="Q36" s="233" t="s">
        <v>71</v>
      </c>
      <c r="R36" s="233" t="s">
        <v>72</v>
      </c>
      <c r="S36" s="233" t="s">
        <v>191</v>
      </c>
      <c r="T36" s="233" t="s">
        <v>74</v>
      </c>
      <c r="U36" s="325" t="s">
        <v>12</v>
      </c>
      <c r="V36" s="397" t="s">
        <v>109</v>
      </c>
      <c r="W36" s="443" t="s">
        <v>211</v>
      </c>
      <c r="X36" s="470" t="s">
        <v>75</v>
      </c>
      <c r="Y36" s="471" t="s">
        <v>76</v>
      </c>
      <c r="Z36" s="471" t="s">
        <v>77</v>
      </c>
      <c r="AA36" s="471" t="s">
        <v>78</v>
      </c>
      <c r="AB36" s="471" t="s">
        <v>79</v>
      </c>
      <c r="AC36" s="472" t="s">
        <v>133</v>
      </c>
      <c r="AD36" s="472" t="s">
        <v>134</v>
      </c>
      <c r="AE36" s="443" t="s">
        <v>212</v>
      </c>
    </row>
    <row r="37" spans="1:165" ht="18.75" x14ac:dyDescent="0.35">
      <c r="A37" s="150" t="s">
        <v>136</v>
      </c>
      <c r="B37" s="339"/>
      <c r="C37" s="339"/>
      <c r="D37" s="339"/>
      <c r="E37" s="339"/>
      <c r="F37" s="339"/>
      <c r="G37" s="339"/>
      <c r="H37" s="339"/>
      <c r="I37" s="339"/>
      <c r="J37" s="339"/>
      <c r="K37" s="339"/>
      <c r="L37" s="339"/>
      <c r="M37" s="339"/>
      <c r="N37" s="206">
        <v>-1174</v>
      </c>
      <c r="O37" s="206">
        <v>665</v>
      </c>
      <c r="P37" s="206">
        <v>-1337</v>
      </c>
      <c r="Q37" s="206">
        <v>1057</v>
      </c>
      <c r="R37" s="206">
        <v>900</v>
      </c>
      <c r="S37" s="206">
        <v>642</v>
      </c>
      <c r="T37" s="206">
        <v>-225</v>
      </c>
      <c r="U37" s="206">
        <v>587.77188023799431</v>
      </c>
      <c r="V37" s="398">
        <v>623</v>
      </c>
      <c r="W37" s="514">
        <f>U37/V37-1</f>
        <v>-5.6545938622802105E-2</v>
      </c>
      <c r="X37" s="473" t="e">
        <f>X38-X57</f>
        <v>#REF!</v>
      </c>
      <c r="Y37" s="473" t="e">
        <f>Y38-Y57</f>
        <v>#REF!</v>
      </c>
      <c r="Z37" s="473" t="e">
        <f>Z38-Z57</f>
        <v>#REF!</v>
      </c>
      <c r="AA37" s="473" t="e">
        <f>AA38-AA57</f>
        <v>#REF!</v>
      </c>
      <c r="AB37" s="473" t="e">
        <f>AB38-AB57</f>
        <v>#REF!</v>
      </c>
      <c r="AC37" s="474"/>
      <c r="AD37" s="474"/>
      <c r="AE37" s="206">
        <f>U37-V37</f>
        <v>-35.22811976200569</v>
      </c>
    </row>
    <row r="38" spans="1:165" s="61" customFormat="1" ht="29.25" customHeight="1" x14ac:dyDescent="0.35">
      <c r="A38" s="151" t="s">
        <v>80</v>
      </c>
      <c r="B38" s="177">
        <v>625</v>
      </c>
      <c r="C38" s="177">
        <v>-249</v>
      </c>
      <c r="D38" s="177">
        <v>-526</v>
      </c>
      <c r="E38" s="177">
        <v>-92</v>
      </c>
      <c r="F38" s="177">
        <v>138</v>
      </c>
      <c r="G38" s="177">
        <v>-518</v>
      </c>
      <c r="H38" s="177">
        <v>-627</v>
      </c>
      <c r="I38" s="177">
        <v>-462</v>
      </c>
      <c r="J38" s="177">
        <v>-1326</v>
      </c>
      <c r="K38" s="177">
        <v>-676</v>
      </c>
      <c r="L38" s="177">
        <v>40</v>
      </c>
      <c r="M38" s="177">
        <v>2351</v>
      </c>
      <c r="N38" s="197">
        <v>910</v>
      </c>
      <c r="O38" s="197">
        <v>-4</v>
      </c>
      <c r="P38" s="197">
        <v>-361</v>
      </c>
      <c r="Q38" s="197">
        <v>1519</v>
      </c>
      <c r="R38" s="197">
        <v>997</v>
      </c>
      <c r="S38" s="197">
        <v>329</v>
      </c>
      <c r="T38" s="197">
        <v>-67</v>
      </c>
      <c r="U38" s="197">
        <v>173.24848521758707</v>
      </c>
      <c r="V38" s="398">
        <v>493</v>
      </c>
      <c r="W38" s="514">
        <f t="shared" ref="W38:W77" si="0">U38/V38-1</f>
        <v>-0.64858319428481326</v>
      </c>
      <c r="X38" s="475">
        <f>X39+X46+X51</f>
        <v>187.82538486237496</v>
      </c>
      <c r="Y38" s="475">
        <f>Y39+Y46+Y51</f>
        <v>-691.13046244079203</v>
      </c>
      <c r="Z38" s="475">
        <f>Z39+Z46+Z51</f>
        <v>147.78450338153033</v>
      </c>
      <c r="AA38" s="475">
        <f>AA39+AA46+AA51</f>
        <v>454.15062668513758</v>
      </c>
      <c r="AB38" s="475">
        <f>AB39+AB46+AB51</f>
        <v>-32.843839154764055</v>
      </c>
      <c r="AC38" s="476">
        <f t="shared" ref="AC38:AC50" si="1">SUM(N38:AB38)</f>
        <v>4054.3861153567887</v>
      </c>
      <c r="AD38" s="477">
        <f>SUM(B38:M38)</f>
        <v>-1322</v>
      </c>
      <c r="AE38" s="206">
        <f t="shared" ref="AE38:AE77" si="2">U38-V38</f>
        <v>-319.75151478241293</v>
      </c>
    </row>
    <row r="39" spans="1:165" x14ac:dyDescent="0.35">
      <c r="A39" s="92" t="s">
        <v>25</v>
      </c>
      <c r="B39" s="178">
        <v>-83</v>
      </c>
      <c r="C39" s="178">
        <v>-1050</v>
      </c>
      <c r="D39" s="179">
        <v>-702</v>
      </c>
      <c r="E39" s="179">
        <v>-824</v>
      </c>
      <c r="F39" s="179">
        <v>-753</v>
      </c>
      <c r="G39" s="179">
        <v>-1293</v>
      </c>
      <c r="H39" s="179">
        <v>-1505</v>
      </c>
      <c r="I39" s="179">
        <v>-1218</v>
      </c>
      <c r="J39" s="179">
        <v>-1407</v>
      </c>
      <c r="K39" s="179">
        <v>-1405</v>
      </c>
      <c r="L39" s="179">
        <v>-912</v>
      </c>
      <c r="M39" s="179">
        <v>-1231</v>
      </c>
      <c r="N39" s="228">
        <v>109</v>
      </c>
      <c r="O39" s="228">
        <v>-598</v>
      </c>
      <c r="P39" s="228">
        <v>-409</v>
      </c>
      <c r="Q39" s="228">
        <v>864</v>
      </c>
      <c r="R39" s="228">
        <v>423</v>
      </c>
      <c r="S39" s="228">
        <v>-218</v>
      </c>
      <c r="T39" s="342">
        <v>-611</v>
      </c>
      <c r="U39" s="342">
        <v>-441.58478870140783</v>
      </c>
      <c r="V39" s="399">
        <v>-77</v>
      </c>
      <c r="W39" s="515">
        <f t="shared" si="0"/>
        <v>4.7348673857325689</v>
      </c>
      <c r="X39" s="478">
        <f>X40+X43</f>
        <v>-392.36870167231854</v>
      </c>
      <c r="Y39" s="478">
        <f>Y40+Y43</f>
        <v>-506.16784176070877</v>
      </c>
      <c r="Z39" s="478">
        <f>Z40+Z43</f>
        <v>-482.69986228494514</v>
      </c>
      <c r="AA39" s="478">
        <f>AA40+AA43</f>
        <v>-341.61713012746111</v>
      </c>
      <c r="AB39" s="478">
        <f>AB40+AB43</f>
        <v>-671.53201289985168</v>
      </c>
      <c r="AC39" s="479">
        <f t="shared" si="1"/>
        <v>-3348.2354700609612</v>
      </c>
      <c r="AD39" s="480"/>
      <c r="AE39" s="528">
        <f t="shared" si="2"/>
        <v>-364.58478870140783</v>
      </c>
    </row>
    <row r="40" spans="1:165" x14ac:dyDescent="0.35">
      <c r="A40" s="66" t="s">
        <v>23</v>
      </c>
      <c r="B40" s="180">
        <v>-287</v>
      </c>
      <c r="C40" s="180">
        <v>-1136</v>
      </c>
      <c r="D40" s="181">
        <v>-854</v>
      </c>
      <c r="E40" s="181">
        <v>-1008</v>
      </c>
      <c r="F40" s="181">
        <v>-888</v>
      </c>
      <c r="G40" s="181">
        <v>-1358</v>
      </c>
      <c r="H40" s="181">
        <v>-1569</v>
      </c>
      <c r="I40" s="181">
        <v>-1327</v>
      </c>
      <c r="J40" s="181">
        <v>-1574</v>
      </c>
      <c r="K40" s="181">
        <v>-1622</v>
      </c>
      <c r="L40" s="181">
        <v>-1215</v>
      </c>
      <c r="M40" s="181">
        <v>-1494</v>
      </c>
      <c r="N40" s="229">
        <v>-28</v>
      </c>
      <c r="O40" s="229">
        <v>-793</v>
      </c>
      <c r="P40" s="229">
        <v>-821</v>
      </c>
      <c r="Q40" s="229">
        <v>286</v>
      </c>
      <c r="R40" s="229">
        <v>-89</v>
      </c>
      <c r="S40" s="229">
        <v>-797</v>
      </c>
      <c r="T40" s="343">
        <v>-1001</v>
      </c>
      <c r="U40" s="343">
        <v>-745.96382434614998</v>
      </c>
      <c r="V40" s="400">
        <v>-462</v>
      </c>
      <c r="W40" s="516">
        <f t="shared" si="0"/>
        <v>0.61464031243755413</v>
      </c>
      <c r="X40" s="481">
        <f>X41-X42</f>
        <v>-636.96459106115253</v>
      </c>
      <c r="Y40" s="481">
        <f>Y41-Y42</f>
        <v>-852.26445992866365</v>
      </c>
      <c r="Z40" s="481">
        <f>Z41-Z42</f>
        <v>-946.39590804830596</v>
      </c>
      <c r="AA40" s="481">
        <f>AA41-AA42</f>
        <v>-897.69686762997981</v>
      </c>
      <c r="AB40" s="481">
        <f>AB41-AB42</f>
        <v>-1125.7555131013796</v>
      </c>
      <c r="AC40" s="479">
        <f t="shared" si="1"/>
        <v>-8909.4265238031949</v>
      </c>
      <c r="AD40" s="480"/>
      <c r="AE40" s="275">
        <f t="shared" si="2"/>
        <v>-283.96382434614998</v>
      </c>
    </row>
    <row r="41" spans="1:165" x14ac:dyDescent="0.35">
      <c r="A41" s="64" t="s">
        <v>26</v>
      </c>
      <c r="B41" s="182">
        <v>3727</v>
      </c>
      <c r="C41" s="182">
        <v>3561</v>
      </c>
      <c r="D41" s="183">
        <v>3984</v>
      </c>
      <c r="E41" s="183">
        <v>3759</v>
      </c>
      <c r="F41" s="183">
        <v>4181</v>
      </c>
      <c r="G41" s="183">
        <v>3262</v>
      </c>
      <c r="H41" s="183">
        <v>3967</v>
      </c>
      <c r="I41" s="183">
        <v>3954</v>
      </c>
      <c r="J41" s="183">
        <v>3721</v>
      </c>
      <c r="K41" s="183">
        <v>4218</v>
      </c>
      <c r="L41" s="183">
        <v>3946</v>
      </c>
      <c r="M41" s="183">
        <v>3833</v>
      </c>
      <c r="N41" s="1">
        <v>3793</v>
      </c>
      <c r="O41" s="320">
        <v>3615</v>
      </c>
      <c r="P41" s="320">
        <v>3864</v>
      </c>
      <c r="Q41" s="320">
        <v>3619</v>
      </c>
      <c r="R41" s="320">
        <v>3190</v>
      </c>
      <c r="S41" s="321">
        <v>3042</v>
      </c>
      <c r="T41" s="344">
        <v>3338</v>
      </c>
      <c r="U41" s="344">
        <v>3778.8361756538502</v>
      </c>
      <c r="V41" s="401">
        <v>3872</v>
      </c>
      <c r="W41" s="517">
        <f t="shared" si="0"/>
        <v>-2.4060905048075898E-2</v>
      </c>
      <c r="X41" s="482">
        <v>3726.6621712496462</v>
      </c>
      <c r="Y41" s="482">
        <v>3514.5747443535961</v>
      </c>
      <c r="Z41" s="482">
        <f>3923.4674081765-200</f>
        <v>3723.4674081765002</v>
      </c>
      <c r="AA41" s="482">
        <f>3662.98030925783-250</f>
        <v>3412.98030925783</v>
      </c>
      <c r="AB41" s="482">
        <f>3441.90995505337-100</f>
        <v>3341.9099550533701</v>
      </c>
      <c r="AC41" s="479">
        <f t="shared" si="1"/>
        <v>49831.40670283974</v>
      </c>
      <c r="AD41" s="480"/>
      <c r="AE41" s="444">
        <f t="shared" si="2"/>
        <v>-93.163824346149795</v>
      </c>
    </row>
    <row r="42" spans="1:165" x14ac:dyDescent="0.35">
      <c r="A42" s="64" t="s">
        <v>27</v>
      </c>
      <c r="B42" s="182">
        <v>4014</v>
      </c>
      <c r="C42" s="182">
        <v>4697</v>
      </c>
      <c r="D42" s="183">
        <v>4838</v>
      </c>
      <c r="E42" s="183">
        <v>4767</v>
      </c>
      <c r="F42" s="183">
        <v>5069</v>
      </c>
      <c r="G42" s="183">
        <v>4620</v>
      </c>
      <c r="H42" s="183">
        <v>5536</v>
      </c>
      <c r="I42" s="183">
        <v>5281</v>
      </c>
      <c r="J42" s="183">
        <v>5295</v>
      </c>
      <c r="K42" s="183">
        <v>5840</v>
      </c>
      <c r="L42" s="183">
        <v>5161</v>
      </c>
      <c r="M42" s="183">
        <v>5327</v>
      </c>
      <c r="N42" s="1">
        <v>3821</v>
      </c>
      <c r="O42" s="320">
        <v>4408</v>
      </c>
      <c r="P42" s="320">
        <v>4685</v>
      </c>
      <c r="Q42" s="1">
        <v>3333</v>
      </c>
      <c r="R42" s="1">
        <v>3279</v>
      </c>
      <c r="S42" s="1">
        <v>3839</v>
      </c>
      <c r="T42" s="344">
        <v>4339</v>
      </c>
      <c r="U42" s="344">
        <v>4524.8</v>
      </c>
      <c r="V42" s="401">
        <v>4334</v>
      </c>
      <c r="W42" s="517">
        <f t="shared" si="0"/>
        <v>4.402399630826026E-2</v>
      </c>
      <c r="X42" s="482">
        <v>4363.6267623107988</v>
      </c>
      <c r="Y42" s="482">
        <f>4266.83920428226+100</f>
        <v>4366.8392042822597</v>
      </c>
      <c r="Z42" s="482">
        <v>4669.8633162248061</v>
      </c>
      <c r="AA42" s="482">
        <f>4210.67717688781+100</f>
        <v>4310.6771768878098</v>
      </c>
      <c r="AB42" s="482">
        <f>4267.66546815475+200</f>
        <v>4467.6654681547498</v>
      </c>
      <c r="AC42" s="479">
        <f t="shared" si="1"/>
        <v>58741.515951856738</v>
      </c>
      <c r="AD42" s="480"/>
      <c r="AE42" s="444">
        <f t="shared" si="2"/>
        <v>190.80000000000018</v>
      </c>
    </row>
    <row r="43" spans="1:165" x14ac:dyDescent="0.35">
      <c r="A43" s="63" t="s">
        <v>24</v>
      </c>
      <c r="B43" s="182">
        <v>204</v>
      </c>
      <c r="C43" s="182">
        <v>86</v>
      </c>
      <c r="D43" s="183">
        <v>152</v>
      </c>
      <c r="E43" s="183">
        <v>184</v>
      </c>
      <c r="F43" s="183">
        <v>135</v>
      </c>
      <c r="G43" s="183">
        <v>65</v>
      </c>
      <c r="H43" s="183">
        <v>64</v>
      </c>
      <c r="I43" s="183">
        <v>109</v>
      </c>
      <c r="J43" s="183">
        <v>167</v>
      </c>
      <c r="K43" s="183">
        <v>217</v>
      </c>
      <c r="L43" s="183">
        <v>303</v>
      </c>
      <c r="M43" s="183">
        <v>263</v>
      </c>
      <c r="N43" s="94">
        <v>137</v>
      </c>
      <c r="O43" s="94">
        <v>195</v>
      </c>
      <c r="P43" s="94">
        <v>412</v>
      </c>
      <c r="Q43" s="94">
        <v>578</v>
      </c>
      <c r="R43" s="94">
        <v>512</v>
      </c>
      <c r="S43" s="94">
        <v>579</v>
      </c>
      <c r="T43" s="343">
        <v>390</v>
      </c>
      <c r="U43" s="343">
        <v>304.37903564474215</v>
      </c>
      <c r="V43" s="400">
        <v>385</v>
      </c>
      <c r="W43" s="516">
        <f t="shared" si="0"/>
        <v>-0.20940510222144892</v>
      </c>
      <c r="X43" s="483">
        <v>244.595889388834</v>
      </c>
      <c r="Y43" s="483">
        <v>346.09661816795489</v>
      </c>
      <c r="Z43" s="483">
        <v>463.69604576336081</v>
      </c>
      <c r="AA43" s="483">
        <v>556.0797375025187</v>
      </c>
      <c r="AB43" s="483">
        <v>454.223500201528</v>
      </c>
      <c r="AC43" s="479">
        <f t="shared" si="1"/>
        <v>5556.8614215667167</v>
      </c>
      <c r="AD43" s="484"/>
      <c r="AE43" s="275">
        <f t="shared" si="2"/>
        <v>-80.620964355257854</v>
      </c>
    </row>
    <row r="44" spans="1:165" x14ac:dyDescent="0.35">
      <c r="A44" s="64" t="s">
        <v>28</v>
      </c>
      <c r="B44" s="182">
        <v>1288</v>
      </c>
      <c r="C44" s="182">
        <v>1217</v>
      </c>
      <c r="D44" s="183">
        <v>1307</v>
      </c>
      <c r="E44" s="183">
        <v>1385</v>
      </c>
      <c r="F44" s="183">
        <v>1477</v>
      </c>
      <c r="G44" s="183">
        <v>1436</v>
      </c>
      <c r="H44" s="183">
        <v>1554</v>
      </c>
      <c r="I44" s="183">
        <v>1529</v>
      </c>
      <c r="J44" s="183">
        <v>1559</v>
      </c>
      <c r="K44" s="183">
        <v>1439</v>
      </c>
      <c r="L44" s="183">
        <v>1495</v>
      </c>
      <c r="M44" s="183">
        <v>1622</v>
      </c>
      <c r="N44" s="94">
        <v>1299</v>
      </c>
      <c r="O44" s="94">
        <v>1346</v>
      </c>
      <c r="P44" s="94">
        <v>1340</v>
      </c>
      <c r="Q44" s="94">
        <v>1164</v>
      </c>
      <c r="R44" s="94">
        <v>1078</v>
      </c>
      <c r="S44" s="94">
        <v>1239</v>
      </c>
      <c r="T44" s="343">
        <v>1268</v>
      </c>
      <c r="U44" s="343">
        <v>1240.8101503759399</v>
      </c>
      <c r="V44" s="400">
        <v>1247</v>
      </c>
      <c r="W44" s="516">
        <f t="shared" si="0"/>
        <v>-4.9637928019727884E-3</v>
      </c>
      <c r="X44" s="483">
        <f>(AVERAGE($Q$44:$S$44)/AVERAGE($E$44:$G$44))*I44-100</f>
        <v>1138.3548161935782</v>
      </c>
      <c r="Y44" s="483">
        <f>(AVERAGE($Q$44:$S$44)/AVERAGE($E$44:$G$44))*J44-100</f>
        <v>1162.6521637971148</v>
      </c>
      <c r="Z44" s="483">
        <f>(AVERAGE($Q$44:$S$44)/AVERAGE($E$44:$G$44))*K44-100</f>
        <v>1065.4627733829686</v>
      </c>
      <c r="AA44" s="483">
        <f>(AVERAGE($Q$44:$S$44)/AVERAGE($E$44:$G$44))*L44-100</f>
        <v>1110.8178222429035</v>
      </c>
      <c r="AB44" s="483">
        <f>(AVERAGE($Q$44:$S$44)/AVERAGE($E$44:$G$44))*M44-100</f>
        <v>1213.6765937645416</v>
      </c>
      <c r="AC44" s="479">
        <f t="shared" si="1"/>
        <v>16912.769355964243</v>
      </c>
      <c r="AD44" s="485"/>
      <c r="AE44" s="275">
        <f t="shared" si="2"/>
        <v>-6.1898496240601162</v>
      </c>
    </row>
    <row r="45" spans="1:165" ht="18.75" x14ac:dyDescent="0.35">
      <c r="A45" s="64" t="s">
        <v>29</v>
      </c>
      <c r="B45" s="182">
        <v>1084</v>
      </c>
      <c r="C45" s="182">
        <v>1131</v>
      </c>
      <c r="D45" s="183">
        <v>1155</v>
      </c>
      <c r="E45" s="183">
        <v>1201</v>
      </c>
      <c r="F45" s="183">
        <v>1342</v>
      </c>
      <c r="G45" s="183">
        <v>1371</v>
      </c>
      <c r="H45" s="183">
        <v>1490</v>
      </c>
      <c r="I45" s="183">
        <v>1420</v>
      </c>
      <c r="J45" s="183">
        <v>1392</v>
      </c>
      <c r="K45" s="183">
        <v>1222</v>
      </c>
      <c r="L45" s="183">
        <v>1192</v>
      </c>
      <c r="M45" s="183">
        <v>1359</v>
      </c>
      <c r="N45" s="94">
        <v>1162</v>
      </c>
      <c r="O45" s="94">
        <v>1151</v>
      </c>
      <c r="P45" s="94">
        <v>928</v>
      </c>
      <c r="Q45" s="94">
        <v>586</v>
      </c>
      <c r="R45" s="94">
        <v>566</v>
      </c>
      <c r="S45" s="94">
        <v>660</v>
      </c>
      <c r="T45" s="343">
        <v>878</v>
      </c>
      <c r="U45" s="343">
        <v>936.43111473119779</v>
      </c>
      <c r="V45" s="400">
        <v>862</v>
      </c>
      <c r="W45" s="516">
        <f t="shared" si="0"/>
        <v>8.6347000848257194E-2</v>
      </c>
      <c r="X45" s="483">
        <f>X44-X43</f>
        <v>893.75892680474431</v>
      </c>
      <c r="Y45" s="483">
        <f>Y44-Y43</f>
        <v>816.55554562915995</v>
      </c>
      <c r="Z45" s="483">
        <f>Z44-Z43</f>
        <v>601.76672761960776</v>
      </c>
      <c r="AA45" s="483">
        <f>AA44-AA43</f>
        <v>554.73808474038481</v>
      </c>
      <c r="AB45" s="483">
        <f>AB44-AB43</f>
        <v>759.45309356301368</v>
      </c>
      <c r="AC45" s="479">
        <f t="shared" si="1"/>
        <v>11355.789840088959</v>
      </c>
      <c r="AD45" s="486">
        <f t="shared" ref="AD45:AD50" si="3">SUM(B45:M45)</f>
        <v>15359</v>
      </c>
      <c r="AE45" s="275">
        <f t="shared" si="2"/>
        <v>74.431114731197795</v>
      </c>
    </row>
    <row r="46" spans="1:165" s="118" customFormat="1" ht="18.75" x14ac:dyDescent="0.35">
      <c r="A46" s="153" t="s">
        <v>30</v>
      </c>
      <c r="B46" s="184">
        <v>450</v>
      </c>
      <c r="C46" s="184">
        <v>530</v>
      </c>
      <c r="D46" s="185">
        <v>-106</v>
      </c>
      <c r="E46" s="185">
        <v>469</v>
      </c>
      <c r="F46" s="185">
        <v>613</v>
      </c>
      <c r="G46" s="185">
        <v>509</v>
      </c>
      <c r="H46" s="185">
        <v>575</v>
      </c>
      <c r="I46" s="185">
        <v>497</v>
      </c>
      <c r="J46" s="185">
        <v>-200</v>
      </c>
      <c r="K46" s="185">
        <v>386</v>
      </c>
      <c r="L46" s="185">
        <v>673</v>
      </c>
      <c r="M46" s="186">
        <v>357</v>
      </c>
      <c r="N46" s="198">
        <v>515</v>
      </c>
      <c r="O46" s="198">
        <v>335</v>
      </c>
      <c r="P46" s="198">
        <v>-213</v>
      </c>
      <c r="Q46" s="198">
        <v>405</v>
      </c>
      <c r="R46" s="198">
        <v>294</v>
      </c>
      <c r="S46" s="198">
        <v>252</v>
      </c>
      <c r="T46" s="198">
        <v>234</v>
      </c>
      <c r="U46" s="198">
        <v>305.73947511972108</v>
      </c>
      <c r="V46" s="402">
        <v>301</v>
      </c>
      <c r="W46" s="518">
        <f t="shared" si="0"/>
        <v>1.5745764517345773E-2</v>
      </c>
      <c r="X46" s="487">
        <f>X47+X48</f>
        <v>293.05807488945243</v>
      </c>
      <c r="Y46" s="487">
        <f>Y47+Y48</f>
        <v>-447.04447929437663</v>
      </c>
      <c r="Z46" s="487">
        <f>Z47+Z48</f>
        <v>312.57397730466755</v>
      </c>
      <c r="AA46" s="487">
        <f>AA47+AA48</f>
        <v>481.57795299072473</v>
      </c>
      <c r="AB46" s="487">
        <f>AB47+AB48</f>
        <v>263.74546925988795</v>
      </c>
      <c r="AC46" s="486">
        <f t="shared" si="1"/>
        <v>3332.6662160345945</v>
      </c>
      <c r="AD46" s="486">
        <f t="shared" si="3"/>
        <v>4753</v>
      </c>
      <c r="AE46" s="198">
        <f t="shared" si="2"/>
        <v>4.739475119721078</v>
      </c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</row>
    <row r="47" spans="1:165" ht="18.75" x14ac:dyDescent="0.35">
      <c r="A47" s="63" t="s">
        <v>81</v>
      </c>
      <c r="B47" s="182">
        <v>933</v>
      </c>
      <c r="C47" s="182">
        <v>953</v>
      </c>
      <c r="D47" s="183">
        <v>996</v>
      </c>
      <c r="E47" s="183">
        <v>1014</v>
      </c>
      <c r="F47" s="183">
        <v>1076</v>
      </c>
      <c r="G47" s="183">
        <v>1016</v>
      </c>
      <c r="H47" s="183">
        <v>1144</v>
      </c>
      <c r="I47" s="183">
        <v>1108</v>
      </c>
      <c r="J47" s="183">
        <v>1126</v>
      </c>
      <c r="K47" s="183">
        <v>1176</v>
      </c>
      <c r="L47" s="183">
        <v>1164</v>
      </c>
      <c r="M47" s="183">
        <v>1171</v>
      </c>
      <c r="N47">
        <v>1057</v>
      </c>
      <c r="O47">
        <v>1058</v>
      </c>
      <c r="P47" s="69">
        <v>973</v>
      </c>
      <c r="Q47" s="69">
        <v>797</v>
      </c>
      <c r="R47" s="69">
        <v>741</v>
      </c>
      <c r="S47" s="69">
        <v>765</v>
      </c>
      <c r="T47" s="345">
        <v>832</v>
      </c>
      <c r="U47" s="345">
        <v>820.61745589600696</v>
      </c>
      <c r="V47" s="403">
        <v>832</v>
      </c>
      <c r="W47" s="516">
        <f t="shared" si="0"/>
        <v>-1.3680942432683918E-2</v>
      </c>
      <c r="X47" s="488">
        <f>$S$47/$G$47*I47-50</f>
        <v>784.27165354330702</v>
      </c>
      <c r="Y47" s="488">
        <f>$S$47/$G$47*J47-100</f>
        <v>747.82480314960628</v>
      </c>
      <c r="Z47" s="488">
        <f>$S$47/$G$47*K47</f>
        <v>885.4724409448819</v>
      </c>
      <c r="AA47" s="488">
        <f>$S$47/$G$47*L47</f>
        <v>876.43700787401576</v>
      </c>
      <c r="AB47" s="488">
        <f>$S$47/$G$47*M47+100</f>
        <v>981.70767716535431</v>
      </c>
      <c r="AC47" s="486">
        <f t="shared" si="1"/>
        <v>12151.317357630738</v>
      </c>
      <c r="AD47" s="486">
        <f t="shared" si="3"/>
        <v>12877</v>
      </c>
      <c r="AE47" s="275">
        <f t="shared" si="2"/>
        <v>-11.382544103993041</v>
      </c>
    </row>
    <row r="48" spans="1:165" ht="18.75" x14ac:dyDescent="0.35">
      <c r="A48" s="66" t="s">
        <v>33</v>
      </c>
      <c r="B48" s="187">
        <v>-483</v>
      </c>
      <c r="C48" s="187">
        <v>-423</v>
      </c>
      <c r="D48" s="188">
        <v>-1102</v>
      </c>
      <c r="E48" s="188">
        <v>-545</v>
      </c>
      <c r="F48" s="188">
        <v>-463</v>
      </c>
      <c r="G48" s="188">
        <v>-507</v>
      </c>
      <c r="H48" s="188">
        <v>-569</v>
      </c>
      <c r="I48" s="188">
        <v>-611</v>
      </c>
      <c r="J48" s="188">
        <v>-1326</v>
      </c>
      <c r="K48" s="188">
        <v>-790</v>
      </c>
      <c r="L48" s="188">
        <v>-491</v>
      </c>
      <c r="M48" s="189">
        <v>-814</v>
      </c>
      <c r="N48" s="141">
        <v>-542</v>
      </c>
      <c r="O48" s="141">
        <v>-723</v>
      </c>
      <c r="P48" s="141">
        <v>-1186</v>
      </c>
      <c r="Q48" s="141">
        <v>-392</v>
      </c>
      <c r="R48" s="141">
        <v>-447</v>
      </c>
      <c r="S48" s="141">
        <v>-513</v>
      </c>
      <c r="T48" s="346">
        <v>-598</v>
      </c>
      <c r="U48" s="346">
        <v>-514.87798077628588</v>
      </c>
      <c r="V48" s="404">
        <v>-531</v>
      </c>
      <c r="W48" s="519">
        <f t="shared" si="0"/>
        <v>-3.0361618123755374E-2</v>
      </c>
      <c r="X48" s="489">
        <f>X49-X50</f>
        <v>-491.2135786538546</v>
      </c>
      <c r="Y48" s="489">
        <f>Y49-Y50</f>
        <v>-1194.8692824439829</v>
      </c>
      <c r="Z48" s="489">
        <f>Z49-Z50</f>
        <v>-572.89846364021435</v>
      </c>
      <c r="AA48" s="489">
        <f>AA49-AA50</f>
        <v>-394.85905488329104</v>
      </c>
      <c r="AB48" s="489">
        <f>AB49-AB50</f>
        <v>-717.96220790546636</v>
      </c>
      <c r="AC48" s="486">
        <f t="shared" si="1"/>
        <v>-8818.7109299212188</v>
      </c>
      <c r="AD48" s="486">
        <f t="shared" si="3"/>
        <v>-8124</v>
      </c>
      <c r="AE48" s="346">
        <f t="shared" si="2"/>
        <v>16.122019223714119</v>
      </c>
    </row>
    <row r="49" spans="1:41" ht="18.75" x14ac:dyDescent="0.35">
      <c r="A49" s="64" t="s">
        <v>31</v>
      </c>
      <c r="B49" s="182">
        <v>38</v>
      </c>
      <c r="C49" s="182">
        <v>39</v>
      </c>
      <c r="D49" s="183">
        <v>41</v>
      </c>
      <c r="E49" s="183">
        <v>37</v>
      </c>
      <c r="F49" s="183">
        <v>45</v>
      </c>
      <c r="G49" s="183">
        <v>32</v>
      </c>
      <c r="H49" s="183">
        <v>72</v>
      </c>
      <c r="I49" s="183">
        <v>37</v>
      </c>
      <c r="J49" s="183">
        <v>55</v>
      </c>
      <c r="K49" s="183">
        <v>32</v>
      </c>
      <c r="L49" s="183">
        <v>34</v>
      </c>
      <c r="M49" s="183">
        <v>46</v>
      </c>
      <c r="N49" s="1">
        <v>43</v>
      </c>
      <c r="O49" s="1">
        <v>30</v>
      </c>
      <c r="P49" s="140">
        <v>54</v>
      </c>
      <c r="Q49" s="1">
        <v>24</v>
      </c>
      <c r="R49" s="1">
        <v>31</v>
      </c>
      <c r="S49" s="1">
        <v>41</v>
      </c>
      <c r="T49" s="275">
        <v>32</v>
      </c>
      <c r="U49" s="275">
        <v>34.597402597402599</v>
      </c>
      <c r="V49" s="405">
        <v>37</v>
      </c>
      <c r="W49" s="516">
        <f t="shared" si="0"/>
        <v>-6.4935064935064846E-2</v>
      </c>
      <c r="X49" s="490">
        <f>AVERAGE($R$49:$S$49)/AVERAGE($F$49:$G$49)*I49</f>
        <v>34.597402597402599</v>
      </c>
      <c r="Y49" s="490">
        <f>AVERAGE($R$49:$S$49)/AVERAGE($F$49:$G$49)*J49</f>
        <v>51.428571428571431</v>
      </c>
      <c r="Z49" s="490">
        <f>AVERAGE($R$49:$S$49)/AVERAGE($F$49:$G$49)*K49</f>
        <v>29.922077922077921</v>
      </c>
      <c r="AA49" s="490">
        <f>AVERAGE($R$49:$S$49)/AVERAGE($F$49:$G$49)*L49</f>
        <v>31.79220779220779</v>
      </c>
      <c r="AB49" s="490">
        <f>AVERAGE($R$49:$S$49)/AVERAGE($F$49:$G$49)*M49</f>
        <v>43.012987012987011</v>
      </c>
      <c r="AC49" s="486">
        <f t="shared" si="1"/>
        <v>517.28571428571422</v>
      </c>
      <c r="AD49" s="486">
        <f t="shared" si="3"/>
        <v>508</v>
      </c>
      <c r="AE49" s="275">
        <f t="shared" si="2"/>
        <v>-2.4025974025974008</v>
      </c>
    </row>
    <row r="50" spans="1:41" ht="18.75" x14ac:dyDescent="0.35">
      <c r="A50" s="64" t="s">
        <v>32</v>
      </c>
      <c r="B50" s="182">
        <v>452</v>
      </c>
      <c r="C50" s="182">
        <v>417</v>
      </c>
      <c r="D50" s="183">
        <v>1079</v>
      </c>
      <c r="E50" s="183">
        <v>526</v>
      </c>
      <c r="F50" s="183">
        <v>492</v>
      </c>
      <c r="G50" s="183">
        <v>555</v>
      </c>
      <c r="H50" s="183">
        <v>684</v>
      </c>
      <c r="I50" s="183">
        <v>575</v>
      </c>
      <c r="J50" s="183">
        <v>1313</v>
      </c>
      <c r="K50" s="183">
        <v>744</v>
      </c>
      <c r="L50" s="183">
        <v>460</v>
      </c>
      <c r="M50" s="183">
        <v>798</v>
      </c>
      <c r="N50" s="1">
        <v>585</v>
      </c>
      <c r="O50" s="1">
        <v>753</v>
      </c>
      <c r="P50" s="1">
        <v>1240</v>
      </c>
      <c r="Q50" s="1">
        <v>416</v>
      </c>
      <c r="R50" s="1">
        <v>478</v>
      </c>
      <c r="S50" s="1">
        <v>554</v>
      </c>
      <c r="T50" s="275">
        <v>630</v>
      </c>
      <c r="U50" s="275">
        <v>549.47538337368849</v>
      </c>
      <c r="V50" s="405">
        <v>568</v>
      </c>
      <c r="W50" s="516">
        <f t="shared" si="0"/>
        <v>-3.2613761666041352E-2</v>
      </c>
      <c r="X50" s="490">
        <v>525.8109812512572</v>
      </c>
      <c r="Y50" s="490">
        <v>1246.2978538725542</v>
      </c>
      <c r="Z50" s="490">
        <v>602.82054156229231</v>
      </c>
      <c r="AA50" s="490">
        <v>426.65126267549886</v>
      </c>
      <c r="AB50" s="490">
        <v>760.97519491845333</v>
      </c>
      <c r="AC50" s="486">
        <f t="shared" si="1"/>
        <v>9335.9986038920797</v>
      </c>
      <c r="AD50" s="486">
        <f t="shared" si="3"/>
        <v>8095</v>
      </c>
      <c r="AE50" s="275">
        <f t="shared" si="2"/>
        <v>-18.524616626311513</v>
      </c>
    </row>
    <row r="51" spans="1:41" x14ac:dyDescent="0.35">
      <c r="A51" s="67" t="s">
        <v>34</v>
      </c>
      <c r="B51" s="187">
        <v>258</v>
      </c>
      <c r="C51" s="187">
        <v>271</v>
      </c>
      <c r="D51" s="188">
        <v>282</v>
      </c>
      <c r="E51" s="188">
        <v>263</v>
      </c>
      <c r="F51" s="188">
        <v>278</v>
      </c>
      <c r="G51" s="188">
        <v>266</v>
      </c>
      <c r="H51" s="188">
        <v>303</v>
      </c>
      <c r="I51" s="188">
        <v>259</v>
      </c>
      <c r="J51" s="188">
        <v>281</v>
      </c>
      <c r="K51" s="188">
        <v>343</v>
      </c>
      <c r="L51" s="188">
        <v>279</v>
      </c>
      <c r="M51" s="188">
        <v>3225</v>
      </c>
      <c r="N51" s="1">
        <v>286</v>
      </c>
      <c r="O51" s="1">
        <v>259</v>
      </c>
      <c r="P51" s="1">
        <v>261</v>
      </c>
      <c r="Q51" s="1">
        <v>250</v>
      </c>
      <c r="R51" s="1">
        <v>280</v>
      </c>
      <c r="S51" s="1">
        <v>295</v>
      </c>
      <c r="T51" s="275">
        <v>310</v>
      </c>
      <c r="U51" s="275">
        <v>309.09379879927383</v>
      </c>
      <c r="V51" s="405">
        <v>269</v>
      </c>
      <c r="W51" s="516">
        <f t="shared" si="0"/>
        <v>0.14904757917945655</v>
      </c>
      <c r="X51" s="490">
        <f>X52-X53</f>
        <v>287.13601164524107</v>
      </c>
      <c r="Y51" s="490">
        <f>Y52-Y53</f>
        <v>262.08185861429331</v>
      </c>
      <c r="Z51" s="490">
        <f>Z52-Z53</f>
        <v>317.91038836180792</v>
      </c>
      <c r="AA51" s="490">
        <f>AA52-AA53</f>
        <v>314.18980382187397</v>
      </c>
      <c r="AB51" s="490">
        <f>AB52-AB53</f>
        <v>374.94270448519967</v>
      </c>
      <c r="AC51" s="480"/>
      <c r="AD51" s="480"/>
      <c r="AE51" s="275">
        <f t="shared" si="2"/>
        <v>40.093798799273827</v>
      </c>
    </row>
    <row r="52" spans="1:41" x14ac:dyDescent="0.35">
      <c r="A52" s="65" t="s">
        <v>31</v>
      </c>
      <c r="B52" s="182">
        <v>346</v>
      </c>
      <c r="C52" s="182">
        <v>370</v>
      </c>
      <c r="D52" s="183">
        <v>388</v>
      </c>
      <c r="E52" s="183">
        <v>376</v>
      </c>
      <c r="F52" s="183">
        <v>390</v>
      </c>
      <c r="G52" s="183">
        <v>382</v>
      </c>
      <c r="H52" s="183">
        <v>429</v>
      </c>
      <c r="I52" s="183">
        <v>378</v>
      </c>
      <c r="J52" s="183">
        <v>405</v>
      </c>
      <c r="K52" s="183">
        <v>483</v>
      </c>
      <c r="L52" s="183">
        <v>418</v>
      </c>
      <c r="M52" s="183">
        <v>3360</v>
      </c>
      <c r="N52">
        <v>404</v>
      </c>
      <c r="O52">
        <v>379</v>
      </c>
      <c r="P52" s="1">
        <v>382</v>
      </c>
      <c r="Q52" s="1">
        <v>335</v>
      </c>
      <c r="R52" s="1">
        <v>373</v>
      </c>
      <c r="S52" s="1">
        <v>424</v>
      </c>
      <c r="T52" s="275">
        <v>445</v>
      </c>
      <c r="U52" s="275">
        <v>438.91198061745564</v>
      </c>
      <c r="V52" s="405">
        <v>411</v>
      </c>
      <c r="W52" s="516">
        <f t="shared" si="0"/>
        <v>6.7912361599648863E-2</v>
      </c>
      <c r="X52" s="490">
        <f>X47/T47*T52</f>
        <v>419.47221854179281</v>
      </c>
      <c r="Y52" s="490">
        <f>Y47/X47*X52</f>
        <v>399.97841033843122</v>
      </c>
      <c r="Z52" s="490">
        <f>Z47/Y47*Y52</f>
        <v>473.6000435342217</v>
      </c>
      <c r="AA52" s="490">
        <f>AA47/Z47*Z52</f>
        <v>468.76739002877048</v>
      </c>
      <c r="AB52" s="490">
        <f>AB47/AA47*AA52</f>
        <v>525.07201483002723</v>
      </c>
      <c r="AC52" s="480"/>
      <c r="AD52" s="480"/>
      <c r="AE52" s="275">
        <f t="shared" si="2"/>
        <v>27.91198061745564</v>
      </c>
    </row>
    <row r="53" spans="1:41" x14ac:dyDescent="0.35">
      <c r="A53" s="65" t="s">
        <v>32</v>
      </c>
      <c r="B53" s="182">
        <v>88</v>
      </c>
      <c r="C53" s="182">
        <v>99</v>
      </c>
      <c r="D53" s="183">
        <v>106</v>
      </c>
      <c r="E53" s="183">
        <v>113</v>
      </c>
      <c r="F53" s="183">
        <v>112</v>
      </c>
      <c r="G53" s="183">
        <v>116</v>
      </c>
      <c r="H53" s="183">
        <v>126</v>
      </c>
      <c r="I53" s="183">
        <v>119</v>
      </c>
      <c r="J53" s="183">
        <v>124</v>
      </c>
      <c r="K53" s="183">
        <v>140</v>
      </c>
      <c r="L53" s="183">
        <v>139</v>
      </c>
      <c r="M53" s="183">
        <v>135</v>
      </c>
      <c r="N53">
        <v>118</v>
      </c>
      <c r="O53">
        <v>120</v>
      </c>
      <c r="P53" s="1">
        <v>121</v>
      </c>
      <c r="Q53" s="1">
        <v>85</v>
      </c>
      <c r="R53" s="1">
        <v>93</v>
      </c>
      <c r="S53" s="1">
        <v>129</v>
      </c>
      <c r="T53" s="275">
        <v>135</v>
      </c>
      <c r="U53" s="275">
        <v>129.81818181818181</v>
      </c>
      <c r="V53" s="405">
        <v>142</v>
      </c>
      <c r="W53" s="516">
        <f t="shared" si="0"/>
        <v>-8.578745198463511E-2</v>
      </c>
      <c r="X53" s="490">
        <f>$S$53/$G$53*I53</f>
        <v>132.33620689655172</v>
      </c>
      <c r="Y53" s="490">
        <f>$S$53/$G$53*J53</f>
        <v>137.89655172413794</v>
      </c>
      <c r="Z53" s="490">
        <f>$S$53/$G$53*K53</f>
        <v>155.68965517241378</v>
      </c>
      <c r="AA53" s="490">
        <f>$S$53/$G$53*L53</f>
        <v>154.57758620689654</v>
      </c>
      <c r="AB53" s="490">
        <f>$S$53/$G$53*M53</f>
        <v>150.12931034482759</v>
      </c>
      <c r="AC53" s="480"/>
      <c r="AD53" s="480"/>
      <c r="AE53" s="275">
        <f t="shared" si="2"/>
        <v>-12.181818181818187</v>
      </c>
    </row>
    <row r="54" spans="1:41" ht="21.75" x14ac:dyDescent="0.4">
      <c r="A54" s="151" t="s">
        <v>84</v>
      </c>
      <c r="B54" s="190">
        <v>-5</v>
      </c>
      <c r="C54" s="190">
        <v>2</v>
      </c>
      <c r="D54" s="190">
        <v>-8</v>
      </c>
      <c r="E54" s="190">
        <v>1</v>
      </c>
      <c r="F54" s="190">
        <v>5</v>
      </c>
      <c r="G54" s="190">
        <v>1</v>
      </c>
      <c r="H54" s="190">
        <v>37</v>
      </c>
      <c r="I54" s="190">
        <v>3</v>
      </c>
      <c r="J54" s="190">
        <v>-1</v>
      </c>
      <c r="K54" s="190">
        <v>2</v>
      </c>
      <c r="L54" s="190">
        <v>0</v>
      </c>
      <c r="M54" s="190">
        <v>1</v>
      </c>
      <c r="N54" s="199">
        <v>2</v>
      </c>
      <c r="O54" s="199">
        <v>2</v>
      </c>
      <c r="P54" s="199">
        <v>1</v>
      </c>
      <c r="Q54" s="199">
        <v>0</v>
      </c>
      <c r="R54" s="199">
        <v>1</v>
      </c>
      <c r="S54" s="199">
        <v>2</v>
      </c>
      <c r="T54" s="199">
        <v>1</v>
      </c>
      <c r="U54" s="199">
        <v>1.5</v>
      </c>
      <c r="V54" s="406">
        <v>2</v>
      </c>
      <c r="W54" s="520">
        <f t="shared" si="0"/>
        <v>-0.25</v>
      </c>
      <c r="X54" s="491">
        <v>1.5</v>
      </c>
      <c r="Y54" s="491">
        <v>1.5</v>
      </c>
      <c r="Z54" s="491">
        <v>1.5</v>
      </c>
      <c r="AA54" s="491">
        <v>1.5</v>
      </c>
      <c r="AB54" s="491">
        <v>1.5</v>
      </c>
      <c r="AC54" s="492">
        <f>SUM(N54:AB54)</f>
        <v>19.75</v>
      </c>
      <c r="AD54" s="492">
        <f>SUM(B54:M54)</f>
        <v>38</v>
      </c>
      <c r="AE54" s="529">
        <f t="shared" si="2"/>
        <v>-0.5</v>
      </c>
    </row>
    <row r="55" spans="1:41" ht="18.75" x14ac:dyDescent="0.35">
      <c r="A55" s="91" t="s">
        <v>85</v>
      </c>
      <c r="B55" s="191">
        <v>620</v>
      </c>
      <c r="C55" s="191">
        <v>-247</v>
      </c>
      <c r="D55" s="191">
        <v>-534</v>
      </c>
      <c r="E55" s="191">
        <v>-91</v>
      </c>
      <c r="F55" s="191">
        <v>143</v>
      </c>
      <c r="G55" s="191">
        <v>-517</v>
      </c>
      <c r="H55" s="191">
        <v>-590</v>
      </c>
      <c r="I55" s="191">
        <v>-459</v>
      </c>
      <c r="J55" s="191">
        <v>-1327</v>
      </c>
      <c r="K55" s="191">
        <v>-674</v>
      </c>
      <c r="L55" s="191">
        <v>40</v>
      </c>
      <c r="M55" s="191">
        <v>2352</v>
      </c>
      <c r="N55" s="105">
        <v>1434</v>
      </c>
      <c r="O55" s="105">
        <v>565</v>
      </c>
      <c r="P55" s="105">
        <v>333</v>
      </c>
      <c r="Q55" s="105">
        <v>2104</v>
      </c>
      <c r="R55" s="105">
        <v>1470</v>
      </c>
      <c r="S55" s="105">
        <v>767</v>
      </c>
      <c r="T55" s="149">
        <v>361</v>
      </c>
      <c r="U55" s="149">
        <v>174.74848521758707</v>
      </c>
      <c r="V55" s="395">
        <v>372</v>
      </c>
      <c r="W55" s="521">
        <f t="shared" si="0"/>
        <v>-0.53024600747960471</v>
      </c>
      <c r="X55" s="493">
        <f>X38+X54</f>
        <v>189.32538486237496</v>
      </c>
      <c r="Y55" s="493">
        <f>Y38+Y54</f>
        <v>-689.63046244079203</v>
      </c>
      <c r="Z55" s="493">
        <f>Z38+Z54</f>
        <v>149.28450338153033</v>
      </c>
      <c r="AA55" s="493">
        <f>AA38+AA54</f>
        <v>455.65062668513758</v>
      </c>
      <c r="AB55" s="493">
        <f>AB38+AB54</f>
        <v>-31.343839154764055</v>
      </c>
      <c r="AC55" s="1447" t="s">
        <v>135</v>
      </c>
      <c r="AD55" s="1447"/>
      <c r="AE55" s="149">
        <f t="shared" si="2"/>
        <v>-197.25151478241293</v>
      </c>
    </row>
    <row r="56" spans="1:41" ht="25.5" customHeight="1" x14ac:dyDescent="0.35">
      <c r="A56" s="195" t="s">
        <v>127</v>
      </c>
      <c r="B56" s="190">
        <v>688</v>
      </c>
      <c r="C56" s="190">
        <v>1</v>
      </c>
      <c r="D56" s="190">
        <v>-1179</v>
      </c>
      <c r="E56" s="190">
        <v>-45</v>
      </c>
      <c r="F56" s="190">
        <v>892</v>
      </c>
      <c r="G56" s="190">
        <v>-1727</v>
      </c>
      <c r="H56" s="190">
        <v>-1882</v>
      </c>
      <c r="I56" s="190">
        <v>-528</v>
      </c>
      <c r="J56" s="190">
        <v>-1420</v>
      </c>
      <c r="K56" s="190">
        <v>-565</v>
      </c>
      <c r="L56" s="190">
        <v>-561</v>
      </c>
      <c r="M56" s="190">
        <f>M58+M59+M66-M77-M95</f>
        <v>-884</v>
      </c>
      <c r="N56" s="200">
        <v>6</v>
      </c>
      <c r="O56" s="200">
        <v>-735</v>
      </c>
      <c r="P56" s="200">
        <v>1418</v>
      </c>
      <c r="Q56" s="200">
        <v>803</v>
      </c>
      <c r="R56" s="200">
        <v>1351</v>
      </c>
      <c r="S56" s="200">
        <v>-2723</v>
      </c>
      <c r="T56" s="200">
        <v>22</v>
      </c>
      <c r="U56" s="200">
        <v>-88.180509535820647</v>
      </c>
      <c r="V56" s="406">
        <v>142</v>
      </c>
      <c r="W56" s="520">
        <f t="shared" si="0"/>
        <v>-1.6209895037733848</v>
      </c>
      <c r="X56" s="491" t="e">
        <f>X58+X59+X66-X77-X95</f>
        <v>#REF!</v>
      </c>
      <c r="Y56" s="494" t="e">
        <f>Y58+Y59+Y66-Y77-Y95</f>
        <v>#REF!</v>
      </c>
      <c r="Z56" s="494" t="e">
        <f>Z58+Z59+Z66-Z77-Z95</f>
        <v>#REF!</v>
      </c>
      <c r="AA56" s="494" t="e">
        <f>AA58+AA59+AA66-AA77-AA95</f>
        <v>#REF!</v>
      </c>
      <c r="AB56" s="494" t="e">
        <f>AB58+AB59+AB66-AB77-AB95</f>
        <v>#REF!</v>
      </c>
      <c r="AC56" s="476" t="e">
        <f>SUM(N56:AB56)</f>
        <v>#REF!</v>
      </c>
      <c r="AD56" s="476">
        <f>SUM(B56:M56)</f>
        <v>-7210</v>
      </c>
      <c r="AE56" s="529">
        <f t="shared" si="2"/>
        <v>-230.18050953582065</v>
      </c>
    </row>
    <row r="57" spans="1:41" ht="24" customHeight="1" x14ac:dyDescent="0.35">
      <c r="A57" s="196" t="s">
        <v>132</v>
      </c>
      <c r="B57" s="199">
        <f t="shared" ref="B57:M57" si="4">B58+B59+B66</f>
        <v>789</v>
      </c>
      <c r="C57" s="199">
        <f t="shared" si="4"/>
        <v>338</v>
      </c>
      <c r="D57" s="199">
        <f t="shared" si="4"/>
        <v>-1044</v>
      </c>
      <c r="E57" s="199">
        <f t="shared" si="4"/>
        <v>-47</v>
      </c>
      <c r="F57" s="199">
        <f t="shared" si="4"/>
        <v>730</v>
      </c>
      <c r="G57" s="199">
        <f t="shared" si="4"/>
        <v>-1882</v>
      </c>
      <c r="H57" s="199">
        <f t="shared" si="4"/>
        <v>-1535</v>
      </c>
      <c r="I57" s="199">
        <f t="shared" si="4"/>
        <v>-466</v>
      </c>
      <c r="J57" s="199">
        <f t="shared" si="4"/>
        <v>-1129</v>
      </c>
      <c r="K57" s="199">
        <f t="shared" si="4"/>
        <v>-274</v>
      </c>
      <c r="L57" s="199">
        <f t="shared" si="4"/>
        <v>-298</v>
      </c>
      <c r="M57" s="199">
        <f t="shared" si="4"/>
        <v>-740</v>
      </c>
      <c r="N57" s="199">
        <v>2084</v>
      </c>
      <c r="O57" s="199">
        <v>-669</v>
      </c>
      <c r="P57" s="199">
        <v>976</v>
      </c>
      <c r="Q57" s="199">
        <v>462</v>
      </c>
      <c r="R57" s="199">
        <v>97</v>
      </c>
      <c r="S57" s="199">
        <v>-313</v>
      </c>
      <c r="T57" s="199">
        <v>158</v>
      </c>
      <c r="U57" s="199">
        <v>-414.52339502040718</v>
      </c>
      <c r="V57" s="406">
        <v>-130</v>
      </c>
      <c r="W57" s="520">
        <f t="shared" si="0"/>
        <v>2.1886415001569781</v>
      </c>
      <c r="X57" s="491" t="e">
        <f>X58+X59+X66-X77</f>
        <v>#REF!</v>
      </c>
      <c r="Y57" s="491" t="e">
        <f>Y58+Y59+Y66-Y77</f>
        <v>#REF!</v>
      </c>
      <c r="Z57" s="491" t="e">
        <f>Z58+Z59+Z66-Z77</f>
        <v>#REF!</v>
      </c>
      <c r="AA57" s="491" t="e">
        <f>AA58+AA59+AA66-AA77</f>
        <v>#REF!</v>
      </c>
      <c r="AB57" s="491" t="e">
        <f>AB58+AB59+AB66-AB77</f>
        <v>#REF!</v>
      </c>
      <c r="AC57" s="476" t="e">
        <f>SUM(N57:AB57)</f>
        <v>#REF!</v>
      </c>
      <c r="AD57" s="476">
        <f>SUM(B57:M57)</f>
        <v>-5558</v>
      </c>
      <c r="AE57" s="529">
        <f t="shared" si="2"/>
        <v>-284.52339502040718</v>
      </c>
    </row>
    <row r="58" spans="1:41" ht="18.75" x14ac:dyDescent="0.35">
      <c r="A58" s="159" t="s">
        <v>86</v>
      </c>
      <c r="B58" s="157">
        <v>-82</v>
      </c>
      <c r="C58" s="157">
        <v>-127</v>
      </c>
      <c r="D58" s="157">
        <v>-134</v>
      </c>
      <c r="E58" s="157">
        <v>-273</v>
      </c>
      <c r="F58" s="157">
        <v>-81</v>
      </c>
      <c r="G58" s="157">
        <v>-187</v>
      </c>
      <c r="H58" s="157">
        <v>-194</v>
      </c>
      <c r="I58" s="157">
        <v>-201</v>
      </c>
      <c r="J58" s="157">
        <v>-166</v>
      </c>
      <c r="K58" s="157">
        <v>-232</v>
      </c>
      <c r="L58" s="157">
        <v>-349</v>
      </c>
      <c r="M58" s="157">
        <v>64</v>
      </c>
      <c r="N58" s="173">
        <v>-56</v>
      </c>
      <c r="O58" s="154">
        <v>-184</v>
      </c>
      <c r="P58" s="154">
        <v>18</v>
      </c>
      <c r="Q58" s="154">
        <v>31</v>
      </c>
      <c r="R58" s="230">
        <v>-84</v>
      </c>
      <c r="S58" s="230">
        <v>-70</v>
      </c>
      <c r="T58" s="347">
        <v>-171</v>
      </c>
      <c r="U58" s="354">
        <v>-201.778538812785</v>
      </c>
      <c r="V58" s="407">
        <v>19</v>
      </c>
      <c r="W58" s="522">
        <f t="shared" si="0"/>
        <v>-11.619923095409737</v>
      </c>
      <c r="X58" s="495">
        <f>7.2-30</f>
        <v>-22.8</v>
      </c>
      <c r="Y58" s="496">
        <f>26.88-20</f>
        <v>6.879999999999999</v>
      </c>
      <c r="Z58" s="496">
        <f>93.6-40</f>
        <v>53.599999999999994</v>
      </c>
      <c r="AA58" s="496">
        <f>114.24-40</f>
        <v>74.239999999999995</v>
      </c>
      <c r="AB58" s="497">
        <f>164.64-50</f>
        <v>114.63999999999999</v>
      </c>
      <c r="AC58" s="476">
        <f>SUM(N58:AB58)</f>
        <v>-483.83846190819463</v>
      </c>
      <c r="AD58" s="476">
        <f>SUM(B58:M58)</f>
        <v>-1962</v>
      </c>
      <c r="AE58" s="530">
        <f t="shared" si="2"/>
        <v>-220.778538812785</v>
      </c>
      <c r="AF58" s="94"/>
      <c r="AG58" s="94"/>
      <c r="AH58" s="94"/>
      <c r="AI58" s="94"/>
      <c r="AJ58" s="94"/>
      <c r="AK58" s="94"/>
      <c r="AL58" s="94"/>
      <c r="AM58" s="94"/>
      <c r="AN58" s="94"/>
      <c r="AO58" s="94"/>
    </row>
    <row r="59" spans="1:41" ht="18.75" x14ac:dyDescent="0.35">
      <c r="A59" s="160" t="s">
        <v>131</v>
      </c>
      <c r="B59" s="157">
        <v>-202</v>
      </c>
      <c r="C59" s="157">
        <v>-61</v>
      </c>
      <c r="D59" s="157">
        <v>75</v>
      </c>
      <c r="E59" s="157">
        <v>-190</v>
      </c>
      <c r="F59" s="157">
        <v>773</v>
      </c>
      <c r="G59" s="157">
        <v>-1734</v>
      </c>
      <c r="H59" s="157">
        <v>-2596</v>
      </c>
      <c r="I59" s="157">
        <v>313</v>
      </c>
      <c r="J59" s="157">
        <v>-111</v>
      </c>
      <c r="K59" s="157">
        <v>74</v>
      </c>
      <c r="L59" s="157">
        <v>-877</v>
      </c>
      <c r="M59" s="157">
        <v>-598</v>
      </c>
      <c r="N59" s="154">
        <v>48</v>
      </c>
      <c r="O59" s="154">
        <v>-518</v>
      </c>
      <c r="P59" s="154">
        <v>269</v>
      </c>
      <c r="Q59" s="154">
        <v>-19</v>
      </c>
      <c r="R59" s="154">
        <v>-37</v>
      </c>
      <c r="S59" s="154">
        <v>168</v>
      </c>
      <c r="T59" s="348">
        <v>-53</v>
      </c>
      <c r="U59" s="355">
        <v>150.42307692307693</v>
      </c>
      <c r="V59" s="408">
        <v>-15</v>
      </c>
      <c r="W59" s="523">
        <f t="shared" si="0"/>
        <v>-11.028205128205128</v>
      </c>
      <c r="X59" s="498">
        <f>X60-X61</f>
        <v>14.25</v>
      </c>
      <c r="Y59" s="499">
        <f>Y60-Y61</f>
        <v>123.05769230769232</v>
      </c>
      <c r="Z59" s="499">
        <f>Z60-Z61</f>
        <v>38.85164835164835</v>
      </c>
      <c r="AA59" s="499">
        <f>AA60-AA61</f>
        <v>4.5447409733124005</v>
      </c>
      <c r="AB59" s="500">
        <f>AB60-AB61</f>
        <v>20.801020408163264</v>
      </c>
      <c r="AC59" s="476">
        <f>SUM(N59:AB59)</f>
        <v>183.89997383568812</v>
      </c>
      <c r="AD59" s="476">
        <f>SUM(B59:M59)</f>
        <v>-5134</v>
      </c>
      <c r="AE59" s="531">
        <f t="shared" si="2"/>
        <v>165.42307692307693</v>
      </c>
    </row>
    <row r="60" spans="1:41" x14ac:dyDescent="0.35">
      <c r="A60" s="161" t="s">
        <v>88</v>
      </c>
      <c r="B60" s="157"/>
      <c r="C60" s="157"/>
      <c r="D60" s="157"/>
      <c r="E60" s="157"/>
      <c r="F60" s="157"/>
      <c r="G60" s="157"/>
      <c r="H60" s="157"/>
      <c r="I60" s="157"/>
      <c r="J60" s="157"/>
      <c r="K60" s="157"/>
      <c r="L60" s="157"/>
      <c r="M60" s="157"/>
      <c r="N60" s="173">
        <v>22</v>
      </c>
      <c r="O60" s="154">
        <v>-72</v>
      </c>
      <c r="P60" s="154">
        <v>-64</v>
      </c>
      <c r="Q60" s="154">
        <v>-66</v>
      </c>
      <c r="R60" s="154">
        <v>-43</v>
      </c>
      <c r="S60" s="154">
        <v>182</v>
      </c>
      <c r="T60" s="348">
        <v>8</v>
      </c>
      <c r="U60" s="355">
        <v>5</v>
      </c>
      <c r="V60" s="408">
        <v>10</v>
      </c>
      <c r="W60" s="523">
        <f t="shared" si="0"/>
        <v>-0.5</v>
      </c>
      <c r="X60" s="498">
        <v>5</v>
      </c>
      <c r="Y60" s="499">
        <v>-10</v>
      </c>
      <c r="Z60" s="499">
        <v>-15</v>
      </c>
      <c r="AA60" s="499">
        <v>10</v>
      </c>
      <c r="AB60" s="500">
        <v>20</v>
      </c>
      <c r="AC60" s="480"/>
      <c r="AD60" s="480"/>
      <c r="AE60" s="531">
        <f t="shared" si="2"/>
        <v>-5</v>
      </c>
    </row>
    <row r="61" spans="1:41" x14ac:dyDescent="0.35">
      <c r="A61" s="161" t="s">
        <v>89</v>
      </c>
      <c r="B61" s="157">
        <v>201</v>
      </c>
      <c r="C61" s="157">
        <v>68</v>
      </c>
      <c r="D61" s="157">
        <v>-59</v>
      </c>
      <c r="E61" s="157">
        <v>224</v>
      </c>
      <c r="F61" s="157">
        <v>-767</v>
      </c>
      <c r="G61" s="157">
        <v>1727</v>
      </c>
      <c r="H61" s="157">
        <v>2721</v>
      </c>
      <c r="I61" s="157">
        <v>36</v>
      </c>
      <c r="J61" s="157">
        <v>11</v>
      </c>
      <c r="K61" s="157">
        <v>88</v>
      </c>
      <c r="L61" s="157">
        <v>782</v>
      </c>
      <c r="M61" s="157">
        <v>513</v>
      </c>
      <c r="N61" s="173">
        <v>-26</v>
      </c>
      <c r="O61" s="173">
        <v>446</v>
      </c>
      <c r="P61" s="173">
        <v>-333</v>
      </c>
      <c r="Q61" s="173">
        <v>-47</v>
      </c>
      <c r="R61" s="173">
        <v>-6</v>
      </c>
      <c r="S61" s="173">
        <v>14</v>
      </c>
      <c r="T61" s="349">
        <v>61</v>
      </c>
      <c r="U61" s="356">
        <v>-145.42307692307693</v>
      </c>
      <c r="V61" s="408">
        <v>25</v>
      </c>
      <c r="W61" s="523">
        <f t="shared" si="0"/>
        <v>-6.8169230769230778</v>
      </c>
      <c r="X61" s="498">
        <f>X62+X63</f>
        <v>-9.25</v>
      </c>
      <c r="Y61" s="498">
        <f>Y62+Y63</f>
        <v>-133.05769230769232</v>
      </c>
      <c r="Z61" s="498">
        <f>Z62+Z63</f>
        <v>-53.85164835164835</v>
      </c>
      <c r="AA61" s="498">
        <f>AA62+AA63</f>
        <v>5.4552590266875995</v>
      </c>
      <c r="AB61" s="501">
        <f>AB62+AB63</f>
        <v>-0.80102040816326436</v>
      </c>
      <c r="AC61" s="480"/>
      <c r="AD61" s="480"/>
      <c r="AE61" s="531">
        <f t="shared" si="2"/>
        <v>-170.42307692307693</v>
      </c>
    </row>
    <row r="62" spans="1:41" x14ac:dyDescent="0.35">
      <c r="A62" s="162" t="s">
        <v>90</v>
      </c>
      <c r="B62" s="158">
        <v>-5</v>
      </c>
      <c r="C62" s="158">
        <v>-6</v>
      </c>
      <c r="D62" s="158">
        <v>10</v>
      </c>
      <c r="E62" s="158">
        <v>1</v>
      </c>
      <c r="F62" s="158">
        <v>4</v>
      </c>
      <c r="G62" s="158">
        <v>21</v>
      </c>
      <c r="H62" s="158">
        <v>7</v>
      </c>
      <c r="I62" s="158">
        <v>4</v>
      </c>
      <c r="J62" s="158">
        <v>-2</v>
      </c>
      <c r="K62" s="158">
        <v>46</v>
      </c>
      <c r="L62" s="158">
        <v>-16</v>
      </c>
      <c r="M62" s="158">
        <v>-15</v>
      </c>
      <c r="N62" s="174">
        <v>9</v>
      </c>
      <c r="O62" s="155">
        <v>1</v>
      </c>
      <c r="P62" s="155">
        <v>14</v>
      </c>
      <c r="Q62" s="155">
        <v>6</v>
      </c>
      <c r="R62" s="155">
        <v>5</v>
      </c>
      <c r="S62" s="155">
        <v>6</v>
      </c>
      <c r="T62" s="350">
        <v>66</v>
      </c>
      <c r="U62" s="357">
        <v>4.5769230769230775</v>
      </c>
      <c r="V62" s="409">
        <v>17</v>
      </c>
      <c r="W62" s="524">
        <f t="shared" si="0"/>
        <v>-0.73076923076923073</v>
      </c>
      <c r="X62" s="502">
        <f>AVERAGE(Q62:T62)</f>
        <v>20.75</v>
      </c>
      <c r="Y62" s="503">
        <f>AVERAGE(R62:X62)</f>
        <v>16.942307692307693</v>
      </c>
      <c r="Z62" s="503">
        <f>AVERAGE(S62:Y62)</f>
        <v>18.64835164835165</v>
      </c>
      <c r="AA62" s="503">
        <f>AVERAGE(T62:Z62)</f>
        <v>20.4552590266876</v>
      </c>
      <c r="AB62" s="504">
        <f>AVERAGE(X62:AA62)</f>
        <v>19.198979591836736</v>
      </c>
      <c r="AC62" s="480"/>
      <c r="AD62" s="480"/>
      <c r="AE62" s="532">
        <f t="shared" si="2"/>
        <v>-12.423076923076923</v>
      </c>
    </row>
    <row r="63" spans="1:41" x14ac:dyDescent="0.35">
      <c r="A63" s="162" t="s">
        <v>91</v>
      </c>
      <c r="B63" s="158">
        <v>206</v>
      </c>
      <c r="C63" s="158">
        <v>74</v>
      </c>
      <c r="D63" s="158">
        <v>-69</v>
      </c>
      <c r="E63" s="158">
        <v>223</v>
      </c>
      <c r="F63" s="158">
        <v>-771</v>
      </c>
      <c r="G63" s="158">
        <v>1706</v>
      </c>
      <c r="H63" s="158">
        <v>2714</v>
      </c>
      <c r="I63" s="158">
        <v>32</v>
      </c>
      <c r="J63" s="158">
        <v>13</v>
      </c>
      <c r="K63" s="158">
        <v>42</v>
      </c>
      <c r="L63" s="158">
        <v>798</v>
      </c>
      <c r="M63" s="158">
        <v>528</v>
      </c>
      <c r="N63" s="155">
        <v>-35</v>
      </c>
      <c r="O63" s="155">
        <v>445</v>
      </c>
      <c r="P63" s="155">
        <v>-347</v>
      </c>
      <c r="Q63" s="155">
        <v>-53</v>
      </c>
      <c r="R63" s="155">
        <v>-11</v>
      </c>
      <c r="S63" s="155">
        <v>8</v>
      </c>
      <c r="T63" s="350">
        <v>-5</v>
      </c>
      <c r="U63" s="357">
        <v>-150</v>
      </c>
      <c r="V63" s="409">
        <v>8</v>
      </c>
      <c r="W63" s="524">
        <f t="shared" si="0"/>
        <v>-19.75</v>
      </c>
      <c r="X63" s="502">
        <v>-30</v>
      </c>
      <c r="Y63" s="503">
        <v>-150</v>
      </c>
      <c r="Z63" s="503">
        <f>((Y63-X63)+(X63-T63))/2</f>
        <v>-72.5</v>
      </c>
      <c r="AA63" s="503">
        <f>AA64-15</f>
        <v>-15</v>
      </c>
      <c r="AB63" s="503">
        <v>-20</v>
      </c>
      <c r="AC63" s="505"/>
      <c r="AD63" s="480"/>
      <c r="AE63" s="532">
        <f t="shared" si="2"/>
        <v>-158</v>
      </c>
    </row>
    <row r="64" spans="1:41" x14ac:dyDescent="0.35">
      <c r="A64" s="163" t="s">
        <v>92</v>
      </c>
      <c r="B64" s="158">
        <v>0</v>
      </c>
      <c r="C64" s="158">
        <v>0</v>
      </c>
      <c r="D64" s="158">
        <v>-420</v>
      </c>
      <c r="E64" s="158">
        <v>-383</v>
      </c>
      <c r="F64" s="158">
        <v>0</v>
      </c>
      <c r="G64" s="158">
        <v>0</v>
      </c>
      <c r="H64" s="158">
        <v>0</v>
      </c>
      <c r="I64" s="158">
        <v>0</v>
      </c>
      <c r="J64" s="158">
        <v>-35</v>
      </c>
      <c r="K64" s="158">
        <v>-62</v>
      </c>
      <c r="L64" s="158">
        <v>100</v>
      </c>
      <c r="M64" s="158">
        <v>5</v>
      </c>
      <c r="N64" s="155">
        <v>-50</v>
      </c>
      <c r="O64" s="155">
        <v>-63</v>
      </c>
      <c r="P64" s="155">
        <v>-285</v>
      </c>
      <c r="Q64" s="155">
        <v>-62</v>
      </c>
      <c r="R64" s="155">
        <v>0</v>
      </c>
      <c r="S64" s="155">
        <v>0</v>
      </c>
      <c r="T64" s="350">
        <v>-6</v>
      </c>
      <c r="U64" s="357"/>
      <c r="V64" s="409">
        <v>0</v>
      </c>
      <c r="W64" s="524" t="e">
        <f t="shared" si="0"/>
        <v>#DIV/0!</v>
      </c>
      <c r="X64" s="502"/>
      <c r="Y64" s="503"/>
      <c r="Z64" s="503"/>
      <c r="AA64" s="503"/>
      <c r="AB64" s="503"/>
      <c r="AC64" s="480"/>
      <c r="AD64" s="480"/>
      <c r="AE64" s="532">
        <f t="shared" si="2"/>
        <v>0</v>
      </c>
    </row>
    <row r="65" spans="1:32" ht="18.75" x14ac:dyDescent="0.35">
      <c r="A65" s="163" t="s">
        <v>93</v>
      </c>
      <c r="B65" s="158">
        <v>-5</v>
      </c>
      <c r="C65" s="158">
        <v>29</v>
      </c>
      <c r="D65" s="158">
        <v>-263</v>
      </c>
      <c r="E65" s="158">
        <v>6</v>
      </c>
      <c r="F65" s="158">
        <v>1</v>
      </c>
      <c r="G65" s="158">
        <v>2</v>
      </c>
      <c r="H65" s="158">
        <v>1530</v>
      </c>
      <c r="I65" s="158">
        <v>3</v>
      </c>
      <c r="J65" s="158">
        <v>270</v>
      </c>
      <c r="K65" s="158">
        <v>6</v>
      </c>
      <c r="L65" s="158">
        <v>510</v>
      </c>
      <c r="M65" s="158">
        <v>8</v>
      </c>
      <c r="N65" s="231">
        <v>15</v>
      </c>
      <c r="O65" s="231">
        <v>508</v>
      </c>
      <c r="P65" s="231">
        <v>-62</v>
      </c>
      <c r="Q65" s="156">
        <v>9</v>
      </c>
      <c r="R65" s="156">
        <v>-11</v>
      </c>
      <c r="S65" s="156">
        <v>8</v>
      </c>
      <c r="T65" s="351">
        <v>1</v>
      </c>
      <c r="U65" s="358"/>
      <c r="V65" s="410">
        <v>8</v>
      </c>
      <c r="W65" s="525">
        <f t="shared" si="0"/>
        <v>-1</v>
      </c>
      <c r="X65" s="506"/>
      <c r="Y65" s="507"/>
      <c r="Z65" s="507"/>
      <c r="AA65" s="507"/>
      <c r="AB65" s="507"/>
      <c r="AC65" s="508">
        <f>SUM(N65:AB65)</f>
        <v>475</v>
      </c>
      <c r="AD65" s="508">
        <f>SUM(B65:M65)</f>
        <v>2097</v>
      </c>
      <c r="AE65" s="446">
        <f t="shared" si="2"/>
        <v>-8</v>
      </c>
    </row>
    <row r="66" spans="1:32" ht="18.75" x14ac:dyDescent="0.35">
      <c r="A66" s="153" t="s">
        <v>128</v>
      </c>
      <c r="B66" s="201">
        <v>1073</v>
      </c>
      <c r="C66" s="201">
        <v>526</v>
      </c>
      <c r="D66" s="201">
        <v>-985</v>
      </c>
      <c r="E66" s="201">
        <v>416</v>
      </c>
      <c r="F66" s="201">
        <v>38</v>
      </c>
      <c r="G66" s="201">
        <v>39</v>
      </c>
      <c r="H66" s="201">
        <v>1255</v>
      </c>
      <c r="I66" s="201">
        <v>-578</v>
      </c>
      <c r="J66" s="201">
        <v>-852</v>
      </c>
      <c r="K66" s="201">
        <v>-116</v>
      </c>
      <c r="L66" s="201">
        <v>928</v>
      </c>
      <c r="M66" s="201">
        <v>-206</v>
      </c>
      <c r="N66" s="202">
        <v>1897</v>
      </c>
      <c r="O66" s="203">
        <v>210</v>
      </c>
      <c r="P66" s="203">
        <v>734</v>
      </c>
      <c r="Q66" s="203">
        <v>505</v>
      </c>
      <c r="R66" s="203">
        <v>391</v>
      </c>
      <c r="S66" s="203">
        <v>-335</v>
      </c>
      <c r="T66" s="352">
        <v>419</v>
      </c>
      <c r="U66" s="352">
        <v>-277.91793313069911</v>
      </c>
      <c r="V66" s="411">
        <v>239</v>
      </c>
      <c r="W66" s="526">
        <f t="shared" si="0"/>
        <v>-2.1628365402958121</v>
      </c>
      <c r="X66" s="509">
        <f>X67-X72</f>
        <v>14.603766436329266</v>
      </c>
      <c r="Y66" s="510">
        <f>Y67-Y72</f>
        <v>-128.4622724909492</v>
      </c>
      <c r="Z66" s="510">
        <f>Z67-Z72</f>
        <v>207.62734876055927</v>
      </c>
      <c r="AA66" s="510">
        <f>AA67-AA72</f>
        <v>138.56524022065247</v>
      </c>
      <c r="AB66" s="510">
        <f>AB67-AB72</f>
        <v>-101.67388640923878</v>
      </c>
      <c r="AC66" s="508">
        <f>SUM(N66:AB66)</f>
        <v>3910.5794268463587</v>
      </c>
      <c r="AD66" s="508">
        <f>SUM(B66:M66)</f>
        <v>1538</v>
      </c>
      <c r="AE66" s="533">
        <f t="shared" si="2"/>
        <v>-516.91793313069911</v>
      </c>
    </row>
    <row r="67" spans="1:32" x14ac:dyDescent="0.35">
      <c r="A67" s="164" t="s">
        <v>94</v>
      </c>
      <c r="B67" s="157">
        <v>677</v>
      </c>
      <c r="C67" s="157">
        <v>593</v>
      </c>
      <c r="D67" s="157">
        <v>-144</v>
      </c>
      <c r="E67" s="157">
        <v>544</v>
      </c>
      <c r="F67" s="157">
        <v>282</v>
      </c>
      <c r="G67" s="157">
        <v>716</v>
      </c>
      <c r="H67" s="157">
        <v>1484</v>
      </c>
      <c r="I67" s="157">
        <v>-177</v>
      </c>
      <c r="J67" s="157">
        <v>-389</v>
      </c>
      <c r="K67" s="157">
        <v>465</v>
      </c>
      <c r="L67" s="157">
        <v>1170</v>
      </c>
      <c r="M67" s="157">
        <v>757</v>
      </c>
      <c r="N67" s="154">
        <v>1439</v>
      </c>
      <c r="O67" s="154">
        <v>327</v>
      </c>
      <c r="P67" s="154">
        <v>478</v>
      </c>
      <c r="Q67" s="154">
        <v>349</v>
      </c>
      <c r="R67" s="154">
        <v>720</v>
      </c>
      <c r="S67" s="154">
        <v>107</v>
      </c>
      <c r="T67" s="348">
        <v>866</v>
      </c>
      <c r="U67" s="355">
        <v>10</v>
      </c>
      <c r="V67" s="408">
        <v>362</v>
      </c>
      <c r="W67" s="523">
        <f t="shared" si="0"/>
        <v>-0.97237569060773477</v>
      </c>
      <c r="X67" s="498">
        <f>X68+X69</f>
        <v>250</v>
      </c>
      <c r="Y67" s="499">
        <f>Y68+Y69</f>
        <v>100</v>
      </c>
      <c r="Z67" s="499">
        <f>Z68+Z69</f>
        <v>450</v>
      </c>
      <c r="AA67" s="499">
        <f>AA68+AA69</f>
        <v>400</v>
      </c>
      <c r="AB67" s="500">
        <f>AB68+AB69</f>
        <v>250</v>
      </c>
      <c r="AC67" s="499"/>
      <c r="AD67" s="499"/>
      <c r="AE67" s="531">
        <f t="shared" si="2"/>
        <v>-352</v>
      </c>
      <c r="AF67" s="95"/>
    </row>
    <row r="68" spans="1:32" x14ac:dyDescent="0.35">
      <c r="A68" s="162" t="s">
        <v>92</v>
      </c>
      <c r="B68" s="158">
        <v>170</v>
      </c>
      <c r="C68" s="158">
        <v>875</v>
      </c>
      <c r="D68" s="158">
        <v>-888</v>
      </c>
      <c r="E68" s="158">
        <v>283</v>
      </c>
      <c r="F68" s="158">
        <v>99</v>
      </c>
      <c r="G68" s="158">
        <v>995</v>
      </c>
      <c r="H68" s="158">
        <v>1381</v>
      </c>
      <c r="I68" s="158">
        <v>-490</v>
      </c>
      <c r="J68" s="158">
        <v>-225</v>
      </c>
      <c r="K68" s="158">
        <v>142</v>
      </c>
      <c r="L68" s="158">
        <v>780</v>
      </c>
      <c r="M68" s="158">
        <v>-354</v>
      </c>
      <c r="N68" s="174">
        <v>1088</v>
      </c>
      <c r="O68" s="155">
        <v>284</v>
      </c>
      <c r="P68" s="155">
        <v>-64</v>
      </c>
      <c r="Q68" s="155">
        <v>-419</v>
      </c>
      <c r="R68" s="155">
        <v>216</v>
      </c>
      <c r="S68" s="155">
        <v>-107</v>
      </c>
      <c r="T68" s="350">
        <v>638</v>
      </c>
      <c r="U68" s="357">
        <v>-190</v>
      </c>
      <c r="V68" s="409">
        <v>40</v>
      </c>
      <c r="W68" s="524">
        <f>U68/V68-1</f>
        <v>-5.75</v>
      </c>
      <c r="X68" s="502">
        <v>250</v>
      </c>
      <c r="Y68" s="503">
        <v>-300</v>
      </c>
      <c r="Z68" s="503">
        <v>250</v>
      </c>
      <c r="AA68" s="503">
        <v>250</v>
      </c>
      <c r="AB68" s="504">
        <v>400</v>
      </c>
      <c r="AC68" s="480"/>
      <c r="AD68" s="480"/>
      <c r="AE68" s="532">
        <f t="shared" si="2"/>
        <v>-230</v>
      </c>
    </row>
    <row r="69" spans="1:32" x14ac:dyDescent="0.35">
      <c r="A69" s="162" t="s">
        <v>93</v>
      </c>
      <c r="B69" s="158">
        <v>509</v>
      </c>
      <c r="C69" s="158">
        <v>-284</v>
      </c>
      <c r="D69" s="158">
        <v>744</v>
      </c>
      <c r="E69" s="158">
        <v>268</v>
      </c>
      <c r="F69" s="158">
        <v>187</v>
      </c>
      <c r="G69" s="158">
        <v>-286</v>
      </c>
      <c r="H69" s="158">
        <v>104</v>
      </c>
      <c r="I69" s="158">
        <v>140</v>
      </c>
      <c r="J69" s="158">
        <v>7</v>
      </c>
      <c r="K69" s="158">
        <v>322</v>
      </c>
      <c r="L69" s="158">
        <v>392</v>
      </c>
      <c r="M69" s="158">
        <v>114</v>
      </c>
      <c r="N69" s="174">
        <v>351</v>
      </c>
      <c r="O69" s="155">
        <v>43</v>
      </c>
      <c r="P69" s="156">
        <v>542</v>
      </c>
      <c r="Q69" s="156">
        <v>768</v>
      </c>
      <c r="R69" s="156">
        <v>504</v>
      </c>
      <c r="S69" s="156">
        <v>214</v>
      </c>
      <c r="T69" s="295">
        <v>228</v>
      </c>
      <c r="U69" s="359">
        <v>200</v>
      </c>
      <c r="V69" s="412">
        <v>322</v>
      </c>
      <c r="W69" s="527">
        <f t="shared" si="0"/>
        <v>-0.3788819875776398</v>
      </c>
      <c r="X69" s="506">
        <f>X71</f>
        <v>0</v>
      </c>
      <c r="Y69" s="507">
        <f>Y71</f>
        <v>400</v>
      </c>
      <c r="Z69" s="507">
        <f>Z71</f>
        <v>200</v>
      </c>
      <c r="AA69" s="507">
        <f>AA71</f>
        <v>150</v>
      </c>
      <c r="AB69" s="511">
        <f>AB71</f>
        <v>-150</v>
      </c>
      <c r="AC69" s="480"/>
      <c r="AD69" s="480"/>
      <c r="AE69" s="447">
        <f t="shared" si="2"/>
        <v>-122</v>
      </c>
    </row>
    <row r="70" spans="1:32" x14ac:dyDescent="0.35">
      <c r="A70" s="165" t="s">
        <v>87</v>
      </c>
      <c r="B70" s="158"/>
      <c r="C70" s="158"/>
      <c r="D70" s="158"/>
      <c r="E70" s="158"/>
      <c r="F70" s="158"/>
      <c r="G70" s="158"/>
      <c r="H70" s="158"/>
      <c r="I70" s="158"/>
      <c r="J70" s="158"/>
      <c r="K70" s="158"/>
      <c r="L70" s="158"/>
      <c r="M70" s="158"/>
      <c r="N70" s="174"/>
      <c r="O70" s="155"/>
      <c r="P70" s="156"/>
      <c r="Q70" s="156"/>
      <c r="R70" s="156"/>
      <c r="S70" s="156"/>
      <c r="T70" s="295"/>
      <c r="U70" s="359"/>
      <c r="V70" s="412"/>
      <c r="W70" s="527" t="e">
        <f t="shared" si="0"/>
        <v>#DIV/0!</v>
      </c>
      <c r="X70" s="512"/>
      <c r="Y70" s="480"/>
      <c r="Z70" s="480"/>
      <c r="AA70" s="480"/>
      <c r="AB70" s="513"/>
      <c r="AC70" s="480"/>
      <c r="AD70" s="480"/>
      <c r="AE70" s="447">
        <f t="shared" si="2"/>
        <v>0</v>
      </c>
    </row>
    <row r="71" spans="1:32" x14ac:dyDescent="0.35">
      <c r="A71" s="165" t="s">
        <v>95</v>
      </c>
      <c r="B71" s="158">
        <v>-32</v>
      </c>
      <c r="C71" s="158">
        <v>-65</v>
      </c>
      <c r="D71" s="158">
        <v>383</v>
      </c>
      <c r="E71" s="158">
        <v>379</v>
      </c>
      <c r="F71" s="158">
        <v>285</v>
      </c>
      <c r="G71" s="158">
        <v>-28</v>
      </c>
      <c r="H71" s="158">
        <v>314</v>
      </c>
      <c r="I71" s="158">
        <v>324</v>
      </c>
      <c r="J71" s="158">
        <v>171</v>
      </c>
      <c r="K71" s="158">
        <v>372</v>
      </c>
      <c r="L71" s="158">
        <v>412</v>
      </c>
      <c r="M71" s="158">
        <v>96</v>
      </c>
      <c r="N71" s="174">
        <v>317</v>
      </c>
      <c r="O71" s="155">
        <v>55</v>
      </c>
      <c r="P71" s="121">
        <v>560</v>
      </c>
      <c r="Q71" s="121">
        <v>776</v>
      </c>
      <c r="R71" s="121">
        <v>499</v>
      </c>
      <c r="S71" s="121">
        <v>208</v>
      </c>
      <c r="T71" s="122">
        <v>272</v>
      </c>
      <c r="U71" s="360">
        <v>200</v>
      </c>
      <c r="V71" s="413">
        <v>277</v>
      </c>
      <c r="W71" s="527">
        <f t="shared" si="0"/>
        <v>-0.27797833935018046</v>
      </c>
      <c r="X71" s="512">
        <v>0</v>
      </c>
      <c r="Y71" s="480">
        <v>400</v>
      </c>
      <c r="Z71" s="480">
        <v>200</v>
      </c>
      <c r="AA71" s="480">
        <v>150</v>
      </c>
      <c r="AB71" s="513">
        <v>-150</v>
      </c>
      <c r="AC71" s="480"/>
      <c r="AD71" s="480"/>
      <c r="AE71" s="447">
        <f t="shared" si="2"/>
        <v>-77</v>
      </c>
    </row>
    <row r="72" spans="1:32" x14ac:dyDescent="0.35">
      <c r="A72" s="164" t="s">
        <v>96</v>
      </c>
      <c r="B72" s="157">
        <v>-396</v>
      </c>
      <c r="C72" s="157">
        <v>67</v>
      </c>
      <c r="D72" s="157">
        <v>841</v>
      </c>
      <c r="E72" s="157">
        <v>128</v>
      </c>
      <c r="F72" s="157">
        <v>244</v>
      </c>
      <c r="G72" s="157">
        <v>677</v>
      </c>
      <c r="H72" s="157">
        <v>229</v>
      </c>
      <c r="I72" s="157">
        <v>401</v>
      </c>
      <c r="J72" s="157">
        <v>463</v>
      </c>
      <c r="K72" s="157">
        <v>581</v>
      </c>
      <c r="L72" s="157">
        <v>242</v>
      </c>
      <c r="M72" s="157">
        <v>963</v>
      </c>
      <c r="N72" s="175">
        <v>-458</v>
      </c>
      <c r="O72" s="156">
        <v>117</v>
      </c>
      <c r="P72" s="121">
        <v>-256</v>
      </c>
      <c r="Q72" s="121">
        <v>-156</v>
      </c>
      <c r="R72" s="121">
        <v>329</v>
      </c>
      <c r="S72" s="121">
        <v>442</v>
      </c>
      <c r="T72" s="122">
        <v>447</v>
      </c>
      <c r="U72" s="360">
        <v>287.91793313069911</v>
      </c>
      <c r="V72" s="413">
        <v>123</v>
      </c>
      <c r="W72" s="527">
        <f t="shared" si="0"/>
        <v>1.3407962043146271</v>
      </c>
      <c r="X72" s="498">
        <f>X73+X74</f>
        <v>235.39623356367073</v>
      </c>
      <c r="Y72" s="498">
        <f>Y73+Y74</f>
        <v>228.4622724909492</v>
      </c>
      <c r="Z72" s="498">
        <f>Z73+Z74</f>
        <v>242.37265123944073</v>
      </c>
      <c r="AA72" s="498">
        <f>AA73+AA74</f>
        <v>261.43475977934753</v>
      </c>
      <c r="AB72" s="501">
        <f>AB73+AB74</f>
        <v>351.67388640923878</v>
      </c>
      <c r="AC72" s="479"/>
      <c r="AD72" s="480"/>
      <c r="AE72" s="447">
        <f t="shared" si="2"/>
        <v>164.91793313069911</v>
      </c>
    </row>
    <row r="73" spans="1:32" x14ac:dyDescent="0.35">
      <c r="A73" s="162" t="s">
        <v>190</v>
      </c>
      <c r="B73" s="158">
        <v>6</v>
      </c>
      <c r="C73" s="158">
        <v>-329</v>
      </c>
      <c r="D73" s="158">
        <v>-14</v>
      </c>
      <c r="E73" s="158">
        <v>16</v>
      </c>
      <c r="F73" s="158">
        <v>194</v>
      </c>
      <c r="G73" s="158">
        <v>70</v>
      </c>
      <c r="H73" s="158">
        <v>-178</v>
      </c>
      <c r="I73" s="158">
        <v>69</v>
      </c>
      <c r="J73" s="158">
        <v>0</v>
      </c>
      <c r="K73" s="158">
        <v>-3</v>
      </c>
      <c r="L73" s="158">
        <v>-3</v>
      </c>
      <c r="M73" s="158">
        <v>-152</v>
      </c>
      <c r="N73" s="173">
        <v>-26</v>
      </c>
      <c r="O73" s="173">
        <v>78</v>
      </c>
      <c r="P73" s="173">
        <v>-263</v>
      </c>
      <c r="Q73" s="173">
        <v>-61</v>
      </c>
      <c r="R73" s="173">
        <v>111</v>
      </c>
      <c r="S73" s="173">
        <v>137</v>
      </c>
      <c r="T73" s="349">
        <v>10</v>
      </c>
      <c r="U73" s="356"/>
      <c r="V73" s="408">
        <v>-159</v>
      </c>
      <c r="W73" s="523">
        <f t="shared" si="0"/>
        <v>-1</v>
      </c>
      <c r="X73" s="506"/>
      <c r="Y73" s="507"/>
      <c r="Z73" s="507"/>
      <c r="AA73" s="507"/>
      <c r="AB73" s="511"/>
      <c r="AC73" s="480"/>
      <c r="AD73" s="480"/>
      <c r="AE73" s="531">
        <f t="shared" si="2"/>
        <v>159</v>
      </c>
    </row>
    <row r="74" spans="1:32" x14ac:dyDescent="0.35">
      <c r="A74" s="162" t="s">
        <v>93</v>
      </c>
      <c r="B74" s="158">
        <v>-403</v>
      </c>
      <c r="C74" s="158">
        <v>402</v>
      </c>
      <c r="D74" s="158">
        <v>248</v>
      </c>
      <c r="E74" s="158">
        <v>89</v>
      </c>
      <c r="F74" s="158">
        <v>73</v>
      </c>
      <c r="G74" s="158">
        <v>572</v>
      </c>
      <c r="H74" s="158">
        <v>407</v>
      </c>
      <c r="I74" s="158">
        <v>381</v>
      </c>
      <c r="J74" s="158">
        <v>497</v>
      </c>
      <c r="K74" s="158">
        <v>272</v>
      </c>
      <c r="L74" s="158">
        <v>256</v>
      </c>
      <c r="M74" s="158">
        <v>933</v>
      </c>
      <c r="N74" s="174">
        <v>-432</v>
      </c>
      <c r="O74" s="155">
        <v>39</v>
      </c>
      <c r="P74" s="121">
        <v>7</v>
      </c>
      <c r="Q74" s="156">
        <v>-95</v>
      </c>
      <c r="R74" s="156">
        <v>218</v>
      </c>
      <c r="S74" s="156">
        <v>305</v>
      </c>
      <c r="T74" s="295">
        <v>437</v>
      </c>
      <c r="U74" s="359">
        <v>287.91793313069911</v>
      </c>
      <c r="V74" s="412">
        <v>282</v>
      </c>
      <c r="W74" s="527">
        <f t="shared" si="0"/>
        <v>2.0985578477656475E-2</v>
      </c>
      <c r="X74" s="506">
        <f>X75+X76</f>
        <v>235.39623356367073</v>
      </c>
      <c r="Y74" s="507">
        <f>Y75+Y76</f>
        <v>228.4622724909492</v>
      </c>
      <c r="Z74" s="507">
        <f>Z75+Z76</f>
        <v>242.37265123944073</v>
      </c>
      <c r="AA74" s="507">
        <f>AA75+AA76</f>
        <v>261.43475977934753</v>
      </c>
      <c r="AB74" s="511">
        <f>AB75+AB76</f>
        <v>351.67388640923878</v>
      </c>
      <c r="AC74" s="480"/>
      <c r="AD74" s="480"/>
      <c r="AE74" s="447">
        <f t="shared" si="2"/>
        <v>5.9179331306991116</v>
      </c>
    </row>
    <row r="75" spans="1:32" x14ac:dyDescent="0.35">
      <c r="A75" s="165" t="s">
        <v>168</v>
      </c>
      <c r="B75" s="158">
        <v>-138</v>
      </c>
      <c r="C75" s="158">
        <v>248</v>
      </c>
      <c r="D75" s="158">
        <v>-266</v>
      </c>
      <c r="E75" s="158">
        <v>2</v>
      </c>
      <c r="F75" s="158">
        <v>67</v>
      </c>
      <c r="G75" s="158">
        <v>313</v>
      </c>
      <c r="H75" s="158">
        <v>78</v>
      </c>
      <c r="I75" s="158">
        <v>131</v>
      </c>
      <c r="J75" s="158">
        <v>118</v>
      </c>
      <c r="K75" s="158">
        <v>-30</v>
      </c>
      <c r="L75" s="158">
        <v>-60</v>
      </c>
      <c r="M75" s="158">
        <v>842</v>
      </c>
      <c r="N75" s="156">
        <v>-42</v>
      </c>
      <c r="O75" s="156">
        <v>-349</v>
      </c>
      <c r="P75" s="156">
        <v>-301</v>
      </c>
      <c r="Q75" s="156">
        <v>-14</v>
      </c>
      <c r="R75" s="156">
        <v>16</v>
      </c>
      <c r="S75" s="156">
        <v>182</v>
      </c>
      <c r="T75" s="295">
        <v>91</v>
      </c>
      <c r="U75" s="359">
        <v>75</v>
      </c>
      <c r="V75" s="412">
        <v>102</v>
      </c>
      <c r="W75" s="527">
        <f t="shared" si="0"/>
        <v>-0.26470588235294112</v>
      </c>
      <c r="X75" s="506">
        <v>100</v>
      </c>
      <c r="Y75" s="507">
        <v>100</v>
      </c>
      <c r="Z75" s="507">
        <v>100</v>
      </c>
      <c r="AA75" s="507">
        <v>100</v>
      </c>
      <c r="AB75" s="507">
        <v>200</v>
      </c>
      <c r="AC75" s="480"/>
      <c r="AD75" s="480"/>
      <c r="AE75" s="447">
        <f t="shared" si="2"/>
        <v>-27</v>
      </c>
    </row>
    <row r="76" spans="1:32" x14ac:dyDescent="0.35">
      <c r="A76" s="165" t="s">
        <v>97</v>
      </c>
      <c r="B76" s="158">
        <v>-265</v>
      </c>
      <c r="C76" s="158">
        <v>154</v>
      </c>
      <c r="D76" s="158">
        <v>514</v>
      </c>
      <c r="E76" s="158">
        <v>87</v>
      </c>
      <c r="F76" s="158">
        <v>6</v>
      </c>
      <c r="G76" s="158">
        <v>259</v>
      </c>
      <c r="H76" s="158">
        <v>329</v>
      </c>
      <c r="I76" s="158">
        <v>250</v>
      </c>
      <c r="J76" s="158">
        <v>379</v>
      </c>
      <c r="K76" s="158">
        <v>302</v>
      </c>
      <c r="L76" s="158">
        <v>316</v>
      </c>
      <c r="M76" s="158">
        <v>91</v>
      </c>
      <c r="N76" s="174">
        <v>-390</v>
      </c>
      <c r="O76" s="155">
        <v>388</v>
      </c>
      <c r="P76" s="156">
        <v>308</v>
      </c>
      <c r="Q76" s="156">
        <v>-81</v>
      </c>
      <c r="R76" s="156">
        <v>202</v>
      </c>
      <c r="S76" s="156">
        <v>123</v>
      </c>
      <c r="T76" s="295">
        <v>346</v>
      </c>
      <c r="U76" s="359">
        <v>212.91793313069911</v>
      </c>
      <c r="V76" s="412">
        <v>180</v>
      </c>
      <c r="W76" s="527">
        <f t="shared" si="0"/>
        <v>0.18287740628166183</v>
      </c>
      <c r="X76" s="175">
        <v>135.39623356367073</v>
      </c>
      <c r="Y76" s="156">
        <v>128.4622724909492</v>
      </c>
      <c r="Z76" s="156">
        <v>142.37265123944073</v>
      </c>
      <c r="AA76" s="156">
        <v>161.43475977934753</v>
      </c>
      <c r="AB76" s="324">
        <v>151.67388640923878</v>
      </c>
      <c r="AC76" s="121"/>
      <c r="AD76" s="121"/>
      <c r="AE76" s="447">
        <f t="shared" si="2"/>
        <v>32.917933130699112</v>
      </c>
    </row>
    <row r="77" spans="1:32" x14ac:dyDescent="0.35">
      <c r="A77" s="159" t="s">
        <v>98</v>
      </c>
      <c r="B77" s="157">
        <v>36</v>
      </c>
      <c r="C77" s="157">
        <v>297</v>
      </c>
      <c r="D77" s="157">
        <v>76</v>
      </c>
      <c r="E77" s="157">
        <v>-53</v>
      </c>
      <c r="F77" s="157">
        <v>-172</v>
      </c>
      <c r="G77" s="157">
        <v>-132</v>
      </c>
      <c r="H77" s="157">
        <v>397</v>
      </c>
      <c r="I77" s="157">
        <v>-3</v>
      </c>
      <c r="J77" s="157">
        <v>230</v>
      </c>
      <c r="K77" s="157">
        <v>220</v>
      </c>
      <c r="L77" s="157">
        <v>206</v>
      </c>
      <c r="M77" s="157">
        <v>144</v>
      </c>
      <c r="N77" s="174">
        <v>195</v>
      </c>
      <c r="O77" s="155">
        <v>177</v>
      </c>
      <c r="P77" s="121">
        <v>45</v>
      </c>
      <c r="Q77" s="121">
        <v>55</v>
      </c>
      <c r="R77" s="156">
        <v>173</v>
      </c>
      <c r="S77" s="156">
        <v>76</v>
      </c>
      <c r="T77" s="295">
        <v>37</v>
      </c>
      <c r="U77" s="359">
        <v>85.25</v>
      </c>
      <c r="V77" s="412">
        <v>373</v>
      </c>
      <c r="W77" s="527">
        <f t="shared" si="0"/>
        <v>-0.77144772117962468</v>
      </c>
      <c r="X77" s="173" t="e">
        <f>AVERAGE(#REF!)</f>
        <v>#REF!</v>
      </c>
      <c r="Y77" s="154" t="e">
        <f>AVERAGE(S77:X77)</f>
        <v>#REF!</v>
      </c>
      <c r="Z77" s="154" t="e">
        <f>AVERAGE(T77:Y77)</f>
        <v>#REF!</v>
      </c>
      <c r="AA77" s="154" t="e">
        <f>AVERAGE(X77:Z77)</f>
        <v>#REF!</v>
      </c>
      <c r="AB77" s="154" t="e">
        <f>AVERAGE(Y77:AA77)</f>
        <v>#REF!</v>
      </c>
      <c r="AC77" s="121"/>
      <c r="AD77" s="121"/>
      <c r="AE77" s="447">
        <f t="shared" si="2"/>
        <v>-287.75</v>
      </c>
    </row>
    <row r="78" spans="1:32" ht="18.75" x14ac:dyDescent="0.35">
      <c r="A78" s="150" t="s">
        <v>129</v>
      </c>
      <c r="B78" s="157"/>
      <c r="C78" s="157"/>
      <c r="D78" s="157"/>
      <c r="E78" s="157"/>
      <c r="F78" s="157"/>
      <c r="G78" s="157"/>
      <c r="H78" s="157"/>
      <c r="I78" s="157"/>
      <c r="J78" s="157"/>
      <c r="K78" s="157"/>
      <c r="L78" s="157"/>
      <c r="M78" s="157"/>
      <c r="N78" s="208" t="s">
        <v>68</v>
      </c>
      <c r="O78" s="208" t="s">
        <v>69</v>
      </c>
      <c r="P78" s="208" t="s">
        <v>70</v>
      </c>
      <c r="Q78" s="233" t="s">
        <v>71</v>
      </c>
      <c r="R78" s="233" t="s">
        <v>72</v>
      </c>
      <c r="S78" s="233" t="s">
        <v>73</v>
      </c>
      <c r="T78" s="233" t="s">
        <v>74</v>
      </c>
      <c r="U78" s="325" t="s">
        <v>74</v>
      </c>
      <c r="V78" s="397"/>
      <c r="W78" s="443"/>
      <c r="X78" s="173">
        <f>(X79+X80+X81)</f>
        <v>708.53886481025552</v>
      </c>
      <c r="Y78" s="154">
        <f>(Y79+Y80+Y81)</f>
        <v>1797.7607322838667</v>
      </c>
      <c r="Z78" s="154">
        <f>(Z79+Z80+Z81)</f>
        <v>259.70296335361763</v>
      </c>
      <c r="AA78" s="154">
        <f>(AA79+AA80+AA81)</f>
        <v>307.17346535099836</v>
      </c>
      <c r="AB78" s="322">
        <f>(AB79+AB80+AB81)</f>
        <v>447.7117247042105</v>
      </c>
      <c r="AC78" s="283">
        <f>SUM(R79:AB79)</f>
        <v>9473.3586983677324</v>
      </c>
      <c r="AD78" s="121"/>
    </row>
    <row r="79" spans="1:32" x14ac:dyDescent="0.35">
      <c r="A79" s="166" t="s">
        <v>14</v>
      </c>
      <c r="B79" s="178"/>
      <c r="C79" s="178"/>
      <c r="D79" s="178"/>
      <c r="E79" s="178"/>
      <c r="F79" s="179"/>
      <c r="G79" s="179"/>
      <c r="H79" s="179"/>
      <c r="I79" s="179"/>
      <c r="J79" s="179"/>
      <c r="K79" s="179"/>
      <c r="L79" s="179"/>
      <c r="M79" s="179"/>
      <c r="N79" s="154">
        <f t="shared" ref="N79:T79" si="5">(N80+N81+N82)</f>
        <v>767.83988680539562</v>
      </c>
      <c r="O79" s="154">
        <f t="shared" si="5"/>
        <v>602.65104177481817</v>
      </c>
      <c r="P79" s="154">
        <f t="shared" si="5"/>
        <v>449.91457900762151</v>
      </c>
      <c r="Q79" s="154">
        <f t="shared" si="5"/>
        <v>210.79484401744145</v>
      </c>
      <c r="R79" s="154">
        <f t="shared" si="5"/>
        <v>1450.4604242358546</v>
      </c>
      <c r="S79" s="154">
        <f t="shared" si="5"/>
        <v>1357.9726860348749</v>
      </c>
      <c r="T79" s="154">
        <f t="shared" si="5"/>
        <v>2298.1397640500882</v>
      </c>
      <c r="U79" s="322">
        <v>2298.1397640500882</v>
      </c>
      <c r="V79" s="408"/>
      <c r="W79" s="356"/>
      <c r="X79" s="174">
        <v>135.54746620799997</v>
      </c>
      <c r="Y79" s="155">
        <v>1771.2929999999999</v>
      </c>
      <c r="Z79" s="155">
        <v>49.396700853617631</v>
      </c>
      <c r="AA79" s="155">
        <v>79.509468130998329</v>
      </c>
      <c r="AB79" s="323">
        <v>32.899424804210469</v>
      </c>
      <c r="AC79" s="283">
        <f>SUM(R80:AB80)</f>
        <v>5694.9572997829382</v>
      </c>
      <c r="AD79" s="121"/>
    </row>
    <row r="80" spans="1:32" x14ac:dyDescent="0.35">
      <c r="A80" s="167" t="s">
        <v>15</v>
      </c>
      <c r="B80" s="178"/>
      <c r="C80" s="178"/>
      <c r="D80" s="178"/>
      <c r="E80" s="178"/>
      <c r="F80" s="179"/>
      <c r="G80" s="179"/>
      <c r="H80" s="179"/>
      <c r="I80" s="179"/>
      <c r="J80" s="179"/>
      <c r="K80" s="179"/>
      <c r="L80" s="179"/>
      <c r="M80" s="179"/>
      <c r="N80" s="155">
        <v>37.156577087277924</v>
      </c>
      <c r="O80" s="155">
        <v>135.54746620799997</v>
      </c>
      <c r="P80" s="155">
        <v>406.60799999999995</v>
      </c>
      <c r="Q80" s="155">
        <v>42.291077930468916</v>
      </c>
      <c r="R80" s="155">
        <v>1068.3043149458852</v>
      </c>
      <c r="S80" s="155">
        <v>220.90109407226691</v>
      </c>
      <c r="T80" s="155">
        <v>1528.2674323723929</v>
      </c>
      <c r="U80" s="323">
        <v>1528.2674323723929</v>
      </c>
      <c r="V80" s="409"/>
      <c r="W80" s="445"/>
      <c r="X80" s="174">
        <v>496.43446640000002</v>
      </c>
      <c r="Y80" s="155">
        <v>0</v>
      </c>
      <c r="Z80" s="155">
        <v>210.3062625</v>
      </c>
      <c r="AA80" s="155">
        <v>227.66399722000003</v>
      </c>
      <c r="AB80" s="323">
        <v>414.81229990000003</v>
      </c>
      <c r="AC80" s="283">
        <f>SUM(R81:AB81)</f>
        <v>2909.1359642672896</v>
      </c>
      <c r="AD80" s="121"/>
    </row>
    <row r="81" spans="1:32" x14ac:dyDescent="0.35">
      <c r="A81" s="168" t="s">
        <v>16</v>
      </c>
      <c r="B81" s="178"/>
      <c r="C81" s="178"/>
      <c r="D81" s="178"/>
      <c r="E81" s="178"/>
      <c r="F81" s="179"/>
      <c r="G81" s="179"/>
      <c r="H81" s="179"/>
      <c r="I81" s="179"/>
      <c r="J81" s="179"/>
      <c r="K81" s="179"/>
      <c r="L81" s="179"/>
      <c r="M81" s="179"/>
      <c r="N81" s="155">
        <v>575.11417776086375</v>
      </c>
      <c r="O81" s="155">
        <v>386.95862021342504</v>
      </c>
      <c r="P81" s="155">
        <v>0</v>
      </c>
      <c r="Q81" s="155">
        <v>114.33832585734795</v>
      </c>
      <c r="R81" s="155">
        <v>324.57233716420529</v>
      </c>
      <c r="S81" s="155">
        <v>1067.7862859961115</v>
      </c>
      <c r="T81" s="155">
        <v>706.8763383104249</v>
      </c>
      <c r="U81" s="323">
        <v>706.8763383104249</v>
      </c>
      <c r="V81" s="409"/>
      <c r="W81" s="445"/>
      <c r="X81" s="174">
        <v>76.556932202255567</v>
      </c>
      <c r="Y81" s="155">
        <v>26.467732283866802</v>
      </c>
      <c r="Z81" s="155">
        <v>0</v>
      </c>
      <c r="AA81" s="155">
        <v>0</v>
      </c>
      <c r="AB81" s="323">
        <v>0</v>
      </c>
      <c r="AC81" s="283"/>
      <c r="AD81" s="121"/>
    </row>
    <row r="82" spans="1:32" ht="34.5" customHeight="1" x14ac:dyDescent="0.35">
      <c r="A82" s="168" t="s">
        <v>21</v>
      </c>
      <c r="B82" s="178"/>
      <c r="C82" s="178"/>
      <c r="D82" s="178"/>
      <c r="E82" s="178"/>
      <c r="F82" s="179"/>
      <c r="G82" s="179"/>
      <c r="H82" s="179"/>
      <c r="I82" s="179"/>
      <c r="J82" s="179"/>
      <c r="K82" s="179"/>
      <c r="L82" s="179"/>
      <c r="M82" s="179"/>
      <c r="N82" s="155">
        <v>155.56913195725392</v>
      </c>
      <c r="O82" s="155">
        <v>80.144955353393087</v>
      </c>
      <c r="P82" s="155">
        <v>43.306579007621551</v>
      </c>
      <c r="Q82" s="155">
        <v>54.165440229624586</v>
      </c>
      <c r="R82" s="155">
        <v>57.583772125764227</v>
      </c>
      <c r="S82" s="155">
        <v>69.28530596649658</v>
      </c>
      <c r="T82" s="155">
        <v>62.995993367270415</v>
      </c>
      <c r="U82" s="323">
        <v>62.995993367270415</v>
      </c>
      <c r="V82" s="409"/>
      <c r="W82" s="445"/>
      <c r="X82" s="375"/>
      <c r="Y82" s="330"/>
      <c r="Z82" s="330"/>
      <c r="AA82" s="330"/>
      <c r="AB82" s="331"/>
      <c r="AC82" s="121"/>
      <c r="AD82" s="121"/>
    </row>
    <row r="83" spans="1:32" x14ac:dyDescent="0.35">
      <c r="A83" s="332" t="s">
        <v>195</v>
      </c>
      <c r="B83" s="178"/>
      <c r="C83" s="178"/>
      <c r="D83" s="178"/>
      <c r="E83" s="178"/>
      <c r="F83" s="179"/>
      <c r="G83" s="179"/>
      <c r="H83" s="179"/>
      <c r="I83" s="179"/>
      <c r="J83" s="179"/>
      <c r="K83" s="179"/>
      <c r="L83" s="179"/>
      <c r="M83" s="179"/>
      <c r="N83" s="330"/>
      <c r="O83" s="330"/>
      <c r="P83" s="330"/>
      <c r="Q83" s="330"/>
      <c r="R83" s="330"/>
      <c r="S83" s="330"/>
      <c r="T83" s="330"/>
      <c r="U83" s="331"/>
      <c r="V83" s="414"/>
      <c r="W83" s="448"/>
      <c r="X83" s="375">
        <v>96.023619768230162</v>
      </c>
      <c r="Y83" s="330">
        <v>604.35267508887591</v>
      </c>
      <c r="Z83" s="330">
        <v>48.341502655999996</v>
      </c>
      <c r="AA83" s="330">
        <v>122.63251919549799</v>
      </c>
      <c r="AB83" s="331">
        <v>45.403422686315785</v>
      </c>
      <c r="AC83" s="155">
        <f>SUM(R84:AB84)</f>
        <v>510.78928181634757</v>
      </c>
      <c r="AD83" s="121"/>
    </row>
    <row r="84" spans="1:32" x14ac:dyDescent="0.35">
      <c r="A84" s="333" t="s">
        <v>15</v>
      </c>
      <c r="B84" s="178"/>
      <c r="C84" s="178"/>
      <c r="D84" s="178"/>
      <c r="E84" s="178"/>
      <c r="F84" s="179"/>
      <c r="G84" s="179"/>
      <c r="H84" s="179"/>
      <c r="I84" s="179"/>
      <c r="J84" s="179"/>
      <c r="K84" s="179"/>
      <c r="L84" s="179"/>
      <c r="M84" s="179"/>
      <c r="N84" s="330">
        <v>30.384541670097853</v>
      </c>
      <c r="O84" s="330">
        <v>111.676052032</v>
      </c>
      <c r="P84" s="330">
        <v>536.70998125000006</v>
      </c>
      <c r="Q84" s="330">
        <v>124.83337590928619</v>
      </c>
      <c r="R84" s="330">
        <v>147.67342502399998</v>
      </c>
      <c r="S84" s="330">
        <v>93.283332137665553</v>
      </c>
      <c r="T84" s="330">
        <v>94.91474931734102</v>
      </c>
      <c r="U84" s="331">
        <v>94.91474931734102</v>
      </c>
      <c r="V84" s="414"/>
      <c r="W84" s="448"/>
      <c r="X84" s="375">
        <v>22.434466399999998</v>
      </c>
      <c r="Y84" s="330">
        <v>0</v>
      </c>
      <c r="Z84" s="330">
        <v>10.8592625</v>
      </c>
      <c r="AA84" s="330">
        <v>7.6639972200000015</v>
      </c>
      <c r="AB84" s="331">
        <v>39.045299899999996</v>
      </c>
      <c r="AC84" s="155">
        <f>SUM(N85:AB85)</f>
        <v>434.34233355966177</v>
      </c>
      <c r="AD84" s="121"/>
    </row>
    <row r="85" spans="1:32" x14ac:dyDescent="0.35">
      <c r="A85" s="334" t="s">
        <v>16</v>
      </c>
      <c r="B85" s="178"/>
      <c r="C85" s="178"/>
      <c r="D85" s="178"/>
      <c r="E85" s="178"/>
      <c r="F85" s="179"/>
      <c r="G85" s="179"/>
      <c r="H85" s="179"/>
      <c r="I85" s="179"/>
      <c r="J85" s="179"/>
      <c r="K85" s="179"/>
      <c r="L85" s="179"/>
      <c r="M85" s="179"/>
      <c r="N85" s="330">
        <v>31.489851726597799</v>
      </c>
      <c r="O85" s="330">
        <v>26.567771213057569</v>
      </c>
      <c r="P85" s="330">
        <v>1.5717718691845716E-4</v>
      </c>
      <c r="Q85" s="330">
        <v>14.837058900780621</v>
      </c>
      <c r="R85" s="330">
        <v>13.487379544307203</v>
      </c>
      <c r="S85" s="330">
        <v>31.571385906797424</v>
      </c>
      <c r="T85" s="330">
        <v>27.77835732933821</v>
      </c>
      <c r="U85" s="331">
        <v>27.77835732933821</v>
      </c>
      <c r="V85" s="414"/>
      <c r="W85" s="448"/>
      <c r="X85" s="375">
        <v>60.873033946006608</v>
      </c>
      <c r="Y85" s="330">
        <v>86.661826343548768</v>
      </c>
      <c r="Z85" s="330">
        <v>14.53972390982563</v>
      </c>
      <c r="AA85" s="330">
        <v>76.569219393407991</v>
      </c>
      <c r="AB85" s="331">
        <v>22.188210839468816</v>
      </c>
      <c r="AC85" s="155">
        <f>SUM(R86:AB86)</f>
        <v>188.87105661322201</v>
      </c>
      <c r="AD85" s="121"/>
    </row>
    <row r="86" spans="1:32" x14ac:dyDescent="0.35">
      <c r="A86" s="334" t="s">
        <v>21</v>
      </c>
      <c r="B86" s="178"/>
      <c r="C86" s="178"/>
      <c r="D86" s="178"/>
      <c r="E86" s="178"/>
      <c r="F86" s="179"/>
      <c r="G86" s="179"/>
      <c r="H86" s="179"/>
      <c r="I86" s="179"/>
      <c r="J86" s="179"/>
      <c r="K86" s="179"/>
      <c r="L86" s="179"/>
      <c r="M86" s="179"/>
      <c r="N86" s="330">
        <v>48.509933380164796</v>
      </c>
      <c r="O86" s="330">
        <v>77.142808366574556</v>
      </c>
      <c r="P86" s="330">
        <v>93.406099228353824</v>
      </c>
      <c r="Q86" s="330">
        <v>32.309538136747314</v>
      </c>
      <c r="R86" s="330">
        <v>72.659298594945994</v>
      </c>
      <c r="S86" s="330">
        <v>26.920018817133364</v>
      </c>
      <c r="T86" s="330">
        <v>44.645869600571331</v>
      </c>
      <c r="U86" s="331">
        <v>44.645869600571331</v>
      </c>
      <c r="V86" s="414"/>
      <c r="W86" s="448"/>
      <c r="X86" s="174"/>
      <c r="Y86" s="155"/>
      <c r="Z86" s="155"/>
      <c r="AA86" s="155"/>
      <c r="AB86" s="323"/>
      <c r="AC86" s="121"/>
      <c r="AD86" s="155">
        <v>611</v>
      </c>
      <c r="AE86" s="93"/>
    </row>
    <row r="87" spans="1:32" x14ac:dyDescent="0.35">
      <c r="A87" s="166"/>
      <c r="B87" s="178"/>
      <c r="C87" s="178"/>
      <c r="D87" s="178"/>
      <c r="E87" s="178"/>
      <c r="F87" s="179"/>
      <c r="G87" s="179"/>
      <c r="H87" s="179"/>
      <c r="I87" s="179"/>
      <c r="J87" s="179"/>
      <c r="K87" s="179"/>
      <c r="L87" s="179"/>
      <c r="M87" s="179"/>
      <c r="N87" s="155"/>
      <c r="O87" s="155"/>
      <c r="P87" s="155"/>
      <c r="Q87" s="155"/>
      <c r="R87" s="155"/>
      <c r="S87" s="155"/>
      <c r="T87" s="155"/>
      <c r="U87" s="323"/>
      <c r="V87" s="409"/>
      <c r="W87" s="445"/>
      <c r="X87" s="173">
        <f>SUM(X88:X92)</f>
        <v>896.07791304000011</v>
      </c>
      <c r="Y87" s="154">
        <f>SUM(Y88:Y92)</f>
        <v>800</v>
      </c>
      <c r="Z87" s="154">
        <f>SUM(Z88:Z92)</f>
        <v>644.42876750000005</v>
      </c>
      <c r="AA87" s="154">
        <f>SUM(AA88:AA92)</f>
        <v>985.96319638600005</v>
      </c>
      <c r="AB87" s="322">
        <f>SUM(AB88:AB92)</f>
        <v>456.29352989000006</v>
      </c>
      <c r="AC87" s="283"/>
      <c r="AD87" s="121">
        <v>1681</v>
      </c>
      <c r="AF87" s="223"/>
    </row>
    <row r="88" spans="1:32" x14ac:dyDescent="0.35">
      <c r="A88" s="166" t="s">
        <v>169</v>
      </c>
      <c r="B88" s="178"/>
      <c r="C88" s="178"/>
      <c r="D88" s="178"/>
      <c r="E88" s="178"/>
      <c r="F88" s="179"/>
      <c r="G88" s="179"/>
      <c r="H88" s="179"/>
      <c r="I88" s="179"/>
      <c r="J88" s="179"/>
      <c r="K88" s="179"/>
      <c r="L88" s="179"/>
      <c r="M88" s="179"/>
      <c r="N88" s="154">
        <f t="shared" ref="N88:S88" si="6">SUM(N89:N93)</f>
        <v>1400.9898490022529</v>
      </c>
      <c r="O88" s="154">
        <f t="shared" si="6"/>
        <v>347.70498632985505</v>
      </c>
      <c r="P88" s="154">
        <f t="shared" si="6"/>
        <v>890.37642225800005</v>
      </c>
      <c r="Q88" s="154">
        <f t="shared" si="6"/>
        <v>-142.65385617999999</v>
      </c>
      <c r="R88" s="154">
        <f t="shared" si="6"/>
        <v>199.80851966</v>
      </c>
      <c r="S88" s="154">
        <f t="shared" si="6"/>
        <v>2947.6904</v>
      </c>
      <c r="T88" s="154">
        <f>SUM(T89:T93)+T94</f>
        <v>2319.2249999999999</v>
      </c>
      <c r="U88" s="322">
        <v>2319.2249999999999</v>
      </c>
      <c r="V88" s="408"/>
      <c r="W88" s="356"/>
      <c r="X88" s="174">
        <f>X80*1.1</f>
        <v>546.07791304000011</v>
      </c>
      <c r="Y88" s="155">
        <v>250</v>
      </c>
      <c r="Z88" s="323">
        <f>Z80*1.4</f>
        <v>294.42876749999999</v>
      </c>
      <c r="AA88" s="323">
        <f>AA80*1.3</f>
        <v>295.96319638600005</v>
      </c>
      <c r="AB88" s="323">
        <f>AB80*1.1</f>
        <v>456.29352989000006</v>
      </c>
      <c r="AC88" s="121"/>
      <c r="AD88" s="121"/>
    </row>
    <row r="89" spans="1:32" ht="36" customHeight="1" x14ac:dyDescent="0.35">
      <c r="A89" s="169" t="s">
        <v>18</v>
      </c>
      <c r="B89" s="178"/>
      <c r="C89" s="178"/>
      <c r="D89" s="178"/>
      <c r="E89" s="178"/>
      <c r="F89" s="179"/>
      <c r="G89" s="179"/>
      <c r="H89" s="179"/>
      <c r="I89" s="179"/>
      <c r="J89" s="179"/>
      <c r="K89" s="179"/>
      <c r="L89" s="179"/>
      <c r="M89" s="179"/>
      <c r="N89" s="155">
        <v>0</v>
      </c>
      <c r="O89" s="155">
        <v>202.33729210000001</v>
      </c>
      <c r="P89" s="155">
        <v>1183.376422258</v>
      </c>
      <c r="Q89" s="155">
        <v>164.34614382000001</v>
      </c>
      <c r="R89" s="155">
        <v>368.80851966</v>
      </c>
      <c r="S89" s="155">
        <v>395.69040000000007</v>
      </c>
      <c r="T89" s="155">
        <v>608.22500000000002</v>
      </c>
      <c r="U89" s="323">
        <v>608.22500000000002</v>
      </c>
      <c r="V89" s="409"/>
      <c r="W89" s="445"/>
      <c r="X89" s="174">
        <v>0</v>
      </c>
      <c r="Y89" s="155">
        <v>-50</v>
      </c>
      <c r="Z89" s="155">
        <v>0</v>
      </c>
      <c r="AA89" s="155">
        <v>0</v>
      </c>
      <c r="AB89" s="323">
        <v>0</v>
      </c>
      <c r="AC89" s="326">
        <f>SUM(N90:AB90)</f>
        <v>929.35754323210801</v>
      </c>
      <c r="AD89" s="121"/>
    </row>
    <row r="90" spans="1:32" ht="18.75" x14ac:dyDescent="0.35">
      <c r="A90" s="170" t="s">
        <v>155</v>
      </c>
      <c r="B90" s="178"/>
      <c r="C90" s="178"/>
      <c r="D90" s="178"/>
      <c r="E90" s="178"/>
      <c r="F90" s="179"/>
      <c r="G90" s="179"/>
      <c r="H90" s="179"/>
      <c r="I90" s="179"/>
      <c r="J90" s="179"/>
      <c r="K90" s="179"/>
      <c r="L90" s="179"/>
      <c r="M90" s="179"/>
      <c r="N90" s="155">
        <v>300.98984900225298</v>
      </c>
      <c r="O90" s="155">
        <v>145.367694229855</v>
      </c>
      <c r="P90" s="155">
        <v>-293</v>
      </c>
      <c r="Q90" s="155">
        <v>-307</v>
      </c>
      <c r="R90" s="155">
        <v>-169</v>
      </c>
      <c r="S90" s="155">
        <v>-48</v>
      </c>
      <c r="T90" s="155">
        <v>0</v>
      </c>
      <c r="U90" s="323">
        <v>0</v>
      </c>
      <c r="V90" s="409"/>
      <c r="W90" s="445"/>
      <c r="X90" s="174">
        <v>350</v>
      </c>
      <c r="Y90" s="155">
        <v>0</v>
      </c>
      <c r="Z90" s="155">
        <v>350</v>
      </c>
      <c r="AA90" s="155">
        <v>600</v>
      </c>
      <c r="AB90" s="323">
        <v>0</v>
      </c>
      <c r="AC90" s="326"/>
      <c r="AD90" s="121"/>
    </row>
    <row r="91" spans="1:32" ht="18.75" x14ac:dyDescent="0.35">
      <c r="A91" s="171" t="s">
        <v>201</v>
      </c>
      <c r="B91" s="178"/>
      <c r="C91" s="178"/>
      <c r="D91" s="178"/>
      <c r="E91" s="178"/>
      <c r="F91" s="179"/>
      <c r="G91" s="179"/>
      <c r="H91" s="179"/>
      <c r="I91" s="179"/>
      <c r="J91" s="179"/>
      <c r="K91" s="179"/>
      <c r="L91" s="179"/>
      <c r="M91" s="179"/>
      <c r="N91" s="155">
        <v>0</v>
      </c>
      <c r="O91" s="155">
        <v>0</v>
      </c>
      <c r="P91" s="155">
        <v>0</v>
      </c>
      <c r="Q91" s="155">
        <v>0</v>
      </c>
      <c r="R91" s="155">
        <v>0</v>
      </c>
      <c r="S91" s="155">
        <v>2100</v>
      </c>
      <c r="T91" s="155">
        <v>0</v>
      </c>
      <c r="U91" s="323">
        <v>0</v>
      </c>
      <c r="V91" s="409"/>
      <c r="W91" s="445"/>
      <c r="X91" s="174">
        <v>0</v>
      </c>
      <c r="Y91" s="155">
        <v>600</v>
      </c>
      <c r="Z91" s="155">
        <v>0</v>
      </c>
      <c r="AA91" s="155">
        <v>90</v>
      </c>
      <c r="AB91" s="323">
        <v>0</v>
      </c>
      <c r="AC91" s="326"/>
      <c r="AD91" s="121"/>
    </row>
    <row r="92" spans="1:32" ht="18.75" x14ac:dyDescent="0.35">
      <c r="A92" s="171" t="s">
        <v>19</v>
      </c>
      <c r="B92" s="178"/>
      <c r="C92" s="178"/>
      <c r="D92" s="178"/>
      <c r="E92" s="178"/>
      <c r="F92" s="179"/>
      <c r="G92" s="179"/>
      <c r="H92" s="179"/>
      <c r="I92" s="179"/>
      <c r="J92" s="179"/>
      <c r="K92" s="179"/>
      <c r="L92" s="179"/>
      <c r="M92" s="179"/>
      <c r="N92" s="155">
        <v>0</v>
      </c>
      <c r="O92" s="155">
        <v>0</v>
      </c>
      <c r="P92" s="155">
        <v>0</v>
      </c>
      <c r="Q92" s="155">
        <v>0</v>
      </c>
      <c r="R92" s="155">
        <v>0</v>
      </c>
      <c r="S92" s="155">
        <v>500</v>
      </c>
      <c r="T92" s="155">
        <v>105</v>
      </c>
      <c r="U92" s="323">
        <v>105</v>
      </c>
      <c r="V92" s="409"/>
      <c r="W92" s="445"/>
      <c r="X92" s="174">
        <v>0</v>
      </c>
      <c r="Y92" s="155">
        <v>0</v>
      </c>
      <c r="Z92" s="155">
        <v>0</v>
      </c>
      <c r="AA92" s="155">
        <v>0</v>
      </c>
      <c r="AB92" s="323">
        <v>0</v>
      </c>
      <c r="AC92" s="326"/>
      <c r="AD92" s="121"/>
    </row>
    <row r="93" spans="1:32" ht="18.75" x14ac:dyDescent="0.35">
      <c r="A93" s="171" t="s">
        <v>20</v>
      </c>
      <c r="B93" s="178"/>
      <c r="C93" s="178"/>
      <c r="D93" s="178"/>
      <c r="E93" s="178"/>
      <c r="F93" s="179"/>
      <c r="G93" s="179"/>
      <c r="H93" s="179"/>
      <c r="I93" s="179"/>
      <c r="J93" s="179"/>
      <c r="K93" s="179"/>
      <c r="L93" s="179"/>
      <c r="M93" s="179"/>
      <c r="N93" s="155">
        <v>1100</v>
      </c>
      <c r="O93" s="155">
        <v>0</v>
      </c>
      <c r="P93" s="155">
        <v>0</v>
      </c>
      <c r="Q93" s="155">
        <v>0</v>
      </c>
      <c r="R93" s="155">
        <v>0</v>
      </c>
      <c r="S93" s="155">
        <v>0</v>
      </c>
      <c r="T93" s="155">
        <v>1200</v>
      </c>
      <c r="U93" s="323">
        <v>1200</v>
      </c>
      <c r="V93" s="409"/>
      <c r="W93" s="449"/>
      <c r="X93" s="93">
        <f>X95-X94</f>
        <v>0</v>
      </c>
      <c r="Y93" s="93">
        <f>Y95-Y94</f>
        <v>0</v>
      </c>
      <c r="Z93" s="93">
        <f>Z95-Z94</f>
        <v>0</v>
      </c>
      <c r="AA93" s="93">
        <f>AA95-AA94</f>
        <v>0</v>
      </c>
      <c r="AB93" s="93">
        <f>AB95-AB94</f>
        <v>0</v>
      </c>
      <c r="AC93" s="326"/>
      <c r="AD93" s="121"/>
    </row>
    <row r="94" spans="1:32" ht="30" x14ac:dyDescent="0.35">
      <c r="A94" s="60" t="s">
        <v>171</v>
      </c>
      <c r="B94" s="178"/>
      <c r="C94" s="178"/>
      <c r="D94" s="178"/>
      <c r="E94" s="178"/>
      <c r="F94" s="179"/>
      <c r="G94" s="179"/>
      <c r="H94" s="179"/>
      <c r="I94" s="179"/>
      <c r="J94" s="179"/>
      <c r="K94" s="179"/>
      <c r="L94" s="179"/>
      <c r="M94" s="179"/>
      <c r="N94" s="93">
        <f t="shared" ref="N94:S94" si="7">N96-N95</f>
        <v>1054.8500378031426</v>
      </c>
      <c r="O94" s="93">
        <f t="shared" si="7"/>
        <v>320.94605544496312</v>
      </c>
      <c r="P94" s="93">
        <f t="shared" si="7"/>
        <v>-882.46184325037848</v>
      </c>
      <c r="Q94" s="93">
        <f t="shared" si="7"/>
        <v>12.44870019744144</v>
      </c>
      <c r="R94" s="93">
        <f t="shared" si="7"/>
        <v>-3.3480954241454128</v>
      </c>
      <c r="S94" s="93">
        <f t="shared" si="7"/>
        <v>820.28228603487491</v>
      </c>
      <c r="T94" s="93">
        <v>406</v>
      </c>
      <c r="U94" s="93">
        <v>406</v>
      </c>
      <c r="V94" s="415"/>
      <c r="W94" s="449"/>
      <c r="X94" s="103">
        <f>X87-X78</f>
        <v>187.53904822974459</v>
      </c>
      <c r="Y94" s="103">
        <f>Y87-Y78</f>
        <v>-997.76073228386667</v>
      </c>
      <c r="Z94" s="103">
        <f>Z87-Z78</f>
        <v>384.72580414638242</v>
      </c>
      <c r="AA94" s="103">
        <f>AA87-AA78</f>
        <v>678.78973103500175</v>
      </c>
      <c r="AB94" s="103">
        <f>AB87-AB78</f>
        <v>8.5818051857895625</v>
      </c>
      <c r="AC94" s="326"/>
      <c r="AD94" s="121"/>
    </row>
    <row r="95" spans="1:32" ht="18.75" x14ac:dyDescent="0.35">
      <c r="A95" s="172" t="s">
        <v>192</v>
      </c>
      <c r="B95" s="192"/>
      <c r="C95" s="192"/>
      <c r="D95" s="192"/>
      <c r="E95" s="192"/>
      <c r="F95" s="193"/>
      <c r="G95" s="193"/>
      <c r="H95" s="193"/>
      <c r="I95" s="193"/>
      <c r="J95" s="193"/>
      <c r="K95" s="193"/>
      <c r="L95" s="193"/>
      <c r="M95" s="193"/>
      <c r="N95" s="103">
        <f>(N88-N79)</f>
        <v>633.14996219685725</v>
      </c>
      <c r="O95" s="103">
        <f t="shared" ref="O95:T95" si="8">O88-O79</f>
        <v>-254.94605544496312</v>
      </c>
      <c r="P95" s="103">
        <f t="shared" si="8"/>
        <v>440.46184325037854</v>
      </c>
      <c r="Q95" s="103">
        <f t="shared" si="8"/>
        <v>-353.44870019744144</v>
      </c>
      <c r="R95" s="103">
        <f t="shared" si="8"/>
        <v>-1250.6519045758546</v>
      </c>
      <c r="S95" s="103">
        <f t="shared" si="8"/>
        <v>1589.7177139651251</v>
      </c>
      <c r="T95" s="103">
        <f t="shared" si="8"/>
        <v>21.085235949911748</v>
      </c>
      <c r="U95" s="103">
        <v>136</v>
      </c>
      <c r="V95" s="416"/>
      <c r="W95" s="450"/>
      <c r="X95" s="103">
        <f>X94</f>
        <v>187.53904822974459</v>
      </c>
      <c r="Y95" s="103">
        <f>Y94</f>
        <v>-997.76073228386667</v>
      </c>
      <c r="Z95" s="103">
        <f>Z94</f>
        <v>384.72580414638242</v>
      </c>
      <c r="AA95" s="103">
        <f>AA94</f>
        <v>678.78973103500175</v>
      </c>
      <c r="AB95" s="103">
        <f>AB94</f>
        <v>8.5818051857895625</v>
      </c>
      <c r="AC95" s="326">
        <f>SUM(N96:AB96)</f>
        <v>10326.502407407666</v>
      </c>
      <c r="AD95" s="326">
        <f>SUM(B96:M96)</f>
        <v>0</v>
      </c>
    </row>
    <row r="96" spans="1:32" ht="45" customHeight="1" x14ac:dyDescent="0.35">
      <c r="A96" s="329" t="s">
        <v>194</v>
      </c>
      <c r="B96" s="192"/>
      <c r="C96" s="192"/>
      <c r="D96" s="192"/>
      <c r="E96" s="192"/>
      <c r="F96" s="193"/>
      <c r="G96" s="193"/>
      <c r="H96" s="193"/>
      <c r="I96" s="193"/>
      <c r="J96" s="193"/>
      <c r="K96" s="193"/>
      <c r="L96" s="193"/>
      <c r="M96" s="193"/>
      <c r="N96" s="103">
        <v>1688</v>
      </c>
      <c r="O96" s="103">
        <v>66</v>
      </c>
      <c r="P96" s="103">
        <v>-442</v>
      </c>
      <c r="Q96" s="103">
        <v>-341</v>
      </c>
      <c r="R96" s="103">
        <v>-1254</v>
      </c>
      <c r="S96" s="103">
        <f>-(-334-2076)</f>
        <v>2410</v>
      </c>
      <c r="T96" s="103">
        <f>T95</f>
        <v>21.085235949911748</v>
      </c>
      <c r="U96" s="103">
        <v>136</v>
      </c>
      <c r="V96" s="416"/>
      <c r="W96" s="450"/>
      <c r="X96" s="103">
        <f>T97+X95</f>
        <v>1902.6242841796563</v>
      </c>
      <c r="Y96" s="103">
        <f>X96+Y95</f>
        <v>904.86355189578967</v>
      </c>
      <c r="Z96" s="103">
        <f>Y96+Z95</f>
        <v>1289.5893560421721</v>
      </c>
      <c r="AA96" s="103">
        <f>Z96+AA95</f>
        <v>1968.3790870771738</v>
      </c>
      <c r="AB96" s="103">
        <f>AA96+AB95</f>
        <v>1976.9608922629634</v>
      </c>
      <c r="AC96" s="204"/>
      <c r="AD96" s="204"/>
    </row>
    <row r="97" spans="1:31" ht="34.5" customHeight="1" x14ac:dyDescent="0.35">
      <c r="A97" s="297" t="s">
        <v>193</v>
      </c>
      <c r="B97" s="192"/>
      <c r="C97" s="192"/>
      <c r="D97" s="192"/>
      <c r="E97" s="192"/>
      <c r="F97" s="193"/>
      <c r="G97" s="193"/>
      <c r="H97" s="193"/>
      <c r="I97" s="193"/>
      <c r="J97" s="193"/>
      <c r="K97" s="193"/>
      <c r="L97" s="193"/>
      <c r="M97" s="193"/>
      <c r="N97" s="103"/>
      <c r="O97" s="103"/>
      <c r="P97" s="103"/>
      <c r="Q97" s="103"/>
      <c r="R97" s="103"/>
      <c r="S97" s="103">
        <v>2100</v>
      </c>
      <c r="T97" s="103">
        <f>S97+T96-406</f>
        <v>1715.0852359499117</v>
      </c>
      <c r="U97" s="103">
        <v>1830</v>
      </c>
      <c r="V97" s="416"/>
      <c r="W97" s="450"/>
      <c r="X97" s="103"/>
      <c r="Y97" s="103"/>
      <c r="Z97" s="103"/>
      <c r="AA97" s="103"/>
      <c r="AB97" s="103"/>
      <c r="AC97" s="204"/>
      <c r="AD97" s="204"/>
    </row>
    <row r="98" spans="1:31" ht="45" customHeight="1" x14ac:dyDescent="0.35">
      <c r="A98" s="298" t="s">
        <v>170</v>
      </c>
      <c r="B98" s="192"/>
      <c r="C98" s="192"/>
      <c r="D98" s="192"/>
      <c r="E98" s="192"/>
      <c r="F98" s="193"/>
      <c r="G98" s="193"/>
      <c r="H98" s="193"/>
      <c r="I98" s="193"/>
      <c r="J98" s="193"/>
      <c r="K98" s="193"/>
      <c r="L98" s="193"/>
      <c r="M98" s="193"/>
      <c r="N98" s="304">
        <v>348</v>
      </c>
      <c r="O98" s="304">
        <v>734</v>
      </c>
      <c r="P98" s="304">
        <v>200</v>
      </c>
      <c r="Q98" s="304">
        <v>787</v>
      </c>
      <c r="R98" s="304">
        <v>660</v>
      </c>
      <c r="S98" s="304"/>
      <c r="T98" s="103"/>
      <c r="U98" s="103"/>
      <c r="V98" s="416"/>
      <c r="W98" s="450"/>
      <c r="X98" s="103"/>
      <c r="Y98" s="103"/>
      <c r="Z98" s="103"/>
      <c r="AA98" s="103"/>
      <c r="AB98" s="103"/>
      <c r="AC98" s="204"/>
      <c r="AD98" s="204"/>
    </row>
    <row r="99" spans="1:31" ht="37.5" customHeight="1" x14ac:dyDescent="0.35">
      <c r="A99" s="297"/>
      <c r="B99" s="327"/>
      <c r="C99" s="327"/>
      <c r="D99" s="327"/>
      <c r="E99" s="327"/>
      <c r="F99" s="328"/>
      <c r="G99" s="328"/>
      <c r="H99" s="328"/>
      <c r="I99" s="328"/>
      <c r="J99" s="328"/>
      <c r="K99" s="328"/>
      <c r="L99" s="328"/>
      <c r="M99" s="328"/>
      <c r="N99" s="304"/>
      <c r="O99" s="304"/>
      <c r="P99" s="304"/>
      <c r="Q99" s="304"/>
      <c r="R99" s="229"/>
      <c r="S99" s="304"/>
      <c r="T99" s="103"/>
      <c r="U99" s="103"/>
      <c r="V99" s="416"/>
      <c r="W99" s="450"/>
      <c r="X99" s="152" t="e">
        <f>X38+X54-X56</f>
        <v>#REF!</v>
      </c>
      <c r="Y99" s="152" t="e">
        <f>Y38+Y54-Y56</f>
        <v>#REF!</v>
      </c>
      <c r="Z99" s="152" t="e">
        <f>Z38+Z54-Z56</f>
        <v>#REF!</v>
      </c>
      <c r="AA99" s="152" t="e">
        <f>AA38+AA54-AA56</f>
        <v>#REF!</v>
      </c>
      <c r="AB99" s="152" t="e">
        <f>AB38+AB54-AB56</f>
        <v>#REF!</v>
      </c>
    </row>
    <row r="100" spans="1:31" ht="72" customHeight="1" x14ac:dyDescent="0.5">
      <c r="A100" s="537" t="s">
        <v>99</v>
      </c>
      <c r="B100" s="538">
        <f t="shared" ref="B100:M100" si="9">B38+B54-B56+B95+B106</f>
        <v>-68</v>
      </c>
      <c r="C100" s="538">
        <f t="shared" si="9"/>
        <v>-607</v>
      </c>
      <c r="D100" s="538">
        <f t="shared" si="9"/>
        <v>485</v>
      </c>
      <c r="E100" s="538">
        <f t="shared" si="9"/>
        <v>-46</v>
      </c>
      <c r="F100" s="538">
        <f t="shared" si="9"/>
        <v>-1105</v>
      </c>
      <c r="G100" s="538">
        <f t="shared" si="9"/>
        <v>1052</v>
      </c>
      <c r="H100" s="538">
        <f t="shared" si="9"/>
        <v>1292</v>
      </c>
      <c r="I100" s="538">
        <f t="shared" si="9"/>
        <v>69</v>
      </c>
      <c r="J100" s="538">
        <f t="shared" si="9"/>
        <v>-468</v>
      </c>
      <c r="K100" s="538">
        <f t="shared" si="9"/>
        <v>-109</v>
      </c>
      <c r="L100" s="538">
        <f t="shared" si="9"/>
        <v>601</v>
      </c>
      <c r="M100" s="538">
        <f t="shared" si="9"/>
        <v>3236</v>
      </c>
      <c r="N100" s="539">
        <f t="shared" ref="N100:S100" si="10">N38+N54-N56</f>
        <v>906</v>
      </c>
      <c r="O100" s="539">
        <f t="shared" si="10"/>
        <v>733</v>
      </c>
      <c r="P100" s="539">
        <f t="shared" si="10"/>
        <v>-1778</v>
      </c>
      <c r="Q100" s="539">
        <f t="shared" si="10"/>
        <v>716</v>
      </c>
      <c r="R100" s="539">
        <f t="shared" si="10"/>
        <v>-353</v>
      </c>
      <c r="S100" s="539">
        <f t="shared" si="10"/>
        <v>3054</v>
      </c>
      <c r="T100" s="539">
        <v>-88</v>
      </c>
      <c r="U100" s="539">
        <v>263</v>
      </c>
      <c r="V100" s="540">
        <v>353</v>
      </c>
      <c r="W100" s="541">
        <f t="shared" ref="W100:W106" si="11">U100/V100-1</f>
        <v>-0.25495750708215292</v>
      </c>
      <c r="X100" s="539" t="e">
        <f>AVERAGE(#REF!)</f>
        <v>#REF!</v>
      </c>
      <c r="Y100" s="539" t="e">
        <f>AVERAGE(S100:X100)</f>
        <v>#REF!</v>
      </c>
      <c r="Z100" s="539" t="e">
        <f>AVERAGE(T100:Y100)</f>
        <v>#REF!</v>
      </c>
      <c r="AA100" s="539" t="e">
        <f>AVERAGE(X100:Z100)</f>
        <v>#REF!</v>
      </c>
      <c r="AB100" s="539" t="e">
        <f>AVERAGE(Y100:AA100)</f>
        <v>#REF!</v>
      </c>
      <c r="AC100" s="542"/>
      <c r="AD100" s="542"/>
      <c r="AE100" s="543">
        <f t="shared" ref="AE100:AE106" si="12">U100-V100</f>
        <v>-90</v>
      </c>
    </row>
    <row r="101" spans="1:31" x14ac:dyDescent="0.35">
      <c r="A101" s="151" t="s">
        <v>105</v>
      </c>
      <c r="B101" s="190"/>
      <c r="C101" s="190"/>
      <c r="D101" s="190"/>
      <c r="E101" s="190"/>
      <c r="F101" s="190"/>
      <c r="G101" s="190"/>
      <c r="H101" s="190"/>
      <c r="I101" s="190"/>
      <c r="J101" s="190"/>
      <c r="K101" s="190"/>
      <c r="L101" s="190"/>
      <c r="M101" s="190"/>
      <c r="N101" s="152">
        <f t="shared" ref="N101:S101" si="13">(N37-N82+N90)-IF((N89-N81)&gt;0,(N89-N81)*0.4,(N89-N81)*0.2)</f>
        <v>-913.55644740282821</v>
      </c>
      <c r="O101" s="152">
        <f t="shared" si="13"/>
        <v>767.14700449914687</v>
      </c>
      <c r="P101" s="152">
        <f t="shared" si="13"/>
        <v>-2146.6571479108215</v>
      </c>
      <c r="Q101" s="152">
        <f t="shared" si="13"/>
        <v>675.83143258531459</v>
      </c>
      <c r="R101" s="152">
        <f t="shared" si="13"/>
        <v>655.7217548759179</v>
      </c>
      <c r="S101" s="152">
        <f t="shared" si="13"/>
        <v>659.13387123272571</v>
      </c>
      <c r="T101" s="152">
        <v>-464.09733822250041</v>
      </c>
      <c r="U101" s="152">
        <v>472.9482511465477</v>
      </c>
      <c r="V101" s="406">
        <v>494.59064953740682</v>
      </c>
      <c r="W101" s="520">
        <f t="shared" si="11"/>
        <v>-4.3758203700578147E-2</v>
      </c>
      <c r="X101" s="152">
        <v>200</v>
      </c>
      <c r="Y101" s="152">
        <v>-250</v>
      </c>
      <c r="Z101" s="152">
        <v>-50</v>
      </c>
      <c r="AA101" s="152">
        <v>150</v>
      </c>
      <c r="AB101" s="152">
        <v>0</v>
      </c>
      <c r="AE101" s="529">
        <f t="shared" si="12"/>
        <v>-21.642398390859114</v>
      </c>
    </row>
    <row r="102" spans="1:31" ht="31.5" hidden="1" x14ac:dyDescent="0.35">
      <c r="A102" s="151" t="s">
        <v>175</v>
      </c>
      <c r="B102" s="190"/>
      <c r="C102" s="190"/>
      <c r="D102" s="190"/>
      <c r="E102" s="190"/>
      <c r="F102" s="190"/>
      <c r="G102" s="190"/>
      <c r="H102" s="190"/>
      <c r="I102" s="190"/>
      <c r="J102" s="190"/>
      <c r="K102" s="190"/>
      <c r="L102" s="190"/>
      <c r="M102" s="190"/>
      <c r="N102" s="152"/>
      <c r="O102" s="152"/>
      <c r="P102" s="152"/>
      <c r="Q102" s="152"/>
      <c r="R102" s="152"/>
      <c r="S102" s="152"/>
      <c r="T102" s="152">
        <v>-369</v>
      </c>
      <c r="U102" s="152">
        <v>460.5</v>
      </c>
      <c r="V102" s="406">
        <v>460.5</v>
      </c>
      <c r="W102" s="520">
        <f t="shared" si="11"/>
        <v>0</v>
      </c>
      <c r="X102" s="152" t="e">
        <f>X100-X101</f>
        <v>#REF!</v>
      </c>
      <c r="Y102" s="152" t="e">
        <f>Y100-Y101</f>
        <v>#REF!</v>
      </c>
      <c r="Z102" s="152" t="e">
        <f>Z100-Z101</f>
        <v>#REF!</v>
      </c>
      <c r="AA102" s="152" t="e">
        <f>AA100-AA101</f>
        <v>#REF!</v>
      </c>
      <c r="AB102" s="152" t="e">
        <f>AB100-AB101</f>
        <v>#REF!</v>
      </c>
      <c r="AC102" s="205"/>
      <c r="AD102" s="314">
        <f>T112/R112-1</f>
        <v>-4.1029466616934185E-3</v>
      </c>
      <c r="AE102" s="529">
        <f t="shared" si="12"/>
        <v>0</v>
      </c>
    </row>
    <row r="103" spans="1:31" ht="18" customHeight="1" x14ac:dyDescent="0.35">
      <c r="A103" s="151" t="s">
        <v>173</v>
      </c>
      <c r="B103" s="190"/>
      <c r="C103" s="190"/>
      <c r="D103" s="190"/>
      <c r="E103" s="190"/>
      <c r="F103" s="190"/>
      <c r="G103" s="190"/>
      <c r="H103" s="190"/>
      <c r="I103" s="190"/>
      <c r="J103" s="190"/>
      <c r="K103" s="190"/>
      <c r="L103" s="190"/>
      <c r="M103" s="190"/>
      <c r="N103" s="152"/>
      <c r="O103" s="152"/>
      <c r="P103" s="152"/>
      <c r="Q103" s="152"/>
      <c r="R103" s="152"/>
      <c r="S103" s="152">
        <f>S101-S102</f>
        <v>659.13387123272571</v>
      </c>
      <c r="T103" s="152">
        <v>-95.097338222500412</v>
      </c>
      <c r="U103" s="152">
        <v>12.448251146547705</v>
      </c>
      <c r="V103" s="406">
        <v>34.090649537406819</v>
      </c>
      <c r="W103" s="520">
        <f t="shared" si="11"/>
        <v>-0.63484851959512978</v>
      </c>
      <c r="X103" s="176" t="e">
        <f>X104-X105</f>
        <v>#REF!</v>
      </c>
      <c r="Y103" s="98" t="e">
        <f>Y104-Y105</f>
        <v>#REF!</v>
      </c>
      <c r="Z103" s="98" t="e">
        <f>Z104-Z105</f>
        <v>#REF!</v>
      </c>
      <c r="AA103" s="98" t="e">
        <f>AA104-AA105</f>
        <v>#REF!</v>
      </c>
      <c r="AB103" s="98" t="e">
        <f>AB104-AB105</f>
        <v>#REF!</v>
      </c>
      <c r="AC103" s="212" t="e">
        <f>SUM(R104:AB104)</f>
        <v>#REF!</v>
      </c>
      <c r="AD103" s="1448" t="s">
        <v>141</v>
      </c>
      <c r="AE103" s="529">
        <f t="shared" si="12"/>
        <v>-21.642398390859114</v>
      </c>
    </row>
    <row r="104" spans="1:31" ht="18" customHeight="1" x14ac:dyDescent="0.35">
      <c r="A104" s="97" t="s">
        <v>100</v>
      </c>
      <c r="B104" s="194">
        <v>-68</v>
      </c>
      <c r="C104" s="194">
        <v>-248</v>
      </c>
      <c r="D104" s="194">
        <v>645</v>
      </c>
      <c r="E104" s="194">
        <v>-46</v>
      </c>
      <c r="F104" s="194">
        <v>-749</v>
      </c>
      <c r="G104" s="194">
        <v>1210</v>
      </c>
      <c r="H104" s="194">
        <v>1292</v>
      </c>
      <c r="I104" s="194">
        <v>69</v>
      </c>
      <c r="J104" s="194">
        <v>93</v>
      </c>
      <c r="K104" s="194">
        <v>-109</v>
      </c>
      <c r="L104" s="194">
        <v>601</v>
      </c>
      <c r="M104" s="194">
        <v>3290</v>
      </c>
      <c r="N104" s="176">
        <f t="shared" ref="N104:S104" si="14">N105-N106</f>
        <v>906</v>
      </c>
      <c r="O104" s="98">
        <f t="shared" si="14"/>
        <v>731</v>
      </c>
      <c r="P104" s="98">
        <f t="shared" si="14"/>
        <v>-1778</v>
      </c>
      <c r="Q104" s="98">
        <f t="shared" si="14"/>
        <v>716</v>
      </c>
      <c r="R104" s="98">
        <f t="shared" si="14"/>
        <v>-353</v>
      </c>
      <c r="S104" s="98">
        <f t="shared" si="14"/>
        <v>3054</v>
      </c>
      <c r="T104" s="98">
        <v>-88</v>
      </c>
      <c r="U104" s="98">
        <v>81</v>
      </c>
      <c r="V104" s="417">
        <v>353</v>
      </c>
      <c r="W104" s="534">
        <f t="shared" si="11"/>
        <v>-0.77053824362606238</v>
      </c>
      <c r="X104" s="100" t="e">
        <f>X99</f>
        <v>#REF!</v>
      </c>
      <c r="Y104" s="100" t="e">
        <f>Y99</f>
        <v>#REF!</v>
      </c>
      <c r="Z104" s="100" t="e">
        <f>Z99</f>
        <v>#REF!</v>
      </c>
      <c r="AA104" s="100" t="e">
        <f>AA99</f>
        <v>#REF!</v>
      </c>
      <c r="AB104" s="100" t="e">
        <f>AB99</f>
        <v>#REF!</v>
      </c>
      <c r="AC104" s="212">
        <f>SUM(R105:AB105)</f>
        <v>2726.8243015824737</v>
      </c>
      <c r="AD104" s="1448"/>
      <c r="AE104" s="544">
        <f t="shared" si="12"/>
        <v>-272</v>
      </c>
    </row>
    <row r="105" spans="1:31" ht="18" customHeight="1" x14ac:dyDescent="0.35">
      <c r="A105" s="99" t="s">
        <v>101</v>
      </c>
      <c r="B105" s="158">
        <v>-68</v>
      </c>
      <c r="C105" s="158">
        <v>-607</v>
      </c>
      <c r="D105" s="158">
        <v>485</v>
      </c>
      <c r="E105" s="158">
        <v>-46</v>
      </c>
      <c r="F105" s="158">
        <v>-1105</v>
      </c>
      <c r="G105" s="158">
        <v>1052</v>
      </c>
      <c r="H105" s="158">
        <v>1292</v>
      </c>
      <c r="I105" s="158">
        <v>69</v>
      </c>
      <c r="J105" s="158">
        <v>-468</v>
      </c>
      <c r="K105" s="158">
        <v>-109</v>
      </c>
      <c r="L105" s="158">
        <v>601</v>
      </c>
      <c r="M105" s="158">
        <v>3290</v>
      </c>
      <c r="N105" s="100">
        <f>N100+N106</f>
        <v>906</v>
      </c>
      <c r="O105" s="100">
        <f>O100+O106-2</f>
        <v>595</v>
      </c>
      <c r="P105" s="100">
        <f>P100+P106</f>
        <v>-2187</v>
      </c>
      <c r="Q105" s="100">
        <f>Q100</f>
        <v>716</v>
      </c>
      <c r="R105" s="100">
        <f>R100</f>
        <v>-353</v>
      </c>
      <c r="S105" s="100">
        <f>S100</f>
        <v>3054</v>
      </c>
      <c r="T105" s="100">
        <v>-88</v>
      </c>
      <c r="U105" s="100">
        <v>262.92899475340772</v>
      </c>
      <c r="V105" s="418">
        <v>214</v>
      </c>
      <c r="W105" s="535">
        <f t="shared" si="11"/>
        <v>0.22864016239910145</v>
      </c>
      <c r="X105" s="102">
        <v>-181.66666666666666</v>
      </c>
      <c r="Y105" s="102">
        <v>-181.66666666666666</v>
      </c>
      <c r="Z105" s="102">
        <v>0</v>
      </c>
      <c r="AA105" s="102">
        <v>0</v>
      </c>
      <c r="AB105" s="102">
        <v>0</v>
      </c>
      <c r="AC105" s="212" t="e">
        <f>SUM(N106:AB106)</f>
        <v>#REF!</v>
      </c>
      <c r="AD105" s="214"/>
      <c r="AE105" s="451">
        <f t="shared" si="12"/>
        <v>48.928994753407721</v>
      </c>
    </row>
    <row r="106" spans="1:31" ht="18" customHeight="1" x14ac:dyDescent="0.35">
      <c r="A106" s="101" t="s">
        <v>102</v>
      </c>
      <c r="B106" s="158">
        <v>0</v>
      </c>
      <c r="C106" s="158">
        <v>-359</v>
      </c>
      <c r="D106" s="158">
        <v>-160</v>
      </c>
      <c r="E106" s="158">
        <v>0</v>
      </c>
      <c r="F106" s="158">
        <v>-356</v>
      </c>
      <c r="G106" s="158">
        <v>-158</v>
      </c>
      <c r="H106" s="158">
        <v>0</v>
      </c>
      <c r="I106" s="158">
        <v>0</v>
      </c>
      <c r="J106" s="158">
        <v>-561</v>
      </c>
      <c r="K106" s="158">
        <v>0</v>
      </c>
      <c r="L106" s="158">
        <v>0</v>
      </c>
      <c r="M106" s="158">
        <v>0</v>
      </c>
      <c r="N106" s="102">
        <v>0</v>
      </c>
      <c r="O106" s="102">
        <v>-136</v>
      </c>
      <c r="P106" s="102">
        <v>-409</v>
      </c>
      <c r="Q106" s="102">
        <v>0</v>
      </c>
      <c r="R106" s="102">
        <v>0</v>
      </c>
      <c r="S106" s="102">
        <v>0</v>
      </c>
      <c r="T106" s="102">
        <v>0</v>
      </c>
      <c r="U106" s="102">
        <v>-181.666666666667</v>
      </c>
      <c r="V106" s="419">
        <v>-139</v>
      </c>
      <c r="W106" s="536">
        <f t="shared" si="11"/>
        <v>0.30695443645084164</v>
      </c>
      <c r="X106" s="376" t="e">
        <f>T107+X99</f>
        <v>#REF!</v>
      </c>
      <c r="Y106" s="211" t="e">
        <f>X106+Y99</f>
        <v>#REF!</v>
      </c>
      <c r="Z106" s="211" t="e">
        <f>Y106+Z99</f>
        <v>#REF!</v>
      </c>
      <c r="AA106" s="211" t="e">
        <f>Z106+AA99</f>
        <v>#REF!</v>
      </c>
      <c r="AB106" s="211" t="e">
        <f>AA106+AB99</f>
        <v>#REF!</v>
      </c>
      <c r="AC106" s="212">
        <f>SUM(N107:AB107)</f>
        <v>215773.9289947534</v>
      </c>
      <c r="AD106" s="215"/>
      <c r="AE106" s="545">
        <f t="shared" si="12"/>
        <v>-42.666666666666998</v>
      </c>
    </row>
    <row r="107" spans="1:31" ht="72" customHeight="1" x14ac:dyDescent="0.35"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210" t="s">
        <v>172</v>
      </c>
      <c r="N107" s="211">
        <f>26293-150</f>
        <v>26143</v>
      </c>
      <c r="O107" s="211">
        <f>N107+O100</f>
        <v>26876</v>
      </c>
      <c r="P107" s="211">
        <f>O107+P100</f>
        <v>25098</v>
      </c>
      <c r="Q107" s="211">
        <f>P107+Q100</f>
        <v>25814</v>
      </c>
      <c r="R107" s="211">
        <f>Q107+R100</f>
        <v>25461</v>
      </c>
      <c r="S107" s="211">
        <f>R107+S100</f>
        <v>28515</v>
      </c>
      <c r="T107" s="211">
        <v>28802</v>
      </c>
      <c r="U107" s="361">
        <v>29064.928994753409</v>
      </c>
      <c r="V107" s="420"/>
      <c r="W107" s="452"/>
      <c r="X107" s="377"/>
      <c r="Y107" s="217"/>
      <c r="Z107" s="217"/>
      <c r="AA107" s="217"/>
      <c r="AB107" s="217"/>
      <c r="AC107" s="212"/>
      <c r="AD107" s="121"/>
    </row>
    <row r="108" spans="1:31" ht="7.5" customHeight="1" x14ac:dyDescent="0.35"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120" t="s">
        <v>143</v>
      </c>
      <c r="N108" s="216"/>
      <c r="O108" s="213"/>
      <c r="P108" s="213"/>
      <c r="Q108" s="213"/>
      <c r="R108" s="217"/>
      <c r="S108" s="217"/>
      <c r="T108" s="217"/>
      <c r="U108" s="362"/>
      <c r="V108" s="421"/>
      <c r="W108" s="453"/>
      <c r="X108" s="378"/>
      <c r="Y108" s="144"/>
      <c r="Z108" s="144"/>
      <c r="AA108" s="144"/>
      <c r="AB108" s="144"/>
      <c r="AC108" s="145" t="s">
        <v>124</v>
      </c>
      <c r="AD108" s="146" t="s">
        <v>123</v>
      </c>
    </row>
    <row r="109" spans="1:31" ht="48.75" customHeight="1" x14ac:dyDescent="0.35"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142" t="s">
        <v>144</v>
      </c>
      <c r="N109" s="143"/>
      <c r="O109" s="144"/>
      <c r="P109" s="144"/>
      <c r="Q109" s="144"/>
      <c r="R109" s="144"/>
      <c r="S109" s="144"/>
      <c r="T109" s="144"/>
      <c r="U109" s="363"/>
      <c r="V109" s="422"/>
      <c r="W109" s="454"/>
      <c r="X109" s="104"/>
      <c r="Y109" s="104"/>
      <c r="Z109" s="104"/>
      <c r="AA109" s="104"/>
      <c r="AB109" s="104"/>
    </row>
    <row r="110" spans="1:31" ht="20.25" x14ac:dyDescent="0.35"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119"/>
      <c r="N110" s="96"/>
      <c r="O110" s="104"/>
      <c r="P110" s="104"/>
      <c r="Q110" s="104"/>
      <c r="R110" s="104"/>
      <c r="S110" s="104"/>
      <c r="T110" s="104"/>
      <c r="U110" s="104"/>
      <c r="V110" s="423"/>
      <c r="W110" s="104"/>
      <c r="X110" s="440"/>
      <c r="Y110" s="440"/>
      <c r="Z110" s="440"/>
      <c r="AA110" s="440"/>
      <c r="AB110" s="440"/>
    </row>
    <row r="111" spans="1:31" ht="37.5" customHeight="1" x14ac:dyDescent="0.35"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120"/>
      <c r="N111" s="440" t="s">
        <v>164</v>
      </c>
      <c r="O111" s="440"/>
      <c r="P111" s="440"/>
      <c r="Q111" s="440"/>
      <c r="R111" s="440"/>
      <c r="S111" s="440"/>
      <c r="T111" s="440"/>
      <c r="U111" s="440"/>
      <c r="V111" s="440"/>
      <c r="W111" s="455"/>
      <c r="X111" s="379"/>
      <c r="Y111" s="263"/>
      <c r="Z111" s="263">
        <v>27.5</v>
      </c>
      <c r="AA111" s="263"/>
      <c r="AB111" s="263">
        <f>27.7/IF(AB96&gt;0,((AB96/AB115*0.3)+1),((AB96/AB115*0.5)+1))</f>
        <v>25.761382560445782</v>
      </c>
      <c r="AC111" s="123">
        <f>AVERAGE(N112:AB112)</f>
        <v>26.357499999999998</v>
      </c>
      <c r="AD111" s="126">
        <f>AC111/25.85-1</f>
        <v>1.9632495164410013E-2</v>
      </c>
    </row>
    <row r="112" spans="1:31" ht="40.5" customHeight="1" x14ac:dyDescent="0.35">
      <c r="M112" s="218" t="s">
        <v>177</v>
      </c>
      <c r="N112" s="262">
        <v>24.12</v>
      </c>
      <c r="O112" s="262">
        <v>24.6</v>
      </c>
      <c r="P112" s="262">
        <v>26.41</v>
      </c>
      <c r="Q112" s="263">
        <v>27.22</v>
      </c>
      <c r="R112" s="263">
        <v>26.81</v>
      </c>
      <c r="S112" s="263"/>
      <c r="T112" s="263">
        <v>26.7</v>
      </c>
      <c r="U112" s="364"/>
      <c r="V112" s="424"/>
      <c r="W112" s="456"/>
      <c r="X112" s="379"/>
      <c r="Y112" s="263"/>
      <c r="Z112" s="263">
        <v>27.5</v>
      </c>
      <c r="AA112" s="263"/>
      <c r="AB112" s="263">
        <f>Z112/IF(AB98&gt;0,((AB98/AB115*0.3)+1),((AB98/AB115*0.6)+1))</f>
        <v>27.5</v>
      </c>
      <c r="AC112" s="123">
        <f>AVERAGE(N113:AB113)</f>
        <v>25.995000000000001</v>
      </c>
      <c r="AD112" s="126"/>
    </row>
    <row r="113" spans="1:30" ht="62.25" customHeight="1" x14ac:dyDescent="0.35">
      <c r="M113" s="305" t="s">
        <v>176</v>
      </c>
      <c r="N113" s="262">
        <v>24.12</v>
      </c>
      <c r="O113" s="262">
        <v>24.6</v>
      </c>
      <c r="P113" s="262">
        <v>26.41</v>
      </c>
      <c r="Q113" s="263">
        <v>27.22</v>
      </c>
      <c r="R113" s="263">
        <v>26.81</v>
      </c>
      <c r="S113" s="263"/>
      <c r="T113" s="263">
        <f>R113/IF(T99&gt;0,((T99/T116*0.3)+1),((T99/T116*0.5)+1))</f>
        <v>26.81</v>
      </c>
      <c r="U113" s="364"/>
      <c r="V113" s="424"/>
      <c r="W113" s="456"/>
      <c r="X113" s="380"/>
      <c r="Y113" s="207"/>
      <c r="Z113" s="207" t="s">
        <v>74</v>
      </c>
      <c r="AA113" s="207"/>
      <c r="AB113" s="207" t="s">
        <v>75</v>
      </c>
    </row>
    <row r="114" spans="1:30" ht="36.75" customHeight="1" x14ac:dyDescent="0.35">
      <c r="A114" s="61" t="s">
        <v>14</v>
      </c>
      <c r="M114" s="107"/>
      <c r="N114" s="207" t="s">
        <v>68</v>
      </c>
      <c r="O114" s="207" t="s">
        <v>69</v>
      </c>
      <c r="P114" s="207" t="s">
        <v>70</v>
      </c>
      <c r="Q114" s="207" t="s">
        <v>71</v>
      </c>
      <c r="R114" s="207" t="s">
        <v>72</v>
      </c>
      <c r="S114" s="207"/>
      <c r="T114" s="207" t="s">
        <v>73</v>
      </c>
      <c r="U114" s="365"/>
      <c r="V114" s="425"/>
      <c r="W114" s="457"/>
      <c r="X114" s="381"/>
      <c r="Y114" s="243"/>
      <c r="Z114" s="244"/>
      <c r="AA114" s="244"/>
      <c r="AB114" s="244"/>
    </row>
    <row r="115" spans="1:30" ht="36.75" customHeight="1" x14ac:dyDescent="0.35">
      <c r="A115" s="61" t="s">
        <v>17</v>
      </c>
      <c r="M115" s="239" t="s">
        <v>119</v>
      </c>
      <c r="N115" s="240"/>
      <c r="O115" s="240"/>
      <c r="P115" s="241"/>
      <c r="Q115" s="241"/>
      <c r="R115" s="242"/>
      <c r="S115" s="242"/>
      <c r="T115" s="243"/>
      <c r="U115" s="366"/>
      <c r="V115" s="426"/>
      <c r="W115" s="458"/>
      <c r="X115" s="382"/>
      <c r="Y115" s="241"/>
      <c r="Z115" s="241">
        <f>AVERAGE($Q$117:$T$117)*(Z41+Z42)*2</f>
        <v>8470.3878607396873</v>
      </c>
      <c r="AA115" s="241"/>
      <c r="AB115" s="241">
        <f>AVERAGE($Q$117:$T$117)*(AB41+AB42)*2</f>
        <v>7881.2732435241342</v>
      </c>
    </row>
    <row r="116" spans="1:30" x14ac:dyDescent="0.35">
      <c r="A116" s="61" t="s">
        <v>13</v>
      </c>
      <c r="M116" s="313" t="s">
        <v>120</v>
      </c>
      <c r="N116" s="240"/>
      <c r="O116" s="245">
        <v>8400</v>
      </c>
      <c r="P116" s="245">
        <v>12015</v>
      </c>
      <c r="Q116" s="245">
        <v>7361</v>
      </c>
      <c r="R116" s="241">
        <v>6500</v>
      </c>
      <c r="S116" s="241"/>
      <c r="T116" s="241">
        <v>7400</v>
      </c>
      <c r="U116" s="367"/>
      <c r="V116" s="427"/>
      <c r="W116" s="459"/>
      <c r="X116" s="383"/>
      <c r="Y116" s="247"/>
      <c r="Z116" s="246"/>
      <c r="AA116" s="246"/>
      <c r="AB116" s="246"/>
    </row>
    <row r="117" spans="1:30" ht="36" x14ac:dyDescent="0.35">
      <c r="M117" s="313" t="s">
        <v>121</v>
      </c>
      <c r="N117" s="246"/>
      <c r="O117" s="247">
        <f>O116/(O41+O42)/2</f>
        <v>0.5234949520129627</v>
      </c>
      <c r="P117" s="247">
        <f>P116/(P41+P42)/2</f>
        <v>0.70271376769212779</v>
      </c>
      <c r="Q117" s="247">
        <f>Q116/(Q41+Q42)/2</f>
        <v>0.52941599539700801</v>
      </c>
      <c r="R117" s="247">
        <f>R116/(R41+R42)/2</f>
        <v>0.50239604266501781</v>
      </c>
      <c r="S117" s="247"/>
      <c r="T117" s="247">
        <f>T116/(T41+T42)/2</f>
        <v>0.48195909860622638</v>
      </c>
      <c r="U117" s="368"/>
      <c r="V117" s="428"/>
      <c r="W117" s="460"/>
      <c r="X117" s="384"/>
      <c r="Y117" s="248"/>
      <c r="Z117" s="248" t="e">
        <f>Z106</f>
        <v>#REF!</v>
      </c>
      <c r="AA117" s="248"/>
      <c r="AB117" s="248" t="e">
        <f>AB106</f>
        <v>#REF!</v>
      </c>
    </row>
    <row r="118" spans="1:30" ht="36" x14ac:dyDescent="0.35">
      <c r="M118" s="313" t="s">
        <v>122</v>
      </c>
      <c r="N118" s="246"/>
      <c r="O118" s="246"/>
      <c r="P118" s="246"/>
      <c r="Q118" s="246"/>
      <c r="R118" s="248">
        <f>R107</f>
        <v>25461</v>
      </c>
      <c r="S118" s="248"/>
      <c r="T118" s="248">
        <f>T107</f>
        <v>28802</v>
      </c>
      <c r="U118" s="369"/>
      <c r="V118" s="429"/>
      <c r="W118" s="461"/>
      <c r="X118" s="385"/>
      <c r="Y118" s="251"/>
      <c r="Z118" s="251">
        <v>531.01115622100031</v>
      </c>
      <c r="AA118" s="251"/>
      <c r="AB118" s="251">
        <v>526.44686994486233</v>
      </c>
    </row>
    <row r="119" spans="1:30" ht="36" x14ac:dyDescent="0.4">
      <c r="M119" s="313" t="s">
        <v>174</v>
      </c>
      <c r="N119" s="249">
        <v>0.156</v>
      </c>
      <c r="O119" s="246"/>
      <c r="P119" s="250">
        <v>481.8</v>
      </c>
      <c r="Q119" s="251">
        <v>494.18564514231502</v>
      </c>
      <c r="R119" s="251">
        <v>503.70049959288718</v>
      </c>
      <c r="S119" s="251"/>
      <c r="T119" s="251">
        <v>520.93308887071828</v>
      </c>
      <c r="U119" s="370"/>
      <c r="V119" s="430"/>
      <c r="W119" s="462"/>
      <c r="X119" s="254"/>
      <c r="Y119" s="254"/>
      <c r="Z119" s="254" t="s">
        <v>74</v>
      </c>
      <c r="AA119" s="254"/>
      <c r="AB119" s="254" t="s">
        <v>75</v>
      </c>
      <c r="AC119" s="124" t="s">
        <v>124</v>
      </c>
      <c r="AD119" s="125" t="s">
        <v>123</v>
      </c>
    </row>
    <row r="120" spans="1:30" ht="21.75" x14ac:dyDescent="0.35">
      <c r="M120" s="252"/>
      <c r="N120" s="253" t="s">
        <v>68</v>
      </c>
      <c r="O120" s="254" t="s">
        <v>69</v>
      </c>
      <c r="P120" s="254" t="s">
        <v>70</v>
      </c>
      <c r="Q120" s="254" t="s">
        <v>71</v>
      </c>
      <c r="R120" s="254" t="s">
        <v>72</v>
      </c>
      <c r="S120" s="254"/>
      <c r="T120" s="254" t="s">
        <v>73</v>
      </c>
      <c r="U120" s="254"/>
      <c r="V120" s="431"/>
      <c r="W120" s="254"/>
      <c r="X120" s="386"/>
      <c r="Y120" s="257"/>
      <c r="Z120" s="257" t="e">
        <f>T121*(((-Z117/Z115)*0.3)+1)</f>
        <v>#REF!</v>
      </c>
      <c r="AA120" s="257"/>
      <c r="AB120" s="257" t="e">
        <f>Z120*(((-AB117/AB115)*0.3)+1)</f>
        <v>#REF!</v>
      </c>
      <c r="AC120" s="123" t="e">
        <f>AVERAGE(N121:AB121)</f>
        <v>#REF!</v>
      </c>
      <c r="AD120" s="126" t="e">
        <f>AC120/25.85-1</f>
        <v>#REF!</v>
      </c>
    </row>
    <row r="121" spans="1:30" ht="54.75" customHeight="1" x14ac:dyDescent="0.35">
      <c r="M121" s="255" t="s">
        <v>153</v>
      </c>
      <c r="N121" s="256">
        <v>24.119351612903198</v>
      </c>
      <c r="O121" s="256">
        <v>24.596524137931045</v>
      </c>
      <c r="P121" s="256">
        <v>26.412293548387101</v>
      </c>
      <c r="Q121" s="257">
        <v>27.224653333333325</v>
      </c>
      <c r="R121" s="257">
        <f>26.9*(-((R118/R116)*0.3)+1)*(((R119/Q119-1)*0.5)+1)</f>
        <v>-4.756160810509801</v>
      </c>
      <c r="S121" s="257"/>
      <c r="T121" s="257">
        <f>26.3*(-((T118/T116)*0.3)+1)*(((T119/477-1)*0.5)+1)</f>
        <v>-4.612207671595308</v>
      </c>
      <c r="U121" s="371"/>
      <c r="V121" s="432"/>
      <c r="W121" s="463"/>
      <c r="X121" s="387"/>
      <c r="Y121" s="259"/>
      <c r="Z121" s="259" t="e">
        <f>Z120/T121*T122</f>
        <v>#REF!</v>
      </c>
      <c r="AA121" s="259"/>
      <c r="AB121" s="259" t="e">
        <f>AB120/Z120*Z121</f>
        <v>#REF!</v>
      </c>
      <c r="AC121" s="220" t="e">
        <f>AVERAGE(N122:AB122)</f>
        <v>#REF!</v>
      </c>
      <c r="AD121" s="126" t="e">
        <f>AC121/25.85-1</f>
        <v>#REF!</v>
      </c>
    </row>
    <row r="122" spans="1:30" ht="51" customHeight="1" x14ac:dyDescent="0.35">
      <c r="M122" s="258" t="s">
        <v>154</v>
      </c>
      <c r="N122" s="259">
        <v>24.119351612903198</v>
      </c>
      <c r="O122" s="259">
        <v>24.596524137931045</v>
      </c>
      <c r="P122" s="259">
        <v>26.412293548387101</v>
      </c>
      <c r="Q122" s="259">
        <v>27.2</v>
      </c>
      <c r="R122" s="259">
        <v>26.5</v>
      </c>
      <c r="S122" s="259"/>
      <c r="T122" s="259">
        <v>27</v>
      </c>
      <c r="U122" s="372"/>
      <c r="V122" s="433"/>
      <c r="W122" s="464"/>
      <c r="X122" s="387"/>
      <c r="Y122" s="259"/>
      <c r="Z122" s="259" t="e">
        <f>Z121*0.6+#REF!*0.4</f>
        <v>#REF!</v>
      </c>
      <c r="AA122" s="259"/>
      <c r="AB122" s="259" t="e">
        <f>AB121*0.6+#REF!*0.4</f>
        <v>#REF!</v>
      </c>
      <c r="AC122" s="220" t="e">
        <f>AVERAGE(N123:AB123)</f>
        <v>#REF!</v>
      </c>
      <c r="AD122" s="219"/>
    </row>
    <row r="123" spans="1:30" ht="73.5" customHeight="1" x14ac:dyDescent="0.4">
      <c r="M123" s="260" t="s">
        <v>146</v>
      </c>
      <c r="N123" s="261"/>
      <c r="O123" s="261"/>
      <c r="P123" s="261"/>
      <c r="Q123" s="259" t="e">
        <f>Q122*0.6+#REF!*0.4</f>
        <v>#REF!</v>
      </c>
      <c r="R123" s="259" t="e">
        <f>R122*0.6+#REF!*0.4</f>
        <v>#REF!</v>
      </c>
      <c r="S123" s="259"/>
      <c r="T123" s="259" t="e">
        <f>T122*0.6+#REF!*0.4</f>
        <v>#REF!</v>
      </c>
      <c r="U123" s="372"/>
      <c r="V123" s="433"/>
      <c r="W123" s="465"/>
      <c r="X123" s="106"/>
      <c r="Y123" s="106"/>
      <c r="Z123" s="106"/>
      <c r="AA123" s="106"/>
      <c r="AB123" s="106"/>
      <c r="AC123" s="220"/>
    </row>
    <row r="124" spans="1:30" ht="21.75" x14ac:dyDescent="0.4">
      <c r="R124" s="106"/>
      <c r="S124" s="106"/>
      <c r="T124" s="106"/>
      <c r="U124" s="106"/>
      <c r="V124" s="434"/>
      <c r="W124" s="106"/>
      <c r="X124" s="388"/>
      <c r="Y124" s="132"/>
      <c r="Z124" s="132">
        <f>Z118*($N$125+1)/($N$119+1)</f>
        <v>516.77123767182127</v>
      </c>
      <c r="AA124" s="132"/>
      <c r="AB124" s="132">
        <f>AB118*($N$125+1)/($N$119+1)</f>
        <v>512.32935007609876</v>
      </c>
      <c r="AC124" s="122"/>
      <c r="AD124" s="122"/>
    </row>
    <row r="125" spans="1:30" ht="21.75" x14ac:dyDescent="0.4">
      <c r="M125" s="130" t="s">
        <v>145</v>
      </c>
      <c r="N125" s="138">
        <v>0.125</v>
      </c>
      <c r="O125" s="131"/>
      <c r="P125" s="131"/>
      <c r="Q125" s="132">
        <v>480</v>
      </c>
      <c r="R125" s="132">
        <f>R119*($N$125+1)/($N$119+1)</f>
        <v>490.19296024394299</v>
      </c>
      <c r="S125" s="132"/>
      <c r="T125" s="132">
        <f>T119*($N$125+1)/($N$119+1)</f>
        <v>506.96342991311252</v>
      </c>
      <c r="U125" s="373"/>
      <c r="V125" s="435"/>
      <c r="W125" s="466"/>
      <c r="X125" s="388"/>
      <c r="Y125" s="132"/>
      <c r="Z125" s="132" t="e">
        <f>Z121*(-((Z117/Z115)*0.3)+1)*((((Z124/477)-1)*0.5)+1)</f>
        <v>#REF!</v>
      </c>
      <c r="AA125" s="132"/>
      <c r="AB125" s="132" t="e">
        <f>AB121*(-((AB117/AB115)*0.3)+1)*((((AB124/477)-1)*0.5)+1)</f>
        <v>#REF!</v>
      </c>
      <c r="AC125" s="128" t="e">
        <f>AVERAGE(N126:AB126)</f>
        <v>#REF!</v>
      </c>
      <c r="AD125" s="129" t="e">
        <f>AC125/25.85-1</f>
        <v>#REF!</v>
      </c>
    </row>
    <row r="126" spans="1:30" ht="21.75" x14ac:dyDescent="0.4">
      <c r="M126" s="133" t="s">
        <v>125</v>
      </c>
      <c r="N126" s="133"/>
      <c r="O126" s="133"/>
      <c r="P126" s="133"/>
      <c r="Q126" s="133"/>
      <c r="R126" s="132" t="e">
        <f>R123</f>
        <v>#REF!</v>
      </c>
      <c r="S126" s="132"/>
      <c r="T126" s="132">
        <f>T122*(-((T118/T116)*0.3)+1)*((((T125/477)-1)*0.5)+1)</f>
        <v>-4.6686831889987515</v>
      </c>
      <c r="U126" s="373"/>
      <c r="V126" s="435"/>
      <c r="W126" s="467"/>
    </row>
    <row r="127" spans="1:30" ht="21.75" x14ac:dyDescent="0.4">
      <c r="X127" s="389"/>
      <c r="Y127" s="136"/>
      <c r="Z127" s="136">
        <f>Z118*(($N$128+1)/($N$119+1))</f>
        <v>528.25504295341727</v>
      </c>
      <c r="AA127" s="136"/>
      <c r="AB127" s="136">
        <f>AB118*(($N$128+1)/($N$119+1))</f>
        <v>523.7144467444565</v>
      </c>
      <c r="AC127" s="134"/>
      <c r="AD127" s="134"/>
    </row>
    <row r="128" spans="1:30" ht="21.75" x14ac:dyDescent="0.4">
      <c r="M128" s="130" t="s">
        <v>126</v>
      </c>
      <c r="N128" s="137">
        <v>0.15</v>
      </c>
      <c r="O128" s="134"/>
      <c r="P128" s="134"/>
      <c r="Q128" s="135">
        <v>480</v>
      </c>
      <c r="R128" s="136">
        <f>R119*(($N$128+1)/($N$119+1))</f>
        <v>501.08613713825281</v>
      </c>
      <c r="S128" s="136"/>
      <c r="T128" s="136">
        <f>T119*(($N$128+1)/($N$119+1))</f>
        <v>518.22928391118171</v>
      </c>
      <c r="U128" s="374"/>
      <c r="V128" s="436"/>
      <c r="W128" s="468"/>
      <c r="X128" s="389"/>
      <c r="Y128" s="136"/>
      <c r="Z128" s="136" t="e">
        <f>Z121*(-((Z117/Z115)*0.3)+1)*((((Z127/477)-1)*0.2)+1)</f>
        <v>#REF!</v>
      </c>
      <c r="AA128" s="136"/>
      <c r="AB128" s="136" t="e">
        <f>AB121*(-((AB117/AB115)*0.3)+1)*((((AB127/477)-1)*0.2)+1)</f>
        <v>#REF!</v>
      </c>
      <c r="AC128" s="139">
        <f>AVERAGE(N129:AB129)</f>
        <v>-4.6461957921547716</v>
      </c>
      <c r="AD128" s="127">
        <f>AC128/25.85-1</f>
        <v>-1.1797367811278441</v>
      </c>
    </row>
    <row r="129" spans="13:23" ht="21.75" x14ac:dyDescent="0.4">
      <c r="M129" s="134" t="s">
        <v>125</v>
      </c>
      <c r="N129" s="134"/>
      <c r="O129" s="134"/>
      <c r="P129" s="134"/>
      <c r="Q129" s="134"/>
      <c r="R129" s="136">
        <f>R122*(-((R118/R116)*0.3)+1)*((((R128/477)-1)*0.2)+1)</f>
        <v>-4.6876286323153398</v>
      </c>
      <c r="S129" s="136"/>
      <c r="T129" s="136">
        <f>T122*(-((T118/T116)*0.3)+1)*((((T128/477)-1)*0.2)+1)</f>
        <v>-4.6047629519942035</v>
      </c>
      <c r="U129" s="374"/>
      <c r="V129" s="436"/>
      <c r="W129" s="469"/>
    </row>
  </sheetData>
  <mergeCells count="3">
    <mergeCell ref="B35:M35"/>
    <mergeCell ref="AC55:AD55"/>
    <mergeCell ref="AD103:AD104"/>
  </mergeCells>
  <conditionalFormatting sqref="V47:W53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39:W45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58:W65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79:W99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47:AE53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39:AE45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58:AE65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67:AE7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V67:W77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9900"/>
  </sheetPr>
  <dimension ref="A1:AN162"/>
  <sheetViews>
    <sheetView topLeftCell="K22" zoomScale="55" zoomScaleNormal="55" workbookViewId="0">
      <selection activeCell="V47" sqref="V47"/>
    </sheetView>
  </sheetViews>
  <sheetFormatPr defaultColWidth="8.69921875" defaultRowHeight="18" x14ac:dyDescent="0.35"/>
  <cols>
    <col min="1" max="1" width="88.3984375" style="72" customWidth="1"/>
    <col min="2" max="2" width="19.59765625" style="2" customWidth="1"/>
    <col min="3" max="3" width="34.09765625" style="2" customWidth="1"/>
    <col min="4" max="4" width="28" style="2" customWidth="1"/>
    <col min="5" max="5" width="16.59765625" style="2" customWidth="1"/>
    <col min="6" max="6" width="26" style="2" customWidth="1"/>
    <col min="7" max="7" width="19.3984375" style="2" customWidth="1"/>
    <col min="8" max="8" width="24.59765625" style="2" customWidth="1"/>
    <col min="9" max="9" width="28.09765625" style="2" customWidth="1"/>
    <col min="10" max="10" width="17" style="2" customWidth="1"/>
    <col min="11" max="12" width="30.3984375" style="2" customWidth="1"/>
    <col min="13" max="13" width="41.69921875" style="2" customWidth="1"/>
    <col min="14" max="14" width="23.59765625" style="2" customWidth="1"/>
    <col min="15" max="26" width="20.3984375" style="2" customWidth="1"/>
    <col min="27" max="27" width="16.09765625" style="2" customWidth="1"/>
    <col min="28" max="39" width="20.3984375" style="2" customWidth="1"/>
    <col min="40" max="40" width="16.09765625" style="2" customWidth="1"/>
    <col min="41" max="16384" width="8.69921875" style="2"/>
  </cols>
  <sheetData>
    <row r="1" spans="1:31" x14ac:dyDescent="0.35">
      <c r="G1" s="3">
        <v>1000</v>
      </c>
      <c r="H1" s="2">
        <v>-1</v>
      </c>
      <c r="K1" s="2">
        <v>-1</v>
      </c>
      <c r="M1" s="2" t="s">
        <v>22</v>
      </c>
      <c r="N1" s="2">
        <v>-1000</v>
      </c>
    </row>
    <row r="2" spans="1:31" ht="18.75" thickBot="1" x14ac:dyDescent="0.4">
      <c r="G2" s="68"/>
      <c r="M2" s="2">
        <v>1</v>
      </c>
      <c r="N2" s="2">
        <v>1.0920000000000001</v>
      </c>
      <c r="Q2" s="68"/>
      <c r="T2" s="68"/>
      <c r="U2" s="68"/>
      <c r="V2" s="68"/>
    </row>
    <row r="3" spans="1:31" ht="83.25" customHeight="1" x14ac:dyDescent="0.35">
      <c r="A3" s="73"/>
      <c r="B3" s="10"/>
      <c r="C3" s="1283" t="str">
        <f>INDEX($AC4:$AE4,1,MATCH(Чарти!$B$1,$AC$3:$AE$3,0))</f>
        <v>Динамика резервов, $ млрд</v>
      </c>
      <c r="D3" s="227" t="s">
        <v>218</v>
      </c>
      <c r="E3" s="227" t="s">
        <v>217</v>
      </c>
      <c r="F3" s="1283" t="str">
        <f>INDEX($AC5:$AE5,1,MATCH(Чарти!$B$1,$AC$3:$AE$3,0))</f>
        <v>Общий приток валюты, $ млрд</v>
      </c>
      <c r="G3" s="264" t="s">
        <v>42</v>
      </c>
      <c r="H3" s="1283" t="str">
        <f>INDEX($AC6:$AE6,1,MATCH(Чарти!$B$1,$AC$3:$AE$3,0))</f>
        <v>Счет текущих операций, $ млрд</v>
      </c>
      <c r="I3" s="11" t="s">
        <v>37</v>
      </c>
      <c r="J3" s="12" t="s">
        <v>38</v>
      </c>
      <c r="K3" s="11" t="s">
        <v>39</v>
      </c>
      <c r="L3" s="11" t="s">
        <v>40</v>
      </c>
      <c r="M3" s="1283" t="str">
        <f>INDEX($AC7:$AE7,1,MATCH(Чарти!$B$1,$AC$3:$AE$3,0))</f>
        <v>Сальдо инвестиций частного сектора, $ млрд</v>
      </c>
      <c r="N3" s="1285" t="str">
        <f>INDEX($AC8:$AE8,1,MATCH(Чарти!$B$1,$AC$3:$AE$3,0))</f>
        <v>Чистые государственные привлечения, $ млрд</v>
      </c>
      <c r="O3" s="4"/>
      <c r="P3" s="4"/>
      <c r="Q3" s="11" t="s">
        <v>152</v>
      </c>
      <c r="R3" s="11" t="s">
        <v>37</v>
      </c>
      <c r="S3" s="12" t="s">
        <v>38</v>
      </c>
      <c r="T3" s="11" t="s">
        <v>39</v>
      </c>
      <c r="U3" s="11" t="s">
        <v>40</v>
      </c>
      <c r="V3" s="226" t="s">
        <v>147</v>
      </c>
      <c r="W3" s="264" t="s">
        <v>42</v>
      </c>
      <c r="X3" s="4"/>
      <c r="Y3" s="1284" t="str">
        <f>INDEX($AC9:$AE9,1,MATCH(Чарти!$B$1,$AC$3:$AE$3,0))</f>
        <v>Курс</v>
      </c>
      <c r="AC3" s="2" t="s">
        <v>336</v>
      </c>
      <c r="AD3" s="2" t="s">
        <v>337</v>
      </c>
      <c r="AE3" s="2" t="s">
        <v>334</v>
      </c>
    </row>
    <row r="4" spans="1:31" x14ac:dyDescent="0.35">
      <c r="A4" s="70">
        <v>2021</v>
      </c>
      <c r="B4" s="8" t="s">
        <v>0</v>
      </c>
      <c r="C4" s="8">
        <f>D4</f>
        <v>-0.312</v>
      </c>
      <c r="D4" s="553">
        <f t="array" ref="D4:D15">TRANSPOSE('ПБ V-1 (fin min)'!Z79:AK79)/1000</f>
        <v>-0.312</v>
      </c>
      <c r="E4" s="5">
        <f>F4</f>
        <v>-0.219</v>
      </c>
      <c r="F4" s="5">
        <f t="shared" ref="F4:F15" si="0">D18</f>
        <v>-0.219</v>
      </c>
      <c r="G4" s="221">
        <f t="shared" ref="G4:G15" si="1">-W4/1000</f>
        <v>-0.52300000000000002</v>
      </c>
      <c r="H4" s="3">
        <f t="shared" ref="H4:H15" si="2">Q4/1000</f>
        <v>0.16</v>
      </c>
      <c r="I4">
        <v>0</v>
      </c>
      <c r="J4" s="222">
        <v>0.50298984900225296</v>
      </c>
      <c r="K4" s="221">
        <f t="shared" ref="K4:K15" si="3">-T4/1000</f>
        <v>0.63400000000000001</v>
      </c>
      <c r="L4" s="221">
        <f t="shared" ref="L4:L15" si="4">-U4/1000</f>
        <v>-1.25</v>
      </c>
      <c r="M4" s="3">
        <f t="array" ref="M4:M15">TRANSPOSE('ПБ V-1 (fin min)'!Z23:AK23)/1000</f>
        <v>0.71399999999999997</v>
      </c>
      <c r="N4" s="3">
        <f t="shared" ref="N4:N15" si="5">V4/1000</f>
        <v>0.33300000000000002</v>
      </c>
      <c r="O4" s="6"/>
      <c r="P4" s="316" t="s">
        <v>178</v>
      </c>
      <c r="Q4" s="265">
        <f t="array" ref="Q4:Q15">TRANSPOSE('ПБ V-1 (fin min)'!Z4:AK4)</f>
        <v>160</v>
      </c>
      <c r="R4" s="266"/>
      <c r="S4" s="266"/>
      <c r="T4" s="266">
        <f t="array" ref="T4:T15">TRANSPOSE('ПБ V-1 (fin min)'!Z24:AK24)</f>
        <v>-634</v>
      </c>
      <c r="U4" s="266">
        <f t="array" ref="U4:U15">TRANSPOSE('ПБ V-1 (fin min)'!Z32:AK32)</f>
        <v>1250</v>
      </c>
      <c r="V4" s="267">
        <f t="array" ref="V4:V15">TRANSPOSE('ПБ V-1 (fin min)'!Z58:AK58)</f>
        <v>333</v>
      </c>
      <c r="W4" s="268">
        <f t="array" ref="W4:W15">TRANSPOSE('ПБ V-1 (fin min)'!Z36:AK36)</f>
        <v>523</v>
      </c>
      <c r="X4" s="315"/>
      <c r="Y4" s="551">
        <f t="array" ref="Y4:Y15">TRANSPOSE('ПБ V-1 (fin min)'!Z82:AK82)</f>
        <v>28.219770967741901</v>
      </c>
      <c r="Z4" s="267"/>
      <c r="AC4" s="1351" t="s">
        <v>575</v>
      </c>
      <c r="AD4" t="s">
        <v>574</v>
      </c>
      <c r="AE4" s="1349" t="s">
        <v>566</v>
      </c>
    </row>
    <row r="5" spans="1:31" x14ac:dyDescent="0.35">
      <c r="A5" s="70"/>
      <c r="B5" s="8" t="s">
        <v>1</v>
      </c>
      <c r="C5" s="8">
        <f>C4+D5</f>
        <v>-0.59000000000000008</v>
      </c>
      <c r="D5" s="553">
        <v>-0.27800000000000002</v>
      </c>
      <c r="E5" s="5">
        <f t="shared" ref="E5:E15" si="6">E4+F5</f>
        <v>-0.24299999999999999</v>
      </c>
      <c r="F5" s="5">
        <f t="shared" si="0"/>
        <v>-2.4E-2</v>
      </c>
      <c r="G5" s="221">
        <f t="shared" si="1"/>
        <v>-0.56999999999999995</v>
      </c>
      <c r="H5" s="3">
        <f t="shared" si="2"/>
        <v>9.4E-2</v>
      </c>
      <c r="I5">
        <v>0</v>
      </c>
      <c r="J5" s="222">
        <v>1.3232053791098599</v>
      </c>
      <c r="K5" s="221">
        <f t="shared" si="3"/>
        <v>0.153</v>
      </c>
      <c r="L5" s="221">
        <f t="shared" si="4"/>
        <v>-0.34200000000000003</v>
      </c>
      <c r="M5" s="3">
        <v>0.27900000000000003</v>
      </c>
      <c r="N5" s="3">
        <f t="shared" si="5"/>
        <v>0.159</v>
      </c>
      <c r="O5" s="6"/>
      <c r="P5" s="316" t="s">
        <v>179</v>
      </c>
      <c r="Q5" s="265">
        <v>94</v>
      </c>
      <c r="R5" s="267"/>
      <c r="S5" s="266"/>
      <c r="T5" s="266">
        <v>-153</v>
      </c>
      <c r="U5" s="266">
        <v>342</v>
      </c>
      <c r="V5" s="267">
        <v>159</v>
      </c>
      <c r="W5" s="268">
        <v>570</v>
      </c>
      <c r="X5" s="9"/>
      <c r="Y5" s="551">
        <v>27.884660714285701</v>
      </c>
      <c r="Z5" s="267"/>
      <c r="AC5" s="2" t="s">
        <v>285</v>
      </c>
      <c r="AD5" s="1346" t="s">
        <v>558</v>
      </c>
      <c r="AE5" s="1286" t="s">
        <v>393</v>
      </c>
    </row>
    <row r="6" spans="1:31" x14ac:dyDescent="0.35">
      <c r="A6" s="70"/>
      <c r="B6" s="8" t="s">
        <v>2</v>
      </c>
      <c r="C6" s="8">
        <f t="shared" ref="C6:C14" si="7">C5+D6</f>
        <v>-2.0979999999999999</v>
      </c>
      <c r="D6" s="553">
        <v>-1.508</v>
      </c>
      <c r="E6" s="5">
        <f t="shared" si="6"/>
        <v>-0.95799999999999996</v>
      </c>
      <c r="F6" s="5">
        <f t="shared" si="0"/>
        <v>-0.71499999999999997</v>
      </c>
      <c r="G6" s="221">
        <f t="shared" si="1"/>
        <v>-0.28999999999999998</v>
      </c>
      <c r="H6" s="3">
        <f t="shared" si="2"/>
        <v>-0.82099999999999995</v>
      </c>
      <c r="I6">
        <v>0</v>
      </c>
      <c r="J6" s="222">
        <v>-0.28591382971590401</v>
      </c>
      <c r="K6" s="221">
        <f t="shared" si="3"/>
        <v>0.73</v>
      </c>
      <c r="L6" s="221">
        <f t="shared" si="4"/>
        <v>-0.46800000000000003</v>
      </c>
      <c r="M6" s="3">
        <v>-0.36</v>
      </c>
      <c r="N6" s="3">
        <f t="shared" si="5"/>
        <v>-0.25600000000000001</v>
      </c>
      <c r="O6" s="6"/>
      <c r="P6" s="316" t="s">
        <v>180</v>
      </c>
      <c r="Q6" s="265">
        <v>-821</v>
      </c>
      <c r="R6" s="267"/>
      <c r="S6" s="266"/>
      <c r="T6" s="266">
        <v>-730</v>
      </c>
      <c r="U6" s="266">
        <v>468</v>
      </c>
      <c r="V6" s="267">
        <v>-256</v>
      </c>
      <c r="W6" s="268">
        <v>290</v>
      </c>
      <c r="X6" s="9"/>
      <c r="Y6" s="551">
        <v>27.795558064516101</v>
      </c>
      <c r="Z6" s="267"/>
      <c r="AC6" s="1286" t="s">
        <v>394</v>
      </c>
      <c r="AD6" s="1286" t="s">
        <v>396</v>
      </c>
      <c r="AE6" s="1286" t="s">
        <v>395</v>
      </c>
    </row>
    <row r="7" spans="1:31" x14ac:dyDescent="0.35">
      <c r="A7" s="70"/>
      <c r="B7" s="8" t="s">
        <v>3</v>
      </c>
      <c r="C7" s="8">
        <f>C6+D7</f>
        <v>-1.133</v>
      </c>
      <c r="D7" s="553">
        <v>0.96499999999999997</v>
      </c>
      <c r="E7" s="5">
        <f t="shared" si="6"/>
        <v>-0.251</v>
      </c>
      <c r="F7" s="5">
        <f t="shared" si="0"/>
        <v>0.70699999999999996</v>
      </c>
      <c r="G7" s="221">
        <f t="shared" si="1"/>
        <v>-0.16900000000000001</v>
      </c>
      <c r="H7" s="3">
        <f t="shared" si="2"/>
        <v>1.4E-2</v>
      </c>
      <c r="I7">
        <v>0</v>
      </c>
      <c r="J7" s="222">
        <v>0</v>
      </c>
      <c r="K7" s="221">
        <f t="shared" si="3"/>
        <v>0.626</v>
      </c>
      <c r="L7" s="221">
        <f t="shared" si="4"/>
        <v>-1.0089999999999999</v>
      </c>
      <c r="M7" s="3">
        <v>0.33100000000000002</v>
      </c>
      <c r="N7" s="3">
        <f t="shared" si="5"/>
        <v>1.0229999999999999</v>
      </c>
      <c r="O7" s="6"/>
      <c r="P7" s="316" t="s">
        <v>181</v>
      </c>
      <c r="Q7" s="265">
        <v>14</v>
      </c>
      <c r="R7" s="267"/>
      <c r="S7" s="266"/>
      <c r="T7" s="266">
        <v>-626</v>
      </c>
      <c r="U7" s="266">
        <v>1009</v>
      </c>
      <c r="V7" s="267">
        <v>1023</v>
      </c>
      <c r="W7" s="268">
        <v>169</v>
      </c>
      <c r="X7" s="9"/>
      <c r="Y7" s="551">
        <v>27.93</v>
      </c>
      <c r="Z7" s="267"/>
      <c r="AC7" s="2" t="s">
        <v>150</v>
      </c>
      <c r="AD7" s="1286" t="s">
        <v>397</v>
      </c>
      <c r="AE7" s="1345" t="s">
        <v>557</v>
      </c>
    </row>
    <row r="8" spans="1:31" x14ac:dyDescent="0.35">
      <c r="A8" s="70"/>
      <c r="B8" s="8" t="s">
        <v>4</v>
      </c>
      <c r="C8" s="8">
        <f t="shared" si="7"/>
        <v>-1.2929999999999999</v>
      </c>
      <c r="D8" s="553">
        <v>-0.16</v>
      </c>
      <c r="E8" s="5">
        <f t="shared" si="6"/>
        <v>-0.64900000000000002</v>
      </c>
      <c r="F8" s="5">
        <f t="shared" si="0"/>
        <v>-0.39800000000000002</v>
      </c>
      <c r="G8" s="221">
        <f t="shared" si="1"/>
        <v>-0.30599999999999999</v>
      </c>
      <c r="H8" s="3">
        <f t="shared" si="2"/>
        <v>0.315</v>
      </c>
      <c r="I8">
        <v>0</v>
      </c>
      <c r="J8" s="222">
        <v>0</v>
      </c>
      <c r="K8" s="221">
        <f t="shared" si="3"/>
        <v>0.24</v>
      </c>
      <c r="L8" s="221">
        <f t="shared" si="4"/>
        <v>-1.3120000000000001</v>
      </c>
      <c r="M8" s="3">
        <v>0.78200000000000003</v>
      </c>
      <c r="N8" s="3">
        <f t="shared" si="5"/>
        <v>6.4000000000000001E-2</v>
      </c>
      <c r="O8" s="6"/>
      <c r="P8" s="316" t="s">
        <v>182</v>
      </c>
      <c r="Q8" s="265">
        <v>315</v>
      </c>
      <c r="R8" s="267"/>
      <c r="S8" s="266"/>
      <c r="T8" s="266">
        <v>-240</v>
      </c>
      <c r="U8" s="266">
        <v>1312</v>
      </c>
      <c r="V8" s="267">
        <v>64</v>
      </c>
      <c r="W8" s="268">
        <v>306</v>
      </c>
      <c r="X8" s="9"/>
      <c r="Y8" s="551">
        <v>27.6</v>
      </c>
      <c r="Z8" s="267"/>
      <c r="AC8" s="2" t="s">
        <v>147</v>
      </c>
      <c r="AD8" s="1286" t="s">
        <v>398</v>
      </c>
      <c r="AE8" s="2" t="s">
        <v>392</v>
      </c>
    </row>
    <row r="9" spans="1:31" x14ac:dyDescent="0.35">
      <c r="A9" s="70"/>
      <c r="B9" s="8" t="s">
        <v>5</v>
      </c>
      <c r="C9" s="8">
        <f t="shared" si="7"/>
        <v>-0.77529999999999921</v>
      </c>
      <c r="D9" s="553">
        <v>0.51770000000000072</v>
      </c>
      <c r="E9" s="5">
        <f t="shared" si="6"/>
        <v>-4.1000000000000036E-2</v>
      </c>
      <c r="F9" s="5">
        <f t="shared" si="0"/>
        <v>0.60799999999999998</v>
      </c>
      <c r="G9" s="221">
        <f t="shared" si="1"/>
        <v>-0.19600000000000001</v>
      </c>
      <c r="H9" s="3">
        <f t="shared" si="2"/>
        <v>-0.18099999999999999</v>
      </c>
      <c r="I9">
        <v>0</v>
      </c>
      <c r="J9" s="222">
        <v>0</v>
      </c>
      <c r="K9" s="221">
        <f t="shared" si="3"/>
        <v>0.32700000000000001</v>
      </c>
      <c r="L9" s="221">
        <f t="shared" si="4"/>
        <v>-1.2509999999999999</v>
      </c>
      <c r="M9" s="3">
        <v>0</v>
      </c>
      <c r="N9" s="3">
        <f t="shared" si="5"/>
        <v>0.78800000000000003</v>
      </c>
      <c r="O9" s="6"/>
      <c r="P9" s="316" t="s">
        <v>183</v>
      </c>
      <c r="Q9" s="266">
        <v>-181</v>
      </c>
      <c r="R9" s="267"/>
      <c r="S9" s="266"/>
      <c r="T9" s="266">
        <v>-327</v>
      </c>
      <c r="U9" s="266">
        <v>1251</v>
      </c>
      <c r="V9" s="267">
        <v>788</v>
      </c>
      <c r="W9" s="268">
        <v>196</v>
      </c>
      <c r="X9" s="9"/>
      <c r="Y9" s="551">
        <v>27.239873333333321</v>
      </c>
      <c r="Z9" s="267"/>
      <c r="AC9" s="2" t="s">
        <v>117</v>
      </c>
      <c r="AD9" s="1286" t="s">
        <v>399</v>
      </c>
      <c r="AE9" s="2" t="s">
        <v>117</v>
      </c>
    </row>
    <row r="10" spans="1:31" x14ac:dyDescent="0.35">
      <c r="A10" s="70"/>
      <c r="B10" s="8" t="s">
        <v>6</v>
      </c>
      <c r="C10" s="8">
        <f t="shared" si="7"/>
        <v>-0.18199999999999994</v>
      </c>
      <c r="D10" s="553">
        <v>0.59329999999999927</v>
      </c>
      <c r="E10" s="5">
        <f t="shared" si="6"/>
        <v>0.24899999999999994</v>
      </c>
      <c r="F10" s="5">
        <f t="shared" si="0"/>
        <v>0.28999999999999998</v>
      </c>
      <c r="G10" s="221">
        <f t="shared" si="1"/>
        <v>-0.19400000000000001</v>
      </c>
      <c r="H10" s="3">
        <f t="shared" si="2"/>
        <v>-0.66200000000000003</v>
      </c>
      <c r="I10">
        <v>0</v>
      </c>
      <c r="J10" s="222">
        <v>0</v>
      </c>
      <c r="K10" s="221">
        <f t="shared" si="3"/>
        <v>0.81100000000000005</v>
      </c>
      <c r="L10" s="221">
        <f t="shared" si="4"/>
        <v>-0.72299999999999998</v>
      </c>
      <c r="M10" s="3">
        <v>-0.57399999999999995</v>
      </c>
      <c r="N10" s="3">
        <f t="shared" si="5"/>
        <v>0.376</v>
      </c>
      <c r="O10" s="6"/>
      <c r="P10" s="316" t="s">
        <v>184</v>
      </c>
      <c r="Q10" s="266">
        <v>-662</v>
      </c>
      <c r="R10" s="267"/>
      <c r="S10" s="266"/>
      <c r="T10" s="266">
        <v>-811</v>
      </c>
      <c r="U10" s="266">
        <v>723</v>
      </c>
      <c r="V10" s="267">
        <v>376</v>
      </c>
      <c r="W10" s="268">
        <v>194</v>
      </c>
      <c r="X10" s="9"/>
      <c r="Y10" s="551">
        <v>27.214548387096801</v>
      </c>
      <c r="Z10" s="267"/>
      <c r="AC10" s="1366" t="s">
        <v>629</v>
      </c>
      <c r="AD10" s="1286" t="s">
        <v>399</v>
      </c>
      <c r="AE10" s="1366" t="s">
        <v>630</v>
      </c>
    </row>
    <row r="11" spans="1:31" x14ac:dyDescent="0.35">
      <c r="A11" s="70"/>
      <c r="B11" s="8" t="s">
        <v>7</v>
      </c>
      <c r="C11" s="8">
        <f t="shared" si="7"/>
        <v>2.4809999999999999</v>
      </c>
      <c r="D11" s="553">
        <v>2.6629999999999998</v>
      </c>
      <c r="E11" s="5">
        <f t="shared" si="6"/>
        <v>0.11199999999999993</v>
      </c>
      <c r="F11" s="5">
        <f t="shared" si="0"/>
        <v>-0.13700000000000001</v>
      </c>
      <c r="G11" s="221">
        <f t="shared" si="1"/>
        <v>-0.64700000000000002</v>
      </c>
      <c r="H11" s="3">
        <f t="shared" si="2"/>
        <v>-6.2E-2</v>
      </c>
      <c r="I11">
        <v>0</v>
      </c>
      <c r="J11" s="222">
        <v>0</v>
      </c>
      <c r="K11" s="221">
        <f t="shared" si="3"/>
        <v>0.89200000000000002</v>
      </c>
      <c r="L11" s="221">
        <f t="shared" si="4"/>
        <v>-0.871</v>
      </c>
      <c r="M11" s="3">
        <v>-0.27700000000000002</v>
      </c>
      <c r="N11" s="3">
        <f t="shared" si="5"/>
        <v>-0.34899999999999998</v>
      </c>
      <c r="O11" s="6"/>
      <c r="P11" s="316" t="s">
        <v>185</v>
      </c>
      <c r="Q11" s="266">
        <v>-62</v>
      </c>
      <c r="R11" s="267"/>
      <c r="S11" s="266"/>
      <c r="T11" s="266">
        <v>-892</v>
      </c>
      <c r="U11" s="266">
        <v>871</v>
      </c>
      <c r="V11" s="267">
        <v>-349</v>
      </c>
      <c r="W11" s="268">
        <v>647</v>
      </c>
      <c r="X11" s="9"/>
      <c r="Y11" s="551">
        <v>26.76</v>
      </c>
      <c r="Z11" s="267"/>
      <c r="AC11" s="1366" t="s">
        <v>629</v>
      </c>
      <c r="AD11" s="1286" t="s">
        <v>399</v>
      </c>
      <c r="AE11" s="1366" t="s">
        <v>630</v>
      </c>
    </row>
    <row r="12" spans="1:31" x14ac:dyDescent="0.35">
      <c r="A12" s="70"/>
      <c r="B12" s="8" t="s">
        <v>8</v>
      </c>
      <c r="C12" s="8">
        <f t="shared" si="7"/>
        <v>-0.42700000000000005</v>
      </c>
      <c r="D12" s="553">
        <v>-2.9079999999999999</v>
      </c>
      <c r="E12" s="5">
        <f t="shared" si="6"/>
        <v>-2.4259999999999997</v>
      </c>
      <c r="F12" s="5">
        <f t="shared" si="0"/>
        <v>-2.5379999999999998</v>
      </c>
      <c r="G12" s="221">
        <f t="shared" si="1"/>
        <v>-0.499</v>
      </c>
      <c r="H12" s="3">
        <f t="shared" si="2"/>
        <v>-0.91</v>
      </c>
      <c r="I12">
        <v>0</v>
      </c>
      <c r="J12" s="222">
        <v>0</v>
      </c>
      <c r="K12" s="221">
        <f t="shared" si="3"/>
        <v>0.80500000000000005</v>
      </c>
      <c r="L12" s="221">
        <f t="shared" si="4"/>
        <v>-0.52200000000000002</v>
      </c>
      <c r="M12" s="3">
        <v>-0.318</v>
      </c>
      <c r="N12" s="3">
        <f t="shared" si="5"/>
        <v>-1.9450000000000001</v>
      </c>
      <c r="O12" s="6"/>
      <c r="P12" s="316" t="s">
        <v>186</v>
      </c>
      <c r="Q12" s="266">
        <v>-910</v>
      </c>
      <c r="R12" s="267"/>
      <c r="S12" s="266"/>
      <c r="T12" s="266">
        <v>-805</v>
      </c>
      <c r="U12" s="266">
        <v>522</v>
      </c>
      <c r="V12" s="267">
        <v>-1945</v>
      </c>
      <c r="W12" s="268">
        <v>499</v>
      </c>
      <c r="X12" s="9"/>
      <c r="Y12" s="551">
        <v>26.73</v>
      </c>
      <c r="Z12" s="267"/>
      <c r="AD12" s="1286"/>
    </row>
    <row r="13" spans="1:31" x14ac:dyDescent="0.35">
      <c r="A13" s="70"/>
      <c r="B13" s="8" t="s">
        <v>9</v>
      </c>
      <c r="C13" s="8">
        <f t="shared" si="7"/>
        <v>0.52099999999999991</v>
      </c>
      <c r="D13" s="553">
        <v>0.94799999999999995</v>
      </c>
      <c r="E13" s="5">
        <f t="shared" si="6"/>
        <v>-1.3659999999999997</v>
      </c>
      <c r="F13" s="5">
        <f t="shared" si="0"/>
        <v>1.06</v>
      </c>
      <c r="G13" s="221">
        <f t="shared" si="1"/>
        <v>-0.53600000000000003</v>
      </c>
      <c r="H13" s="3">
        <f t="shared" si="2"/>
        <v>-2.4E-2</v>
      </c>
      <c r="I13">
        <v>0</v>
      </c>
      <c r="J13" s="222">
        <v>0</v>
      </c>
      <c r="K13" s="221">
        <f t="shared" si="3"/>
        <v>0.57899999999999996</v>
      </c>
      <c r="L13" s="221">
        <f t="shared" si="4"/>
        <v>-5.3999999999999999E-2</v>
      </c>
      <c r="M13" s="3">
        <v>-0.60799999999999998</v>
      </c>
      <c r="N13" s="3">
        <f t="shared" si="5"/>
        <v>0.47399999999999998</v>
      </c>
      <c r="O13" s="6"/>
      <c r="P13" s="316" t="s">
        <v>187</v>
      </c>
      <c r="Q13" s="266">
        <v>-24</v>
      </c>
      <c r="R13" s="267"/>
      <c r="S13" s="266"/>
      <c r="T13" s="268">
        <v>-579</v>
      </c>
      <c r="U13" s="266">
        <v>54</v>
      </c>
      <c r="V13" s="267">
        <v>474</v>
      </c>
      <c r="W13" s="268">
        <v>536</v>
      </c>
      <c r="X13" s="9"/>
      <c r="Y13" s="551">
        <v>26.37</v>
      </c>
      <c r="Z13" s="267"/>
      <c r="AD13" s="1286"/>
    </row>
    <row r="14" spans="1:31" x14ac:dyDescent="0.35">
      <c r="A14" s="70"/>
      <c r="B14" s="8" t="s">
        <v>10</v>
      </c>
      <c r="C14" s="8">
        <f t="shared" si="7"/>
        <v>1.986</v>
      </c>
      <c r="D14" s="553">
        <v>1.4650000000000001</v>
      </c>
      <c r="E14" s="5">
        <f t="shared" si="6"/>
        <v>-1.0089999999999997</v>
      </c>
      <c r="F14" s="5">
        <f t="shared" si="0"/>
        <v>0.35699999999999998</v>
      </c>
      <c r="G14" s="221">
        <f t="shared" si="1"/>
        <v>-0.82399999999999995</v>
      </c>
      <c r="H14" s="3">
        <f t="shared" si="2"/>
        <v>-0.65400000000000003</v>
      </c>
      <c r="I14">
        <v>0</v>
      </c>
      <c r="J14" s="222">
        <v>0</v>
      </c>
      <c r="K14" s="221">
        <f t="shared" si="3"/>
        <v>0.36</v>
      </c>
      <c r="L14" s="221">
        <f t="shared" si="4"/>
        <v>-0.45500000000000002</v>
      </c>
      <c r="M14" s="3">
        <v>-0.84799999999999998</v>
      </c>
      <c r="N14" s="3">
        <f t="shared" si="5"/>
        <v>0.16200000000000001</v>
      </c>
      <c r="O14" s="6"/>
      <c r="P14" s="316" t="s">
        <v>188</v>
      </c>
      <c r="Q14" s="266">
        <v>-654</v>
      </c>
      <c r="R14" s="267"/>
      <c r="S14" s="266"/>
      <c r="T14" s="266">
        <v>-360</v>
      </c>
      <c r="U14" s="266">
        <v>455</v>
      </c>
      <c r="V14" s="267">
        <v>162</v>
      </c>
      <c r="W14" s="268">
        <v>824</v>
      </c>
      <c r="X14" s="9"/>
      <c r="Y14" s="551">
        <v>26.45</v>
      </c>
      <c r="Z14" s="267"/>
    </row>
    <row r="15" spans="1:31" ht="18.75" thickBot="1" x14ac:dyDescent="0.4">
      <c r="A15" s="71"/>
      <c r="B15" s="8" t="s">
        <v>11</v>
      </c>
      <c r="C15" s="8">
        <f>C14+D15</f>
        <v>3.2984999999999998</v>
      </c>
      <c r="D15" s="553">
        <v>1.3125</v>
      </c>
      <c r="E15" s="224">
        <f t="shared" si="6"/>
        <v>-0.65599999999999969</v>
      </c>
      <c r="F15" s="5">
        <f t="shared" si="0"/>
        <v>0.35299999999999998</v>
      </c>
      <c r="G15" s="221">
        <f t="shared" si="1"/>
        <v>-0.36699999999999999</v>
      </c>
      <c r="H15" s="3">
        <f t="shared" si="2"/>
        <v>-0.53700000000000003</v>
      </c>
      <c r="I15">
        <v>0</v>
      </c>
      <c r="J15" s="222">
        <v>0</v>
      </c>
      <c r="K15" s="221">
        <f t="shared" si="3"/>
        <v>0.57399999999999995</v>
      </c>
      <c r="L15" s="221">
        <f t="shared" si="4"/>
        <v>0.10100000000000001</v>
      </c>
      <c r="M15" s="3">
        <v>-0.433</v>
      </c>
      <c r="N15" s="3">
        <f t="shared" si="5"/>
        <v>0.45600000000000002</v>
      </c>
      <c r="O15" s="6"/>
      <c r="P15" s="316" t="s">
        <v>189</v>
      </c>
      <c r="Q15" s="269">
        <v>-537</v>
      </c>
      <c r="R15" s="267"/>
      <c r="S15" s="269"/>
      <c r="T15" s="269">
        <v>-574</v>
      </c>
      <c r="U15" s="269">
        <v>-101</v>
      </c>
      <c r="V15" s="270">
        <v>456</v>
      </c>
      <c r="W15" s="268">
        <v>367</v>
      </c>
      <c r="X15" s="9"/>
      <c r="Y15" s="551">
        <v>27.2134</v>
      </c>
      <c r="Z15" s="267"/>
    </row>
    <row r="16" spans="1:31" ht="19.5" thickBot="1" x14ac:dyDescent="0.4">
      <c r="B16" s="8"/>
      <c r="C16" s="8"/>
      <c r="E16" s="7"/>
      <c r="F16" s="15">
        <f>SUM(G16:N16)-K16-L16</f>
        <v>0</v>
      </c>
      <c r="Q16" s="6"/>
    </row>
    <row r="17" spans="1:25" x14ac:dyDescent="0.35">
      <c r="B17" s="8"/>
      <c r="C17" s="8"/>
      <c r="D17" s="8"/>
      <c r="E17" s="9"/>
      <c r="G17" s="221"/>
      <c r="H17" s="3"/>
      <c r="K17" s="221"/>
      <c r="L17" s="221"/>
      <c r="N17" s="3"/>
      <c r="O17" s="3"/>
      <c r="Q17" s="6"/>
    </row>
    <row r="18" spans="1:25" x14ac:dyDescent="0.35">
      <c r="B18" s="8"/>
      <c r="C18" s="8"/>
      <c r="D18" s="3">
        <f>E18/1000</f>
        <v>-0.219</v>
      </c>
      <c r="E18" s="267">
        <f t="array" ref="E18:E29">TRANSPOSE('ПБ V-1 (fin min)'!Z62:AK62)</f>
        <v>-219</v>
      </c>
      <c r="F18" s="221"/>
      <c r="G18" s="221"/>
      <c r="H18" s="3"/>
      <c r="K18" s="221"/>
      <c r="L18" s="221"/>
      <c r="N18" s="3"/>
      <c r="O18" s="3"/>
      <c r="Q18" s="6"/>
    </row>
    <row r="19" spans="1:25" x14ac:dyDescent="0.35">
      <c r="B19" s="8"/>
      <c r="C19" s="8"/>
      <c r="D19" s="3">
        <f t="shared" ref="D19:D29" si="8">E19/1000</f>
        <v>-2.4E-2</v>
      </c>
      <c r="E19" s="267">
        <v>-24</v>
      </c>
      <c r="F19" s="221"/>
      <c r="G19" s="221"/>
      <c r="H19" s="3"/>
      <c r="K19" s="221"/>
      <c r="L19" s="221"/>
      <c r="N19" s="3"/>
      <c r="O19" s="3"/>
      <c r="Q19" s="6"/>
    </row>
    <row r="20" spans="1:25" x14ac:dyDescent="0.35">
      <c r="B20" s="8"/>
      <c r="C20" s="8"/>
      <c r="D20" s="3">
        <f t="shared" si="8"/>
        <v>-0.71499999999999997</v>
      </c>
      <c r="E20" s="267">
        <v>-715</v>
      </c>
      <c r="F20" s="221"/>
      <c r="G20" s="221"/>
      <c r="H20" s="3"/>
      <c r="K20" s="221"/>
      <c r="L20" s="221"/>
      <c r="N20" s="3"/>
      <c r="O20" s="3"/>
    </row>
    <row r="21" spans="1:25" x14ac:dyDescent="0.35">
      <c r="B21" s="8"/>
      <c r="C21" s="8"/>
      <c r="D21" s="3">
        <f t="shared" si="8"/>
        <v>0.70699999999999996</v>
      </c>
      <c r="E21" s="267">
        <v>707</v>
      </c>
      <c r="F21" s="221"/>
      <c r="G21" s="221"/>
      <c r="H21" s="3"/>
      <c r="K21" s="221"/>
      <c r="L21" s="221"/>
      <c r="N21" s="3"/>
      <c r="O21" s="3"/>
    </row>
    <row r="22" spans="1:25" x14ac:dyDescent="0.35">
      <c r="B22" s="8"/>
      <c r="C22" s="8"/>
      <c r="D22" s="3">
        <f t="shared" si="8"/>
        <v>-0.39800000000000002</v>
      </c>
      <c r="E22" s="267">
        <v>-398</v>
      </c>
      <c r="F22" s="221"/>
      <c r="G22" s="221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25" x14ac:dyDescent="0.35">
      <c r="B23" s="8"/>
      <c r="C23" s="8"/>
      <c r="D23" s="3">
        <f t="shared" si="8"/>
        <v>0.60799999999999998</v>
      </c>
      <c r="E23" s="267">
        <v>608</v>
      </c>
      <c r="F23" s="221"/>
      <c r="G23" s="221"/>
      <c r="H23" s="3"/>
      <c r="K23" s="221"/>
      <c r="L23" s="221"/>
      <c r="N23" s="3"/>
      <c r="O23" s="3"/>
    </row>
    <row r="24" spans="1:25" x14ac:dyDescent="0.35">
      <c r="B24" s="8"/>
      <c r="C24" s="8"/>
      <c r="D24" s="3">
        <f t="shared" si="8"/>
        <v>0.28999999999999998</v>
      </c>
      <c r="E24" s="267">
        <v>290</v>
      </c>
      <c r="F24" s="221"/>
      <c r="G24" s="221"/>
      <c r="H24" s="3"/>
      <c r="K24" s="221"/>
      <c r="L24" s="221"/>
      <c r="N24" s="3"/>
      <c r="O24" s="3"/>
    </row>
    <row r="25" spans="1:25" x14ac:dyDescent="0.35">
      <c r="B25" s="8"/>
      <c r="C25" s="8"/>
      <c r="D25" s="3">
        <f t="shared" si="8"/>
        <v>-0.13700000000000001</v>
      </c>
      <c r="E25" s="267">
        <v>-137</v>
      </c>
      <c r="F25" s="221"/>
      <c r="G25" s="221"/>
      <c r="H25" s="3"/>
      <c r="K25" s="221"/>
      <c r="L25" s="221"/>
      <c r="N25" s="3"/>
      <c r="O25" s="3"/>
    </row>
    <row r="26" spans="1:25" x14ac:dyDescent="0.35">
      <c r="B26" s="8"/>
      <c r="C26" s="8"/>
      <c r="D26" s="3">
        <f t="shared" si="8"/>
        <v>-2.5379999999999998</v>
      </c>
      <c r="E26" s="267">
        <v>-2538</v>
      </c>
      <c r="F26" s="221"/>
      <c r="G26" s="221"/>
      <c r="H26" s="3"/>
      <c r="K26" s="221"/>
      <c r="L26" s="221"/>
      <c r="N26" s="3"/>
      <c r="O26" s="3"/>
    </row>
    <row r="27" spans="1:25" x14ac:dyDescent="0.35">
      <c r="B27" s="8"/>
      <c r="C27" s="8"/>
      <c r="D27" s="3">
        <f>E27/1000</f>
        <v>1.06</v>
      </c>
      <c r="E27" s="267">
        <v>1060</v>
      </c>
      <c r="F27" s="221"/>
      <c r="G27" s="221"/>
      <c r="H27" s="3"/>
      <c r="K27" s="221"/>
      <c r="L27" s="221"/>
      <c r="N27" s="3"/>
      <c r="O27" s="3"/>
    </row>
    <row r="28" spans="1:25" x14ac:dyDescent="0.35">
      <c r="D28" s="3">
        <f t="shared" si="8"/>
        <v>0.35699999999999998</v>
      </c>
      <c r="E28" s="267">
        <v>357</v>
      </c>
      <c r="F28" s="221"/>
      <c r="G28" s="221"/>
      <c r="H28" s="3"/>
      <c r="K28" s="221"/>
      <c r="L28" s="221"/>
      <c r="N28" s="3"/>
      <c r="O28" s="3"/>
    </row>
    <row r="29" spans="1:25" x14ac:dyDescent="0.35">
      <c r="B29" s="8"/>
      <c r="C29" s="8"/>
      <c r="D29" s="3">
        <f t="shared" si="8"/>
        <v>0.35299999999999998</v>
      </c>
      <c r="E29" s="267">
        <v>353</v>
      </c>
      <c r="F29" s="221"/>
    </row>
    <row r="30" spans="1:25" ht="18.75" thickBot="1" x14ac:dyDescent="0.4">
      <c r="B30" s="8"/>
      <c r="C30" s="8"/>
      <c r="E30" s="5"/>
    </row>
    <row r="31" spans="1:25" ht="90" x14ac:dyDescent="0.35">
      <c r="B31" s="10"/>
      <c r="C31" s="227" t="s">
        <v>149</v>
      </c>
      <c r="D31" s="227" t="s">
        <v>218</v>
      </c>
      <c r="E31" s="227" t="s">
        <v>217</v>
      </c>
      <c r="F31" s="227" t="s">
        <v>285</v>
      </c>
      <c r="G31" s="264" t="s">
        <v>42</v>
      </c>
      <c r="H31" s="11" t="s">
        <v>152</v>
      </c>
      <c r="I31" s="11" t="s">
        <v>37</v>
      </c>
      <c r="J31" s="12" t="s">
        <v>38</v>
      </c>
      <c r="K31" s="11" t="s">
        <v>39</v>
      </c>
      <c r="L31" s="11" t="s">
        <v>40</v>
      </c>
      <c r="M31" s="225" t="s">
        <v>150</v>
      </c>
      <c r="N31" s="226" t="s">
        <v>147</v>
      </c>
      <c r="P31" s="4"/>
      <c r="Q31" s="11" t="s">
        <v>152</v>
      </c>
      <c r="R31" s="11" t="s">
        <v>37</v>
      </c>
      <c r="S31" s="12" t="s">
        <v>38</v>
      </c>
      <c r="T31" s="11" t="s">
        <v>39</v>
      </c>
      <c r="U31" s="11" t="s">
        <v>40</v>
      </c>
      <c r="V31" s="226" t="s">
        <v>147</v>
      </c>
      <c r="W31" s="264" t="s">
        <v>42</v>
      </c>
      <c r="X31" s="4"/>
      <c r="Y31" s="552" t="s">
        <v>117</v>
      </c>
    </row>
    <row r="32" spans="1:25" x14ac:dyDescent="0.35">
      <c r="A32" s="72">
        <v>2022</v>
      </c>
      <c r="B32" s="8" t="s">
        <v>0</v>
      </c>
      <c r="C32" s="8">
        <f>D32</f>
        <v>0</v>
      </c>
      <c r="D32" s="553">
        <f t="array" ref="D32:D43">TRANSPOSE('ПБ V-1 (fin min)'!AL93:AW93)/1000</f>
        <v>0</v>
      </c>
      <c r="E32" s="5">
        <f>F32</f>
        <v>-1.762</v>
      </c>
      <c r="F32" s="5">
        <f t="array" ref="F32:F43">TRANSPOSE('ПБ V-1 (fin min)'!AL62:AW62)/1000</f>
        <v>-1.762</v>
      </c>
      <c r="G32" s="221">
        <f t="shared" ref="G32:G43" si="9">-W32/1000</f>
        <v>-0.79700000000000004</v>
      </c>
      <c r="H32" s="3">
        <f t="shared" ref="H32:H43" si="10">Q32/1000</f>
        <v>0.60899999999999999</v>
      </c>
      <c r="I32">
        <v>0</v>
      </c>
      <c r="J32" s="222">
        <v>0</v>
      </c>
      <c r="K32" s="221">
        <f t="shared" ref="K32:K43" si="11">-T32/1000</f>
        <v>0.16600000000000001</v>
      </c>
      <c r="L32" s="221">
        <f t="shared" ref="L32:L43" si="12">-U32/1000</f>
        <v>-1.8540000000000001</v>
      </c>
      <c r="M32" s="3">
        <f t="array" ref="M32:M43">TRANSPOSE('ПБ V-1 (fin min)'!AL23:AW23)/1000</f>
        <v>1.8859999999999999</v>
      </c>
      <c r="N32" s="3">
        <f t="shared" ref="N32:N43" si="13">V32/1000</f>
        <v>-0.501</v>
      </c>
      <c r="P32" s="316" t="s">
        <v>178</v>
      </c>
      <c r="Q32" s="265">
        <f t="array" ref="Q32:Q43">TRANSPOSE('ПБ V-1 (fin min)'!AL4:AW4)</f>
        <v>609</v>
      </c>
      <c r="R32" s="266"/>
      <c r="S32" s="266"/>
      <c r="T32" s="266">
        <f t="array" ref="T32:T43">TRANSPOSE('ПБ V-1 (fin min)'!AL24:AW24)</f>
        <v>-166</v>
      </c>
      <c r="U32" s="266">
        <f t="array" ref="U32:U43">TRANSPOSE('ПБ V-1 (fin min)'!AL32:AW32)</f>
        <v>1854</v>
      </c>
      <c r="V32" s="267">
        <f t="array" ref="V32:V43">TRANSPOSE('ПБ V-1 (fin min)'!AL58:AW58)</f>
        <v>-501</v>
      </c>
      <c r="W32" s="268">
        <f t="array" ref="W32:W43">TRANSPOSE('ПБ V-1 (fin min)'!AL36:AW36)</f>
        <v>797</v>
      </c>
      <c r="X32" s="315"/>
      <c r="Y32" s="551">
        <f t="array" ref="Y32:Y43">TRANSPOSE('ПБ V-1 (fin min)'!AL83:AW83)</f>
        <v>27.981270967741931</v>
      </c>
    </row>
    <row r="33" spans="1:26" x14ac:dyDescent="0.35">
      <c r="B33" s="8" t="s">
        <v>1</v>
      </c>
      <c r="C33" s="8">
        <f t="shared" ref="C33:C43" si="14">C32+D33</f>
        <v>0</v>
      </c>
      <c r="D33" s="553">
        <v>0</v>
      </c>
      <c r="E33" s="5">
        <f t="shared" ref="E33:E43" si="15">E32+F33</f>
        <v>-3.42</v>
      </c>
      <c r="F33" s="5">
        <v>-1.6579999999999999</v>
      </c>
      <c r="G33" s="221">
        <f t="shared" si="9"/>
        <v>-0.93100000000000005</v>
      </c>
      <c r="H33" s="3">
        <f t="shared" si="10"/>
        <v>2.1000000000000001E-2</v>
      </c>
      <c r="I33">
        <v>0</v>
      </c>
      <c r="J33" s="222">
        <v>0</v>
      </c>
      <c r="K33" s="221">
        <f t="shared" si="11"/>
        <v>-0.71899999999999997</v>
      </c>
      <c r="L33" s="221">
        <f t="shared" si="12"/>
        <v>-0.28799999999999998</v>
      </c>
      <c r="M33" s="3">
        <v>1.1040000000000001</v>
      </c>
      <c r="N33" s="3">
        <f t="shared" si="13"/>
        <v>-0.61599999999999999</v>
      </c>
      <c r="P33" s="316" t="s">
        <v>179</v>
      </c>
      <c r="Q33" s="265">
        <v>21</v>
      </c>
      <c r="R33" s="267"/>
      <c r="S33" s="266"/>
      <c r="T33" s="266">
        <v>719</v>
      </c>
      <c r="U33" s="266">
        <v>288</v>
      </c>
      <c r="V33" s="267">
        <v>-616</v>
      </c>
      <c r="W33" s="268">
        <v>931</v>
      </c>
      <c r="X33" s="9"/>
      <c r="Y33" s="551">
        <v>28.413664285714287</v>
      </c>
    </row>
    <row r="34" spans="1:26" x14ac:dyDescent="0.35">
      <c r="B34" s="8" t="s">
        <v>2</v>
      </c>
      <c r="C34" s="8">
        <f t="shared" si="14"/>
        <v>0</v>
      </c>
      <c r="D34" s="553">
        <v>0</v>
      </c>
      <c r="E34" s="5">
        <f t="shared" si="15"/>
        <v>-2.7409999999999997</v>
      </c>
      <c r="F34" s="5">
        <v>0.67900000000000005</v>
      </c>
      <c r="G34" s="221">
        <f t="shared" si="9"/>
        <v>-0.73099999999999998</v>
      </c>
      <c r="H34" s="3">
        <f t="shared" si="10"/>
        <v>1.387</v>
      </c>
      <c r="I34">
        <v>0</v>
      </c>
      <c r="J34" s="222">
        <v>0</v>
      </c>
      <c r="K34" s="221">
        <f t="shared" si="11"/>
        <v>-2.4E-2</v>
      </c>
      <c r="L34" s="221">
        <f t="shared" si="12"/>
        <v>-3.2589999999999999</v>
      </c>
      <c r="M34" s="3">
        <v>3.3490000000000002</v>
      </c>
      <c r="N34" s="3">
        <f t="shared" si="13"/>
        <v>2.64</v>
      </c>
      <c r="P34" s="316" t="s">
        <v>180</v>
      </c>
      <c r="Q34" s="265">
        <v>1387</v>
      </c>
      <c r="R34" s="267"/>
      <c r="S34" s="266"/>
      <c r="T34" s="266">
        <v>24</v>
      </c>
      <c r="U34" s="266">
        <v>3259</v>
      </c>
      <c r="V34" s="267">
        <v>2640</v>
      </c>
      <c r="W34" s="268">
        <v>731</v>
      </c>
      <c r="X34" s="9"/>
      <c r="Y34" s="551">
        <v>29.254900000000013</v>
      </c>
    </row>
    <row r="35" spans="1:26" x14ac:dyDescent="0.35">
      <c r="B35" s="8" t="s">
        <v>3</v>
      </c>
      <c r="C35" s="8">
        <f t="shared" si="14"/>
        <v>0</v>
      </c>
      <c r="D35" s="553">
        <v>0</v>
      </c>
      <c r="E35" s="5">
        <f t="shared" si="15"/>
        <v>-3.6079999999999997</v>
      </c>
      <c r="F35" s="5">
        <v>-0.86699999999999999</v>
      </c>
      <c r="G35" s="221">
        <f t="shared" si="9"/>
        <v>-0.84699999999999998</v>
      </c>
      <c r="H35" s="3">
        <f t="shared" si="10"/>
        <v>1.2030000000000001</v>
      </c>
      <c r="I35">
        <v>0</v>
      </c>
      <c r="J35" s="222">
        <v>0</v>
      </c>
      <c r="K35" s="221">
        <f t="shared" si="11"/>
        <v>3.2000000000000001E-2</v>
      </c>
      <c r="L35" s="221">
        <f t="shared" si="12"/>
        <v>-2.786</v>
      </c>
      <c r="M35" s="3">
        <v>2.8639999999999999</v>
      </c>
      <c r="N35" s="3">
        <f t="shared" si="13"/>
        <v>0.79100000000000004</v>
      </c>
      <c r="P35" s="316" t="s">
        <v>181</v>
      </c>
      <c r="Q35" s="265">
        <v>1203</v>
      </c>
      <c r="R35" s="267"/>
      <c r="S35" s="266"/>
      <c r="T35" s="266">
        <v>-32</v>
      </c>
      <c r="U35" s="266">
        <v>2786</v>
      </c>
      <c r="V35" s="267">
        <v>791</v>
      </c>
      <c r="W35" s="268">
        <v>847</v>
      </c>
      <c r="X35" s="9"/>
      <c r="Y35" s="551">
        <v>29.254900000000013</v>
      </c>
    </row>
    <row r="36" spans="1:26" x14ac:dyDescent="0.35">
      <c r="B36" s="8" t="s">
        <v>4</v>
      </c>
      <c r="C36" s="8">
        <f t="shared" si="14"/>
        <v>0</v>
      </c>
      <c r="D36" s="553">
        <v>0</v>
      </c>
      <c r="E36" s="5">
        <f t="shared" si="15"/>
        <v>-5.5289999999999999</v>
      </c>
      <c r="F36" s="5">
        <v>-1.921</v>
      </c>
      <c r="G36" s="221">
        <f t="shared" si="9"/>
        <v>-1.089</v>
      </c>
      <c r="H36" s="3">
        <f t="shared" si="10"/>
        <v>-0.20300000000000001</v>
      </c>
      <c r="I36">
        <v>0</v>
      </c>
      <c r="J36" s="222">
        <v>0</v>
      </c>
      <c r="K36" s="221">
        <f t="shared" si="11"/>
        <v>0.08</v>
      </c>
      <c r="L36" s="221">
        <f t="shared" si="12"/>
        <v>-2.5640000000000001</v>
      </c>
      <c r="M36" s="3">
        <v>2.677</v>
      </c>
      <c r="N36" s="3">
        <f t="shared" si="13"/>
        <v>0.95599999999999996</v>
      </c>
      <c r="P36" s="316" t="s">
        <v>182</v>
      </c>
      <c r="Q36" s="265">
        <v>-203</v>
      </c>
      <c r="R36" s="267"/>
      <c r="S36" s="266"/>
      <c r="T36" s="266">
        <v>-80</v>
      </c>
      <c r="U36" s="266">
        <v>2564</v>
      </c>
      <c r="V36" s="267">
        <v>956</v>
      </c>
      <c r="W36" s="268">
        <v>1089</v>
      </c>
      <c r="X36" s="9"/>
      <c r="Y36" s="551">
        <v>29.254900000000013</v>
      </c>
    </row>
    <row r="37" spans="1:26" x14ac:dyDescent="0.35">
      <c r="B37" s="8" t="s">
        <v>5</v>
      </c>
      <c r="C37" s="8">
        <f t="shared" si="14"/>
        <v>0</v>
      </c>
      <c r="D37" s="553">
        <v>0</v>
      </c>
      <c r="E37" s="5">
        <f t="shared" si="15"/>
        <v>-7.7490000000000006</v>
      </c>
      <c r="F37" s="5">
        <v>-2.2200000000000002</v>
      </c>
      <c r="G37" s="221">
        <f t="shared" si="9"/>
        <v>-0.746</v>
      </c>
      <c r="H37" s="3">
        <f t="shared" si="10"/>
        <v>-0.19800000000000001</v>
      </c>
      <c r="I37">
        <v>0</v>
      </c>
      <c r="J37" s="222">
        <v>0</v>
      </c>
      <c r="K37" s="221">
        <f t="shared" si="11"/>
        <v>0.17399999999999999</v>
      </c>
      <c r="L37" s="221">
        <f t="shared" si="12"/>
        <v>-4.0140000000000002</v>
      </c>
      <c r="M37" s="3">
        <v>3.762</v>
      </c>
      <c r="N37" s="3">
        <f t="shared" si="13"/>
        <v>1.73</v>
      </c>
      <c r="P37" s="316" t="s">
        <v>183</v>
      </c>
      <c r="Q37" s="266">
        <v>-198</v>
      </c>
      <c r="R37" s="267"/>
      <c r="S37" s="266"/>
      <c r="T37" s="266">
        <v>-174</v>
      </c>
      <c r="U37" s="266">
        <v>4014</v>
      </c>
      <c r="V37" s="267">
        <v>1730</v>
      </c>
      <c r="W37" s="268">
        <v>746</v>
      </c>
      <c r="X37" s="9"/>
      <c r="Y37" s="551">
        <v>29.254900000000013</v>
      </c>
    </row>
    <row r="38" spans="1:26" x14ac:dyDescent="0.35">
      <c r="B38" s="8" t="s">
        <v>6</v>
      </c>
      <c r="C38" s="8">
        <f t="shared" si="14"/>
        <v>0</v>
      </c>
      <c r="D38" s="553">
        <v>0</v>
      </c>
      <c r="E38" s="5">
        <f t="shared" si="15"/>
        <v>-8.048</v>
      </c>
      <c r="F38" s="5">
        <v>-0.29899999999999999</v>
      </c>
      <c r="G38" s="221">
        <f t="shared" si="9"/>
        <v>-0.77600000000000002</v>
      </c>
      <c r="H38" s="3">
        <f t="shared" si="10"/>
        <v>1.4059999999999999</v>
      </c>
      <c r="I38">
        <v>0</v>
      </c>
      <c r="J38" s="222">
        <v>0</v>
      </c>
      <c r="K38" s="221">
        <f t="shared" si="11"/>
        <v>0.15</v>
      </c>
      <c r="L38" s="221">
        <f t="shared" si="12"/>
        <v>-1.873</v>
      </c>
      <c r="M38" s="3">
        <v>1.532</v>
      </c>
      <c r="N38" s="3">
        <f t="shared" si="13"/>
        <v>-0.19600000000000001</v>
      </c>
      <c r="P38" s="316" t="s">
        <v>184</v>
      </c>
      <c r="Q38" s="266">
        <v>1406</v>
      </c>
      <c r="R38" s="267"/>
      <c r="S38" s="266"/>
      <c r="T38" s="266">
        <v>-150</v>
      </c>
      <c r="U38" s="266">
        <v>1873</v>
      </c>
      <c r="V38" s="267">
        <v>-196</v>
      </c>
      <c r="W38" s="268">
        <v>776</v>
      </c>
      <c r="X38" s="9"/>
      <c r="Y38" s="551">
        <v>31.850083870967769</v>
      </c>
    </row>
    <row r="39" spans="1:26" x14ac:dyDescent="0.35">
      <c r="B39" s="8" t="s">
        <v>7</v>
      </c>
      <c r="C39" s="8">
        <f t="shared" si="14"/>
        <v>0</v>
      </c>
      <c r="D39" s="553">
        <v>0</v>
      </c>
      <c r="E39" s="5">
        <f t="shared" si="15"/>
        <v>-4.9429999999999996</v>
      </c>
      <c r="F39" s="5">
        <v>3.105</v>
      </c>
      <c r="G39" s="221">
        <f t="shared" si="9"/>
        <v>-0.77100000000000002</v>
      </c>
      <c r="H39" s="3">
        <f t="shared" si="10"/>
        <v>1.948</v>
      </c>
      <c r="I39">
        <v>0</v>
      </c>
      <c r="J39" s="222">
        <v>0</v>
      </c>
      <c r="K39" s="221">
        <f t="shared" si="11"/>
        <v>5.5E-2</v>
      </c>
      <c r="L39" s="221">
        <f t="shared" si="12"/>
        <v>-0.44</v>
      </c>
      <c r="M39" s="3">
        <v>0.28199999999999997</v>
      </c>
      <c r="N39" s="3">
        <f t="shared" si="13"/>
        <v>1.4239999999999999</v>
      </c>
      <c r="P39" s="316" t="s">
        <v>185</v>
      </c>
      <c r="Q39" s="266">
        <v>1948</v>
      </c>
      <c r="R39" s="267"/>
      <c r="S39" s="266"/>
      <c r="T39" s="266">
        <v>-55</v>
      </c>
      <c r="U39" s="266">
        <v>440</v>
      </c>
      <c r="V39" s="267">
        <v>1424</v>
      </c>
      <c r="W39" s="268">
        <v>771</v>
      </c>
      <c r="X39" s="9"/>
      <c r="Y39" s="551">
        <v>36.568600000000032</v>
      </c>
    </row>
    <row r="40" spans="1:26" x14ac:dyDescent="0.35">
      <c r="B40" s="8" t="s">
        <v>8</v>
      </c>
      <c r="C40" s="8">
        <f t="shared" si="14"/>
        <v>0</v>
      </c>
      <c r="D40" s="553">
        <v>0</v>
      </c>
      <c r="E40" s="5">
        <f t="shared" si="15"/>
        <v>-6.3179999999999996</v>
      </c>
      <c r="F40" s="5">
        <v>-1.375</v>
      </c>
      <c r="G40" s="221">
        <f t="shared" si="9"/>
        <v>-1.087</v>
      </c>
      <c r="H40" s="3">
        <f t="shared" si="10"/>
        <v>1.6879999999999999</v>
      </c>
      <c r="I40">
        <v>0</v>
      </c>
      <c r="J40" s="222">
        <v>0</v>
      </c>
      <c r="K40" s="221">
        <f t="shared" si="11"/>
        <v>0.127</v>
      </c>
      <c r="L40" s="221">
        <f t="shared" si="12"/>
        <v>-2.9980000000000002</v>
      </c>
      <c r="M40" s="3">
        <v>2.8969999999999998</v>
      </c>
      <c r="N40" s="3">
        <f t="shared" si="13"/>
        <v>-0.17199999999999999</v>
      </c>
      <c r="P40" s="316" t="s">
        <v>186</v>
      </c>
      <c r="Q40" s="266">
        <v>1688</v>
      </c>
      <c r="R40" s="267"/>
      <c r="S40" s="266"/>
      <c r="T40" s="266">
        <v>-127</v>
      </c>
      <c r="U40" s="266">
        <v>2998</v>
      </c>
      <c r="V40" s="267">
        <v>-172</v>
      </c>
      <c r="W40" s="268">
        <v>1087</v>
      </c>
      <c r="X40" s="9"/>
      <c r="Y40" s="551">
        <v>36.568600000000032</v>
      </c>
    </row>
    <row r="41" spans="1:26" x14ac:dyDescent="0.35">
      <c r="B41" s="8" t="s">
        <v>9</v>
      </c>
      <c r="C41" s="8">
        <f t="shared" si="14"/>
        <v>0</v>
      </c>
      <c r="D41" s="553">
        <v>0</v>
      </c>
      <c r="E41" s="5">
        <f t="shared" si="15"/>
        <v>-5.0670000000000002</v>
      </c>
      <c r="F41" s="5">
        <v>1.2509999999999999</v>
      </c>
      <c r="G41" s="221">
        <f t="shared" si="9"/>
        <v>-0.83799999999999997</v>
      </c>
      <c r="H41" s="3">
        <f t="shared" si="10"/>
        <v>-0.53700000000000003</v>
      </c>
      <c r="I41">
        <v>0</v>
      </c>
      <c r="J41" s="222">
        <v>0</v>
      </c>
      <c r="K41" s="221">
        <f t="shared" si="11"/>
        <v>5.5E-2</v>
      </c>
      <c r="L41" s="221">
        <f t="shared" si="12"/>
        <v>-2.0579999999999998</v>
      </c>
      <c r="M41" s="3">
        <v>2.1150000000000002</v>
      </c>
      <c r="N41" s="3">
        <f t="shared" si="13"/>
        <v>3.9</v>
      </c>
      <c r="P41" s="316" t="s">
        <v>187</v>
      </c>
      <c r="Q41" s="266">
        <v>-537</v>
      </c>
      <c r="R41" s="267"/>
      <c r="S41" s="266"/>
      <c r="T41" s="268">
        <v>-55</v>
      </c>
      <c r="U41" s="266">
        <v>2058</v>
      </c>
      <c r="V41" s="267">
        <v>3900</v>
      </c>
      <c r="W41" s="268">
        <v>838</v>
      </c>
      <c r="X41" s="9"/>
      <c r="Y41" s="551">
        <v>36.568600000000032</v>
      </c>
    </row>
    <row r="42" spans="1:26" x14ac:dyDescent="0.35">
      <c r="B42" s="8" t="s">
        <v>10</v>
      </c>
      <c r="C42" s="8">
        <f t="shared" si="14"/>
        <v>0</v>
      </c>
      <c r="D42" s="553">
        <v>0</v>
      </c>
      <c r="E42" s="5">
        <f t="shared" si="15"/>
        <v>-2.6300000000000003</v>
      </c>
      <c r="F42" s="5">
        <v>2.4369999999999998</v>
      </c>
      <c r="G42" s="221">
        <f t="shared" si="9"/>
        <v>-0.628</v>
      </c>
      <c r="H42" s="3">
        <f t="shared" si="10"/>
        <v>0.375</v>
      </c>
      <c r="I42">
        <v>0</v>
      </c>
      <c r="J42" s="222">
        <v>0</v>
      </c>
      <c r="K42" s="221">
        <f t="shared" si="11"/>
        <v>2.8000000000000001E-2</v>
      </c>
      <c r="L42" s="221">
        <f t="shared" si="12"/>
        <v>-7.0000000000000007E-2</v>
      </c>
      <c r="M42" s="3">
        <v>0.45400000000000001</v>
      </c>
      <c r="N42" s="3">
        <f t="shared" si="13"/>
        <v>2.5019999999999998</v>
      </c>
      <c r="P42" s="316" t="s">
        <v>188</v>
      </c>
      <c r="Q42" s="266">
        <v>375</v>
      </c>
      <c r="R42" s="267"/>
      <c r="S42" s="266"/>
      <c r="T42" s="266">
        <v>-28</v>
      </c>
      <c r="U42" s="266">
        <v>70</v>
      </c>
      <c r="V42" s="267">
        <v>2502</v>
      </c>
      <c r="W42" s="268">
        <v>628</v>
      </c>
      <c r="X42" s="9"/>
      <c r="Y42" s="551">
        <v>36.568600000000032</v>
      </c>
    </row>
    <row r="43" spans="1:26" ht="18.75" thickBot="1" x14ac:dyDescent="0.4">
      <c r="B43" s="8" t="s">
        <v>11</v>
      </c>
      <c r="C43" s="8">
        <f t="shared" si="14"/>
        <v>0</v>
      </c>
      <c r="D43" s="554">
        <v>0</v>
      </c>
      <c r="E43" s="224">
        <f t="shared" si="15"/>
        <v>-2.2680000000000002</v>
      </c>
      <c r="F43" s="5">
        <v>0.36199999999999999</v>
      </c>
      <c r="G43" s="221">
        <f t="shared" si="9"/>
        <v>-0.83199999999999996</v>
      </c>
      <c r="H43" s="3">
        <f t="shared" si="10"/>
        <v>0.27300000000000002</v>
      </c>
      <c r="I43">
        <v>0</v>
      </c>
      <c r="J43" s="222">
        <v>0</v>
      </c>
      <c r="K43" s="221">
        <f t="shared" si="11"/>
        <v>8.8999999999999996E-2</v>
      </c>
      <c r="L43" s="221">
        <f t="shared" si="12"/>
        <v>-1.2010000000000001</v>
      </c>
      <c r="M43" s="3">
        <v>1.284</v>
      </c>
      <c r="N43" s="3">
        <f t="shared" si="13"/>
        <v>1.325</v>
      </c>
      <c r="P43" s="316" t="s">
        <v>189</v>
      </c>
      <c r="Q43" s="269">
        <v>273</v>
      </c>
      <c r="R43" s="267"/>
      <c r="S43" s="269"/>
      <c r="T43" s="269">
        <v>-89</v>
      </c>
      <c r="U43" s="269">
        <v>1201</v>
      </c>
      <c r="V43" s="270">
        <v>1325</v>
      </c>
      <c r="W43" s="268">
        <v>832</v>
      </c>
      <c r="X43" s="9"/>
      <c r="Y43" s="551">
        <v>36.568600000000032</v>
      </c>
    </row>
    <row r="44" spans="1:26" x14ac:dyDescent="0.35">
      <c r="B44" s="8"/>
      <c r="C44" s="8"/>
      <c r="E44" s="5"/>
    </row>
    <row r="45" spans="1:26" ht="18.75" thickBot="1" x14ac:dyDescent="0.4">
      <c r="B45" s="8"/>
      <c r="C45" s="8">
        <f>'ПБ V-1 (fin min)'!AW71/1000</f>
        <v>28.494</v>
      </c>
      <c r="E45" s="5"/>
    </row>
    <row r="46" spans="1:26" ht="90" x14ac:dyDescent="0.35">
      <c r="A46" s="72">
        <v>2023</v>
      </c>
      <c r="B46" s="10"/>
      <c r="C46" s="227" t="s">
        <v>218</v>
      </c>
      <c r="D46" s="227" t="s">
        <v>218</v>
      </c>
      <c r="E46" s="227" t="s">
        <v>217</v>
      </c>
      <c r="F46" s="227" t="s">
        <v>285</v>
      </c>
      <c r="G46" s="264" t="s">
        <v>42</v>
      </c>
      <c r="H46" s="11" t="s">
        <v>152</v>
      </c>
      <c r="I46" s="11" t="s">
        <v>37</v>
      </c>
      <c r="J46" s="12" t="s">
        <v>38</v>
      </c>
      <c r="K46" s="11" t="s">
        <v>39</v>
      </c>
      <c r="L46" s="11" t="s">
        <v>40</v>
      </c>
      <c r="M46" s="225" t="s">
        <v>150</v>
      </c>
      <c r="N46" s="226" t="s">
        <v>147</v>
      </c>
      <c r="P46" s="4"/>
      <c r="Q46" s="11" t="s">
        <v>152</v>
      </c>
      <c r="R46" s="11" t="s">
        <v>37</v>
      </c>
      <c r="S46" s="12" t="s">
        <v>38</v>
      </c>
      <c r="T46" s="11" t="s">
        <v>39</v>
      </c>
      <c r="U46" s="11" t="s">
        <v>40</v>
      </c>
      <c r="V46" s="226" t="s">
        <v>147</v>
      </c>
      <c r="W46" s="264" t="s">
        <v>42</v>
      </c>
      <c r="X46" s="4"/>
      <c r="Y46" s="1284" t="str">
        <f>INDEX($AC10:$AE10,1,MATCH(Чарти!$B$1,$AC$3:$AE$3,0))</f>
        <v>Обменный курс</v>
      </c>
      <c r="Z46" s="1284" t="str">
        <f>INDEX($AC11:$AE11,1,MATCH(Чарти!$B$1,$AC$3:$AE$3,0))</f>
        <v>Обменный курс</v>
      </c>
    </row>
    <row r="47" spans="1:26" x14ac:dyDescent="0.35">
      <c r="B47" s="8" t="s">
        <v>0</v>
      </c>
      <c r="C47" s="8">
        <f>D47-C45</f>
        <v>1.4342100000000002</v>
      </c>
      <c r="D47" s="8" cm="1">
        <f t="array" ref="D47:D58">TRANSPOSE('ПБ V-1 (fin min)'!AX71:BI71)/1000</f>
        <v>29.92821</v>
      </c>
      <c r="E47" s="5">
        <f>F47</f>
        <v>1.208</v>
      </c>
      <c r="F47" s="5">
        <f t="array" ref="F47:F58">TRANSPOSE('ПБ V-1 (fin min)'!AX62:BI62)/1000</f>
        <v>1.208</v>
      </c>
      <c r="G47" s="221">
        <f>-W47/1000</f>
        <v>-1.012</v>
      </c>
      <c r="H47" s="3">
        <f>Q47/1000</f>
        <v>-1.135</v>
      </c>
      <c r="I47">
        <v>0</v>
      </c>
      <c r="J47" s="222">
        <v>0</v>
      </c>
      <c r="K47" s="221">
        <f>-T47/1000</f>
        <v>0.37</v>
      </c>
      <c r="L47" s="221">
        <f>-U47/1000</f>
        <v>-1.37</v>
      </c>
      <c r="M47" s="3">
        <f t="array" ref="M47:M58">TRANSPOSE('ПБ V-1 (fin min)'!AX23:BI23)/1000</f>
        <v>1.052</v>
      </c>
      <c r="N47" s="3">
        <f>V47/1000</f>
        <v>3.383</v>
      </c>
      <c r="P47" s="316" t="s">
        <v>178</v>
      </c>
      <c r="Q47" s="265">
        <f t="array" ref="Q47:Q58">TRANSPOSE('ПБ V-1 (fin min)'!AX4:BI4)</f>
        <v>-1135</v>
      </c>
      <c r="R47" s="266"/>
      <c r="S47" s="266"/>
      <c r="T47" s="266">
        <f t="array" ref="T47:T58">TRANSPOSE('ПБ V-1 (fin min)'!AX24:BI24)</f>
        <v>-370</v>
      </c>
      <c r="U47" s="266">
        <f t="array" ref="U47:U58">TRANSPOSE('ПБ V-1 (fin min)'!AX32:BI32)</f>
        <v>1370</v>
      </c>
      <c r="V47" s="267">
        <f t="array" ref="V47:V58">TRANSPOSE('ПБ V-1 (fin min)'!AX58:BI58)</f>
        <v>3383</v>
      </c>
      <c r="W47" s="268">
        <f t="array" ref="W47:W58">TRANSPOSE('ПБ V-1 (fin min)'!AX36:BI36)</f>
        <v>1012</v>
      </c>
      <c r="X47" s="315"/>
      <c r="Y47" s="551">
        <f t="array" ref="Y47:Y58">TRANSPOSE('Курсовые сценарии'!B3:M3)</f>
        <v>36.568600000000032</v>
      </c>
      <c r="Z47" s="551">
        <f t="array" ref="Z47:Z58">TRANSPOSE('Курсовые сценарии'!B4:M4)</f>
        <v>36.568600000000032</v>
      </c>
    </row>
    <row r="48" spans="1:26" x14ac:dyDescent="0.35">
      <c r="B48" s="8" t="s">
        <v>1</v>
      </c>
      <c r="C48" s="8">
        <f>(D48-D47)</f>
        <v>-1.0585699999999996</v>
      </c>
      <c r="D48" s="8">
        <v>28.86964</v>
      </c>
      <c r="E48" s="5">
        <f t="shared" ref="E48:E58" si="16">E47+F48</f>
        <v>0.35199999999999998</v>
      </c>
      <c r="F48" s="5">
        <v>-0.85599999999999998</v>
      </c>
      <c r="G48" s="221">
        <f t="shared" ref="G48:G58" si="17">-W48/1000</f>
        <v>-1.044</v>
      </c>
      <c r="H48" s="3">
        <f t="shared" ref="H48:H57" si="18">Q48/1000</f>
        <v>-0.70499999999999996</v>
      </c>
      <c r="I48">
        <v>0</v>
      </c>
      <c r="J48" s="222">
        <v>0</v>
      </c>
      <c r="K48" s="221">
        <f t="shared" ref="K48:K58" si="19">-T48/1000</f>
        <v>0.38700000000000001</v>
      </c>
      <c r="L48" s="221">
        <f t="shared" ref="L48:L58" si="20">-U48/1000</f>
        <v>-0.98899999999999999</v>
      </c>
      <c r="M48" s="3">
        <v>0.39600000000000002</v>
      </c>
      <c r="N48" s="3">
        <f t="shared" ref="N48:N58" si="21">V48/1000</f>
        <v>0.219</v>
      </c>
      <c r="P48" s="316" t="s">
        <v>179</v>
      </c>
      <c r="Q48" s="265">
        <v>-705</v>
      </c>
      <c r="R48" s="267"/>
      <c r="S48" s="266"/>
      <c r="T48" s="266">
        <v>-387</v>
      </c>
      <c r="U48" s="266">
        <v>989</v>
      </c>
      <c r="V48" s="267">
        <v>219</v>
      </c>
      <c r="W48" s="268">
        <v>1044</v>
      </c>
      <c r="X48" s="9"/>
      <c r="Y48" s="551">
        <v>36.568600000000025</v>
      </c>
      <c r="Z48" s="551">
        <v>36.568600000000025</v>
      </c>
    </row>
    <row r="49" spans="2:26" x14ac:dyDescent="0.35">
      <c r="B49" s="8" t="s">
        <v>2</v>
      </c>
      <c r="C49" s="8">
        <f t="shared" ref="C49:C58" si="22">(D49-D48)</f>
        <v>3.0170899999999996</v>
      </c>
      <c r="D49" s="8">
        <v>31.88673</v>
      </c>
      <c r="E49" s="5">
        <f t="shared" si="16"/>
        <v>3.117</v>
      </c>
      <c r="F49" s="5">
        <v>2.7650000000000001</v>
      </c>
      <c r="G49" s="221">
        <f t="shared" si="17"/>
        <v>-1.2</v>
      </c>
      <c r="H49" s="3">
        <f t="shared" si="18"/>
        <v>-1.0999999999999999E-2</v>
      </c>
      <c r="I49">
        <v>0</v>
      </c>
      <c r="J49" s="222">
        <v>0</v>
      </c>
      <c r="K49" s="221">
        <f t="shared" si="19"/>
        <v>0.38800000000000001</v>
      </c>
      <c r="L49" s="221">
        <f t="shared" si="20"/>
        <v>-0.17100000000000001</v>
      </c>
      <c r="M49" s="3">
        <v>-5.5E-2</v>
      </c>
      <c r="N49" s="3">
        <f t="shared" si="21"/>
        <v>2.7090000000000001</v>
      </c>
      <c r="P49" s="316" t="s">
        <v>180</v>
      </c>
      <c r="Q49" s="265">
        <v>-11</v>
      </c>
      <c r="R49" s="267"/>
      <c r="S49" s="266"/>
      <c r="T49" s="266">
        <v>-388</v>
      </c>
      <c r="U49" s="266">
        <v>171</v>
      </c>
      <c r="V49" s="267">
        <v>2709</v>
      </c>
      <c r="W49" s="268">
        <v>1200</v>
      </c>
      <c r="X49" s="9"/>
      <c r="Y49" s="551">
        <v>36.568600000000032</v>
      </c>
      <c r="Z49" s="551">
        <v>36.568600000000032</v>
      </c>
    </row>
    <row r="50" spans="2:26" x14ac:dyDescent="0.35">
      <c r="B50" s="8" t="s">
        <v>3</v>
      </c>
      <c r="C50" s="8">
        <f t="shared" si="22"/>
        <v>4.0657899999999998</v>
      </c>
      <c r="D50" s="8">
        <v>35.95252</v>
      </c>
      <c r="E50" s="5">
        <f t="shared" si="16"/>
        <v>7.1379999999999999</v>
      </c>
      <c r="F50" s="5">
        <v>4.0209999999999999</v>
      </c>
      <c r="G50" s="221">
        <f t="shared" si="17"/>
        <v>-1.04</v>
      </c>
      <c r="H50" s="3">
        <f t="shared" si="18"/>
        <v>0.13100000000000001</v>
      </c>
      <c r="I50">
        <v>0</v>
      </c>
      <c r="J50" s="222">
        <v>0</v>
      </c>
      <c r="K50" s="221">
        <f t="shared" si="19"/>
        <v>0.53600000000000003</v>
      </c>
      <c r="L50" s="221">
        <f t="shared" si="20"/>
        <v>-0.8</v>
      </c>
      <c r="M50" s="3">
        <v>0.254</v>
      </c>
      <c r="N50" s="3">
        <f t="shared" si="21"/>
        <v>4.1219999999999999</v>
      </c>
      <c r="P50" s="316" t="s">
        <v>181</v>
      </c>
      <c r="Q50" s="265">
        <v>131</v>
      </c>
      <c r="R50" s="267"/>
      <c r="S50" s="266"/>
      <c r="T50" s="266">
        <v>-536</v>
      </c>
      <c r="U50" s="266">
        <v>800</v>
      </c>
      <c r="V50" s="267">
        <v>4122</v>
      </c>
      <c r="W50" s="268">
        <v>1040</v>
      </c>
      <c r="X50" s="9"/>
      <c r="Y50" s="551">
        <v>36.568600000000032</v>
      </c>
      <c r="Z50" s="551">
        <v>36.568600000000032</v>
      </c>
    </row>
    <row r="51" spans="2:26" x14ac:dyDescent="0.35">
      <c r="B51" s="8" t="s">
        <v>4</v>
      </c>
      <c r="C51" s="8">
        <f t="shared" si="22"/>
        <v>1.3689099999999996</v>
      </c>
      <c r="D51" s="8">
        <v>37.321429999999999</v>
      </c>
      <c r="E51" s="5">
        <f t="shared" si="16"/>
        <v>8.6709999999999994</v>
      </c>
      <c r="F51" s="5">
        <v>1.5329999999999999</v>
      </c>
      <c r="G51" s="221">
        <f t="shared" si="17"/>
        <v>-1.0780000000000001</v>
      </c>
      <c r="H51" s="3">
        <f t="shared" si="18"/>
        <v>-0.22600000000000001</v>
      </c>
      <c r="I51">
        <v>0</v>
      </c>
      <c r="J51" s="222">
        <v>0</v>
      </c>
      <c r="K51" s="221">
        <f t="shared" si="19"/>
        <v>0.376</v>
      </c>
      <c r="L51" s="221">
        <f t="shared" si="20"/>
        <v>-0.56100000000000005</v>
      </c>
      <c r="M51" s="3">
        <v>0.129</v>
      </c>
      <c r="N51" s="3">
        <f t="shared" si="21"/>
        <v>1.879</v>
      </c>
      <c r="P51" s="316" t="s">
        <v>182</v>
      </c>
      <c r="Q51" s="265">
        <v>-226</v>
      </c>
      <c r="R51" s="267"/>
      <c r="S51" s="266"/>
      <c r="T51" s="266">
        <v>-376</v>
      </c>
      <c r="U51" s="266">
        <v>561</v>
      </c>
      <c r="V51" s="267">
        <v>1879</v>
      </c>
      <c r="W51" s="268">
        <v>1078</v>
      </c>
      <c r="X51" s="9"/>
      <c r="Y51" s="551">
        <v>36.568600000000032</v>
      </c>
      <c r="Z51" s="551">
        <v>36.568600000000032</v>
      </c>
    </row>
    <row r="52" spans="2:26" x14ac:dyDescent="0.35">
      <c r="B52" s="8" t="s">
        <v>5</v>
      </c>
      <c r="C52" s="8">
        <f t="shared" si="22"/>
        <v>1.7051200000000009</v>
      </c>
      <c r="D52" s="8">
        <v>39.02655</v>
      </c>
      <c r="E52" s="5">
        <f t="shared" si="16"/>
        <v>10.359</v>
      </c>
      <c r="F52" s="5">
        <v>1.6879999999999999</v>
      </c>
      <c r="G52" s="221">
        <f t="shared" si="17"/>
        <v>-0.751</v>
      </c>
      <c r="H52" s="3">
        <f t="shared" si="18"/>
        <v>-0.16200000000000001</v>
      </c>
      <c r="I52">
        <v>0</v>
      </c>
      <c r="J52" s="222">
        <v>0</v>
      </c>
      <c r="K52" s="221">
        <f t="shared" si="19"/>
        <v>0.39200000000000002</v>
      </c>
      <c r="L52" s="221">
        <f t="shared" si="20"/>
        <v>-0.96299999999999997</v>
      </c>
      <c r="M52" s="3">
        <v>0.69199999999999995</v>
      </c>
      <c r="N52" s="3">
        <f t="shared" si="21"/>
        <v>2.5339999999999998</v>
      </c>
      <c r="P52" s="316" t="s">
        <v>183</v>
      </c>
      <c r="Q52" s="266">
        <v>-162</v>
      </c>
      <c r="R52" s="267"/>
      <c r="S52" s="266"/>
      <c r="T52" s="266">
        <v>-392</v>
      </c>
      <c r="U52" s="266">
        <v>963</v>
      </c>
      <c r="V52" s="267">
        <v>2534</v>
      </c>
      <c r="W52" s="268">
        <v>751</v>
      </c>
      <c r="X52" s="9"/>
      <c r="Y52" s="551">
        <v>36.568600000000032</v>
      </c>
      <c r="Z52" s="551">
        <v>36.568600000000032</v>
      </c>
    </row>
    <row r="53" spans="2:26" x14ac:dyDescent="0.35">
      <c r="B53" s="8" t="s">
        <v>6</v>
      </c>
      <c r="C53" s="8">
        <f t="shared" si="22"/>
        <v>2.7110000000000056</v>
      </c>
      <c r="D53" s="8">
        <v>41.737550000000006</v>
      </c>
      <c r="E53" s="5">
        <f t="shared" si="16"/>
        <v>12.938000000000001</v>
      </c>
      <c r="F53" s="5">
        <v>2.5790000000000002</v>
      </c>
      <c r="G53" s="221">
        <f t="shared" si="17"/>
        <v>-0.55700000000000005</v>
      </c>
      <c r="H53" s="3">
        <f t="shared" si="18"/>
        <v>-0.998</v>
      </c>
      <c r="I53">
        <v>0</v>
      </c>
      <c r="J53" s="222">
        <v>0</v>
      </c>
      <c r="K53" s="221">
        <f t="shared" si="19"/>
        <v>0.66300000000000003</v>
      </c>
      <c r="L53" s="221">
        <f t="shared" si="20"/>
        <v>5.8000000000000003E-2</v>
      </c>
      <c r="M53" s="3">
        <v>-0.37</v>
      </c>
      <c r="N53" s="3">
        <f t="shared" si="21"/>
        <v>3.194</v>
      </c>
      <c r="P53" s="316" t="s">
        <v>184</v>
      </c>
      <c r="Q53" s="266">
        <v>-998</v>
      </c>
      <c r="R53" s="267"/>
      <c r="S53" s="266"/>
      <c r="T53" s="266">
        <v>-663</v>
      </c>
      <c r="U53" s="266">
        <v>-58</v>
      </c>
      <c r="V53" s="267">
        <v>3194</v>
      </c>
      <c r="W53" s="268">
        <v>557</v>
      </c>
      <c r="X53" s="9"/>
      <c r="Y53" s="551">
        <v>36.568600000000032</v>
      </c>
      <c r="Z53" s="551">
        <v>36.568600000000032</v>
      </c>
    </row>
    <row r="54" spans="2:26" x14ac:dyDescent="0.35">
      <c r="B54" s="8" t="s">
        <v>7</v>
      </c>
      <c r="C54" s="8">
        <f t="shared" si="22"/>
        <v>-1.3323500000000124</v>
      </c>
      <c r="D54" s="8">
        <v>40.405199999999994</v>
      </c>
      <c r="E54" s="5">
        <f t="shared" si="16"/>
        <v>11.641</v>
      </c>
      <c r="F54" s="5">
        <v>-1.2969999999999999</v>
      </c>
      <c r="G54" s="221">
        <f t="shared" si="17"/>
        <v>-0.65500000000000003</v>
      </c>
      <c r="H54" s="3">
        <f t="shared" si="18"/>
        <v>-2.391</v>
      </c>
      <c r="I54">
        <v>0</v>
      </c>
      <c r="J54" s="222">
        <v>0</v>
      </c>
      <c r="K54" s="221">
        <f t="shared" si="19"/>
        <v>0.44500000000000001</v>
      </c>
      <c r="L54" s="221">
        <f t="shared" si="20"/>
        <v>-0.53800000000000003</v>
      </c>
      <c r="M54" s="3">
        <v>0.28000000000000003</v>
      </c>
      <c r="N54" s="3">
        <f t="shared" si="21"/>
        <v>1.367</v>
      </c>
      <c r="P54" s="316" t="s">
        <v>185</v>
      </c>
      <c r="Q54" s="266">
        <v>-2391</v>
      </c>
      <c r="R54" s="267"/>
      <c r="S54" s="266"/>
      <c r="T54" s="266">
        <v>-445</v>
      </c>
      <c r="U54" s="266">
        <v>538</v>
      </c>
      <c r="V54" s="267">
        <v>1367</v>
      </c>
      <c r="W54" s="268">
        <v>655</v>
      </c>
      <c r="X54" s="9"/>
      <c r="Y54" s="551">
        <v>36.568600000000032</v>
      </c>
      <c r="Z54" s="551">
        <v>36.568600000000032</v>
      </c>
    </row>
    <row r="55" spans="2:26" x14ac:dyDescent="0.35">
      <c r="B55" s="8" t="s">
        <v>8</v>
      </c>
      <c r="C55" s="8">
        <f t="shared" si="22"/>
        <v>-0.68241999999999337</v>
      </c>
      <c r="D55" s="8">
        <v>39.72278</v>
      </c>
      <c r="E55" s="5">
        <f t="shared" si="16"/>
        <v>11.032</v>
      </c>
      <c r="F55" s="5">
        <v>-0.60899999999999999</v>
      </c>
      <c r="G55" s="221">
        <f t="shared" si="17"/>
        <v>-0.77100000000000002</v>
      </c>
      <c r="H55" s="3">
        <f t="shared" si="18"/>
        <v>-1.03</v>
      </c>
      <c r="I55">
        <v>0</v>
      </c>
      <c r="J55" s="222">
        <v>0</v>
      </c>
      <c r="K55" s="221">
        <f t="shared" si="19"/>
        <v>0.53200000000000003</v>
      </c>
      <c r="L55" s="221">
        <f t="shared" si="20"/>
        <v>-0.84299999999999997</v>
      </c>
      <c r="M55" s="3">
        <v>0.36099999999999999</v>
      </c>
      <c r="N55" s="3">
        <f t="shared" si="21"/>
        <v>0.77600000000000002</v>
      </c>
      <c r="P55" s="316" t="s">
        <v>186</v>
      </c>
      <c r="Q55" s="266">
        <v>-1030</v>
      </c>
      <c r="R55" s="267"/>
      <c r="S55" s="266"/>
      <c r="T55" s="266">
        <v>-532</v>
      </c>
      <c r="U55" s="266">
        <v>843</v>
      </c>
      <c r="V55" s="267">
        <v>776</v>
      </c>
      <c r="W55" s="268">
        <v>771</v>
      </c>
      <c r="X55" s="9"/>
      <c r="Y55" s="551">
        <v>36.568600000000032</v>
      </c>
      <c r="Z55" s="551">
        <v>36.568600000000032</v>
      </c>
    </row>
    <row r="56" spans="2:26" x14ac:dyDescent="0.35">
      <c r="B56" s="8" t="s">
        <v>9</v>
      </c>
      <c r="C56" s="8">
        <f t="shared" si="22"/>
        <v>-0.7355800000000059</v>
      </c>
      <c r="D56" s="8">
        <v>38.987199999999994</v>
      </c>
      <c r="E56" s="5">
        <f t="shared" si="16"/>
        <v>10.185</v>
      </c>
      <c r="F56" s="5">
        <v>-0.84699999999999998</v>
      </c>
      <c r="G56" s="221">
        <f t="shared" si="17"/>
        <v>-1.0900000000000001</v>
      </c>
      <c r="H56" s="3">
        <f t="shared" si="18"/>
        <v>-0.91200000000000003</v>
      </c>
      <c r="I56">
        <v>0</v>
      </c>
      <c r="J56" s="222">
        <v>0</v>
      </c>
      <c r="K56" s="221">
        <f t="shared" si="19"/>
        <v>0.17399999999999999</v>
      </c>
      <c r="L56" s="221">
        <f t="shared" si="20"/>
        <v>-1.6</v>
      </c>
      <c r="M56" s="3">
        <v>1.4019999999999999</v>
      </c>
      <c r="N56" s="3">
        <f t="shared" si="21"/>
        <v>1.458</v>
      </c>
      <c r="P56" s="316" t="s">
        <v>187</v>
      </c>
      <c r="Q56" s="266">
        <v>-912</v>
      </c>
      <c r="R56" s="267"/>
      <c r="S56" s="266"/>
      <c r="T56" s="268">
        <v>-174</v>
      </c>
      <c r="U56" s="266">
        <v>1600</v>
      </c>
      <c r="V56" s="267">
        <v>1458</v>
      </c>
      <c r="W56" s="268">
        <v>1090</v>
      </c>
      <c r="X56" s="9"/>
      <c r="Y56" s="551">
        <v>36.51895161290323</v>
      </c>
      <c r="Z56" s="551">
        <v>36.51895161290323</v>
      </c>
    </row>
    <row r="57" spans="2:26" x14ac:dyDescent="0.35">
      <c r="B57" s="8" t="s">
        <v>10</v>
      </c>
      <c r="C57" s="8">
        <f t="shared" si="22"/>
        <v>-0.19114999999999327</v>
      </c>
      <c r="D57" s="8">
        <v>38.796050000000001</v>
      </c>
      <c r="E57" s="5">
        <f t="shared" si="16"/>
        <v>9.83</v>
      </c>
      <c r="F57" s="5">
        <v>-0.35499999999999998</v>
      </c>
      <c r="G57" s="221">
        <f t="shared" si="17"/>
        <v>-1.1140000000000001</v>
      </c>
      <c r="H57" s="3">
        <f t="shared" si="18"/>
        <v>-1.5129999999999999</v>
      </c>
      <c r="I57">
        <v>0</v>
      </c>
      <c r="J57" s="222">
        <v>0</v>
      </c>
      <c r="K57" s="221">
        <f t="shared" si="19"/>
        <v>9.4E-2</v>
      </c>
      <c r="L57" s="221">
        <f t="shared" si="20"/>
        <v>-0.92800000000000005</v>
      </c>
      <c r="M57" s="3">
        <v>0.72399999999999998</v>
      </c>
      <c r="N57" s="3">
        <f t="shared" si="21"/>
        <v>1.873</v>
      </c>
      <c r="P57" s="316" t="s">
        <v>188</v>
      </c>
      <c r="Q57" s="266">
        <v>-1513</v>
      </c>
      <c r="R57" s="267"/>
      <c r="S57" s="266"/>
      <c r="T57" s="266">
        <v>-94</v>
      </c>
      <c r="U57" s="266">
        <v>928</v>
      </c>
      <c r="V57" s="267">
        <v>1873</v>
      </c>
      <c r="W57" s="268">
        <v>1114</v>
      </c>
      <c r="X57" s="9"/>
      <c r="Y57" s="551">
        <v>36.155420000000007</v>
      </c>
      <c r="Z57" s="551">
        <v>36.155420000000007</v>
      </c>
    </row>
    <row r="58" spans="2:26" ht="18.75" thickBot="1" x14ac:dyDescent="0.4">
      <c r="B58" s="8" t="s">
        <v>11</v>
      </c>
      <c r="C58" s="8">
        <f t="shared" si="22"/>
        <v>1.7118299999999991</v>
      </c>
      <c r="D58" s="8">
        <v>40.50788</v>
      </c>
      <c r="E58" s="224">
        <f t="shared" si="16"/>
        <v>10.976489052450317</v>
      </c>
      <c r="F58" s="5">
        <v>1.1464890524503166</v>
      </c>
      <c r="G58" s="221">
        <f t="shared" si="17"/>
        <v>-1.2</v>
      </c>
      <c r="H58" s="3">
        <f>Q58/1000</f>
        <v>-2.0619064704889984</v>
      </c>
      <c r="I58">
        <v>0</v>
      </c>
      <c r="J58" s="222">
        <v>0</v>
      </c>
      <c r="K58" s="221">
        <f t="shared" si="19"/>
        <v>0.33710870130221759</v>
      </c>
      <c r="L58" s="221">
        <f t="shared" si="20"/>
        <v>-1.8695323082133743</v>
      </c>
      <c r="M58" s="3">
        <v>1.6871736069111567</v>
      </c>
      <c r="N58" s="3">
        <f t="shared" si="21"/>
        <v>4.8955691298504718</v>
      </c>
      <c r="P58" s="316" t="s">
        <v>189</v>
      </c>
      <c r="Q58" s="269">
        <v>-2061.9064704889984</v>
      </c>
      <c r="R58" s="267"/>
      <c r="S58" s="269"/>
      <c r="T58" s="269">
        <v>-337.10870130221758</v>
      </c>
      <c r="U58" s="269">
        <v>1869.5323082133743</v>
      </c>
      <c r="V58" s="270">
        <v>4895.5691298504717</v>
      </c>
      <c r="W58" s="268">
        <v>1200</v>
      </c>
      <c r="X58" s="9"/>
      <c r="Y58" s="551">
        <v>37.093925806451622</v>
      </c>
      <c r="Z58" s="551">
        <v>37.093925806451622</v>
      </c>
    </row>
    <row r="59" spans="2:26" x14ac:dyDescent="0.35">
      <c r="B59" s="8"/>
      <c r="C59" s="8"/>
      <c r="E59" s="5"/>
    </row>
    <row r="60" spans="2:26" x14ac:dyDescent="0.35">
      <c r="B60" s="8"/>
      <c r="C60" s="8"/>
      <c r="E60" s="5"/>
    </row>
    <row r="61" spans="2:26" x14ac:dyDescent="0.35">
      <c r="B61" s="8"/>
      <c r="C61" s="8"/>
      <c r="E61" s="5"/>
    </row>
    <row r="66" spans="1:17" x14ac:dyDescent="0.35">
      <c r="Q66" s="5"/>
    </row>
    <row r="69" spans="1:17" ht="23.25" x14ac:dyDescent="0.35">
      <c r="A69" s="76"/>
      <c r="B69" s="1443">
        <v>2020</v>
      </c>
      <c r="C69" s="1444"/>
      <c r="D69" s="1444"/>
      <c r="E69" s="1444"/>
      <c r="F69" s="1444"/>
      <c r="G69" s="1444"/>
      <c r="H69" s="1444"/>
      <c r="I69" s="1444"/>
      <c r="J69" s="1444"/>
      <c r="K69" s="1444"/>
      <c r="L69" s="1444"/>
      <c r="M69" s="1445"/>
    </row>
    <row r="70" spans="1:17" ht="23.25" x14ac:dyDescent="0.35">
      <c r="A70" s="77"/>
      <c r="B70" s="75" t="s">
        <v>0</v>
      </c>
      <c r="C70" s="75" t="s">
        <v>1</v>
      </c>
      <c r="D70" s="75" t="s">
        <v>2</v>
      </c>
      <c r="E70" s="75" t="s">
        <v>3</v>
      </c>
      <c r="F70" s="75" t="s">
        <v>4</v>
      </c>
      <c r="G70" s="75" t="s">
        <v>5</v>
      </c>
      <c r="H70" s="75" t="s">
        <v>6</v>
      </c>
      <c r="I70" s="75" t="s">
        <v>7</v>
      </c>
      <c r="J70" s="75" t="s">
        <v>8</v>
      </c>
      <c r="K70" s="75" t="s">
        <v>9</v>
      </c>
      <c r="L70" s="75" t="s">
        <v>10</v>
      </c>
      <c r="M70" s="78" t="s">
        <v>11</v>
      </c>
    </row>
    <row r="71" spans="1:17" ht="24" x14ac:dyDescent="0.45">
      <c r="A71" s="82" t="s">
        <v>284</v>
      </c>
      <c r="B71" s="74">
        <f>('ПБ V-1 (fin min)'!T36)/1000</f>
        <v>0.27900000000000003</v>
      </c>
      <c r="C71" s="74">
        <f>('ПБ V-1 (fin min)'!U36)/1000</f>
        <v>0.32500000000000001</v>
      </c>
      <c r="D71" s="74">
        <f>('ПБ V-1 (fin min)'!V36)/1000</f>
        <v>0.36099999999999999</v>
      </c>
      <c r="E71" s="74">
        <f>('ПБ V-1 (fin min)'!W36)/1000</f>
        <v>0.45200000000000001</v>
      </c>
      <c r="F71" s="74">
        <f>('ПБ V-1 (fin min)'!X36)/1000</f>
        <v>0.61599999999999999</v>
      </c>
      <c r="G71" s="74">
        <f>('ПБ V-1 (fin min)'!Y36)/1000</f>
        <v>0.55500000000000005</v>
      </c>
      <c r="H71" s="74">
        <f>('ПБ V-1 (fin min)'!Z36)/1000</f>
        <v>0.52300000000000002</v>
      </c>
      <c r="I71" s="74">
        <f>('ПБ V-1 (fin min)'!AA36)/1000</f>
        <v>0.56999999999999995</v>
      </c>
      <c r="J71" s="74">
        <f>('ПБ V-1 (fin min)'!AB36)/1000</f>
        <v>0.28999999999999998</v>
      </c>
      <c r="K71" s="74">
        <f>('ПБ V-1 (fin min)'!AC36)/1000</f>
        <v>0.16900000000000001</v>
      </c>
      <c r="L71" s="74">
        <f>('ПБ V-1 (fin min)'!AD36)/1000</f>
        <v>0.30599999999999999</v>
      </c>
      <c r="M71" s="74">
        <f>('ПБ V-1 (fin min)'!AE36)/1000</f>
        <v>0.19600000000000001</v>
      </c>
      <c r="N71" s="317"/>
      <c r="O71" s="90"/>
    </row>
    <row r="72" spans="1:17" ht="24" x14ac:dyDescent="0.45">
      <c r="A72" s="82" t="s">
        <v>36</v>
      </c>
      <c r="B72" s="74">
        <f>('ПБ V-1 (fin min)'!Z4)/1000</f>
        <v>0.16</v>
      </c>
      <c r="C72" s="74">
        <f>('ПБ V-1 (fin min)'!AA4)/1000</f>
        <v>9.4E-2</v>
      </c>
      <c r="D72" s="74">
        <f>('ПБ V-1 (fin min)'!AB4)/1000</f>
        <v>-0.82099999999999995</v>
      </c>
      <c r="E72" s="74">
        <f>('ПБ V-1 (fin min)'!AC4)/1000</f>
        <v>1.4E-2</v>
      </c>
      <c r="F72" s="74">
        <f>('ПБ V-1 (fin min)'!AD4)/1000</f>
        <v>0.315</v>
      </c>
      <c r="G72" s="74">
        <f>('ПБ V-1 (fin min)'!AE4)/1000</f>
        <v>-0.18099999999999999</v>
      </c>
      <c r="H72" s="74">
        <f>('ПБ V-1 (fin min)'!AF4)/1000</f>
        <v>-0.66200000000000003</v>
      </c>
      <c r="I72" s="74">
        <f>('ПБ V-1 (fin min)'!AG4)/1000</f>
        <v>-6.2E-2</v>
      </c>
      <c r="J72" s="74">
        <f>('ПБ V-1 (fin min)'!AH4)/1000</f>
        <v>-0.91</v>
      </c>
      <c r="K72" s="74">
        <f>('ПБ V-1 (fin min)'!AI4)/1000</f>
        <v>-2.4E-2</v>
      </c>
      <c r="L72" s="74">
        <f>('ПБ V-1 (fin min)'!AJ4)/1000</f>
        <v>-0.65400000000000003</v>
      </c>
      <c r="M72" s="74">
        <f>('ПБ V-1 (fin min)'!AK4)/1000</f>
        <v>-0.53700000000000003</v>
      </c>
      <c r="N72" s="317"/>
      <c r="O72" s="90"/>
    </row>
    <row r="73" spans="1:17" ht="24" x14ac:dyDescent="0.45">
      <c r="A73" s="82" t="s">
        <v>37</v>
      </c>
      <c r="B73" s="74">
        <f>('ПБ V-1 (fin min)'!Z45+'ПБ V-1 (fin min)'!Z48)/1000</f>
        <v>0.31231701204466733</v>
      </c>
      <c r="C73" s="74">
        <f>('ПБ V-1 (fin min)'!AA45+'ПБ V-1 (fin min)'!AA48)/1000</f>
        <v>0.73612144676079994</v>
      </c>
      <c r="D73" s="74">
        <f>('ПБ V-1 (fin min)'!AB45+'ПБ V-1 (fin min)'!AB48)/1000</f>
        <v>1.4251222736259557</v>
      </c>
      <c r="E73" s="74">
        <f>('ПБ V-1 (fin min)'!AC45+'ПБ V-1 (fin min)'!AC48)/1000</f>
        <v>0.55381380857035445</v>
      </c>
      <c r="F73" s="74">
        <f>('ПБ V-1 (fin min)'!AD45+'ПБ V-1 (fin min)'!AD48)/1000</f>
        <v>0.76144597429400485</v>
      </c>
      <c r="G73" s="74">
        <f>('ПБ V-1 (fin min)'!AE45+'ПБ V-1 (fin min)'!AE48)/1000</f>
        <v>1.2214559569902557</v>
      </c>
      <c r="H73" s="74">
        <f>('ПБ V-1 (fin min)'!AF45+'ПБ V-1 (fin min)'!AF48)/1000</f>
        <v>0.39693143922253055</v>
      </c>
      <c r="I73" s="74">
        <f>('ПБ V-1 (fin min)'!AG45+'ПБ V-1 (fin min)'!AG48)/1000</f>
        <v>0.25739857643179997</v>
      </c>
      <c r="J73" s="74">
        <f>('ПБ V-1 (fin min)'!AH45+'ПБ V-1 (fin min)'!AH48)/1000</f>
        <v>3.0462339929218865</v>
      </c>
      <c r="K73" s="74">
        <f>('ПБ V-1 (fin min)'!AI45+'ПБ V-1 (fin min)'!AI48)/1000</f>
        <v>0.98884819682503866</v>
      </c>
      <c r="L73" s="74">
        <f>('ПБ V-1 (fin min)'!AJ45+'ПБ V-1 (fin min)'!AJ48)/1000</f>
        <v>0.57597455300308842</v>
      </c>
      <c r="M73" s="74">
        <f>('ПБ V-1 (fin min)'!AK45+'ПБ V-1 (fin min)'!AK48)/1000</f>
        <v>0.83640190187894858</v>
      </c>
      <c r="N73" s="317"/>
      <c r="O73" s="90"/>
    </row>
    <row r="74" spans="1:17" ht="24" x14ac:dyDescent="0.45">
      <c r="A74" s="82" t="s">
        <v>38</v>
      </c>
      <c r="B74" s="74">
        <v>0.50298984900225296</v>
      </c>
      <c r="C74" s="74">
        <v>1.3232053791098599</v>
      </c>
      <c r="D74" s="74">
        <v>-0.28591382971590401</v>
      </c>
      <c r="E74" s="74">
        <v>0.3</v>
      </c>
      <c r="F74" s="74">
        <v>0.3</v>
      </c>
      <c r="G74" s="74">
        <v>0.3</v>
      </c>
      <c r="H74" s="74">
        <v>0</v>
      </c>
      <c r="I74" s="74">
        <v>0</v>
      </c>
      <c r="J74" s="74">
        <v>0</v>
      </c>
      <c r="K74" s="74">
        <v>0</v>
      </c>
      <c r="L74" s="74">
        <v>0</v>
      </c>
      <c r="M74" s="79">
        <v>0</v>
      </c>
      <c r="N74" s="317"/>
      <c r="O74" s="90"/>
    </row>
    <row r="75" spans="1:17" ht="24" x14ac:dyDescent="0.45">
      <c r="A75" s="82" t="s">
        <v>39</v>
      </c>
      <c r="B75" s="74">
        <v>0.2</v>
      </c>
      <c r="C75" s="74">
        <v>0.3</v>
      </c>
      <c r="D75" s="74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0.25</v>
      </c>
      <c r="K75" s="88">
        <v>0.25</v>
      </c>
      <c r="L75" s="88">
        <v>0.25</v>
      </c>
      <c r="M75" s="89">
        <v>0.25</v>
      </c>
      <c r="N75" s="318"/>
      <c r="O75" s="90"/>
    </row>
    <row r="76" spans="1:17" ht="24" x14ac:dyDescent="0.45">
      <c r="A76" s="82" t="s">
        <v>40</v>
      </c>
      <c r="B76" s="74">
        <v>0</v>
      </c>
      <c r="C76" s="74">
        <v>-0.3</v>
      </c>
      <c r="D76" s="74">
        <v>0</v>
      </c>
      <c r="E76" s="74">
        <v>0</v>
      </c>
      <c r="F76" s="74">
        <v>0</v>
      </c>
      <c r="G76" s="74">
        <v>0</v>
      </c>
      <c r="H76" s="74">
        <v>0</v>
      </c>
      <c r="I76" s="74">
        <v>0</v>
      </c>
      <c r="J76" s="74">
        <v>0</v>
      </c>
      <c r="K76" s="74">
        <v>0</v>
      </c>
      <c r="L76" s="74">
        <v>0</v>
      </c>
      <c r="M76" s="79">
        <v>0</v>
      </c>
      <c r="N76" s="317"/>
      <c r="O76" s="90"/>
    </row>
    <row r="77" spans="1:17" ht="24" x14ac:dyDescent="0.45">
      <c r="A77" s="83" t="s">
        <v>82</v>
      </c>
      <c r="B77" s="74">
        <f>(B75+B76)</f>
        <v>0.2</v>
      </c>
      <c r="C77" s="74">
        <f t="shared" ref="C77:M77" si="23">(C75+C76)*$M$2</f>
        <v>0</v>
      </c>
      <c r="D77" s="88">
        <f t="shared" si="23"/>
        <v>0</v>
      </c>
      <c r="E77" s="88">
        <f t="shared" si="23"/>
        <v>0</v>
      </c>
      <c r="F77" s="88">
        <f t="shared" si="23"/>
        <v>0</v>
      </c>
      <c r="G77" s="88">
        <f t="shared" si="23"/>
        <v>0</v>
      </c>
      <c r="H77" s="88">
        <f t="shared" si="23"/>
        <v>0</v>
      </c>
      <c r="I77" s="88">
        <f t="shared" si="23"/>
        <v>0</v>
      </c>
      <c r="J77" s="88">
        <f t="shared" si="23"/>
        <v>0.25</v>
      </c>
      <c r="K77" s="88">
        <f t="shared" si="23"/>
        <v>0.25</v>
      </c>
      <c r="L77" s="88">
        <f t="shared" si="23"/>
        <v>0.25</v>
      </c>
      <c r="M77" s="89">
        <f t="shared" si="23"/>
        <v>0.25</v>
      </c>
      <c r="N77" s="318"/>
      <c r="O77" s="90"/>
    </row>
    <row r="78" spans="1:17" ht="24" x14ac:dyDescent="0.45">
      <c r="A78" s="82" t="s">
        <v>41</v>
      </c>
      <c r="B78" s="74">
        <v>1.1000000000000001</v>
      </c>
      <c r="C78" s="74">
        <v>0</v>
      </c>
      <c r="D78" s="74">
        <v>0</v>
      </c>
      <c r="E78" s="74">
        <v>0.33</v>
      </c>
      <c r="F78" s="74">
        <v>5.33</v>
      </c>
      <c r="G78" s="74">
        <v>0.33</v>
      </c>
      <c r="H78" s="74">
        <v>1</v>
      </c>
      <c r="I78" s="74">
        <v>0</v>
      </c>
      <c r="J78" s="74">
        <v>0</v>
      </c>
      <c r="K78" s="74">
        <v>0</v>
      </c>
      <c r="L78" s="74">
        <v>0</v>
      </c>
      <c r="M78" s="79">
        <v>0</v>
      </c>
      <c r="N78" s="317"/>
      <c r="O78" s="90"/>
    </row>
    <row r="79" spans="1:17" ht="66.75" customHeight="1" x14ac:dyDescent="0.35">
      <c r="A79" s="80" t="s">
        <v>35</v>
      </c>
      <c r="B79" s="84">
        <f t="shared" ref="B79:M79" si="24">SUM(B71:B78)-B75-B76</f>
        <v>2.5543068610469204</v>
      </c>
      <c r="C79" s="84">
        <f t="shared" si="24"/>
        <v>2.4783268258706599</v>
      </c>
      <c r="D79" s="84">
        <f t="shared" si="24"/>
        <v>0.67920844391005164</v>
      </c>
      <c r="E79" s="84">
        <f t="shared" si="24"/>
        <v>1.6498138085703546</v>
      </c>
      <c r="F79" s="84">
        <f t="shared" si="24"/>
        <v>7.3224459742940047</v>
      </c>
      <c r="G79" s="84">
        <f t="shared" si="24"/>
        <v>2.2254559569902557</v>
      </c>
      <c r="H79" s="84">
        <f t="shared" si="24"/>
        <v>1.2579314392225305</v>
      </c>
      <c r="I79" s="84">
        <f t="shared" si="24"/>
        <v>0.76539857643179998</v>
      </c>
      <c r="J79" s="84">
        <f t="shared" si="24"/>
        <v>2.6762339929218864</v>
      </c>
      <c r="K79" s="84">
        <f t="shared" si="24"/>
        <v>1.3838481968250387</v>
      </c>
      <c r="L79" s="84">
        <f t="shared" si="24"/>
        <v>0.47797455300308833</v>
      </c>
      <c r="M79" s="85">
        <f t="shared" si="24"/>
        <v>0.74540190187894861</v>
      </c>
      <c r="N79" s="319"/>
    </row>
    <row r="80" spans="1:17" ht="23.25" x14ac:dyDescent="0.35">
      <c r="A80" s="81" t="s">
        <v>83</v>
      </c>
      <c r="B80" s="86">
        <f>B79</f>
        <v>2.5543068610469204</v>
      </c>
      <c r="C80" s="86">
        <f t="shared" ref="C80:M80" si="25">B80+C79</f>
        <v>5.0326336869175803</v>
      </c>
      <c r="D80" s="86">
        <f t="shared" si="25"/>
        <v>5.7118421308276321</v>
      </c>
      <c r="E80" s="86">
        <f t="shared" si="25"/>
        <v>7.3616559393979868</v>
      </c>
      <c r="F80" s="86">
        <f t="shared" si="25"/>
        <v>14.684101913691991</v>
      </c>
      <c r="G80" s="86">
        <f t="shared" si="25"/>
        <v>16.909557870682246</v>
      </c>
      <c r="H80" s="86">
        <f t="shared" si="25"/>
        <v>18.167489309904777</v>
      </c>
      <c r="I80" s="86">
        <f t="shared" si="25"/>
        <v>18.932887886336577</v>
      </c>
      <c r="J80" s="86">
        <f t="shared" si="25"/>
        <v>21.609121879258463</v>
      </c>
      <c r="K80" s="86">
        <f t="shared" si="25"/>
        <v>22.992970076083502</v>
      </c>
      <c r="L80" s="86">
        <f t="shared" si="25"/>
        <v>23.470944629086588</v>
      </c>
      <c r="M80" s="87">
        <f t="shared" si="25"/>
        <v>24.216346530965538</v>
      </c>
      <c r="N80" s="319"/>
    </row>
    <row r="84" spans="1:40" x14ac:dyDescent="0.35">
      <c r="AB84" s="2">
        <v>2023</v>
      </c>
    </row>
    <row r="85" spans="1:40" ht="24" x14ac:dyDescent="0.35">
      <c r="A85" s="612" t="s">
        <v>240</v>
      </c>
      <c r="B85" s="612" t="s">
        <v>228</v>
      </c>
      <c r="C85" s="612" t="s">
        <v>229</v>
      </c>
      <c r="D85" s="612" t="s">
        <v>230</v>
      </c>
      <c r="E85" s="612" t="s">
        <v>231</v>
      </c>
      <c r="F85" s="612" t="s">
        <v>232</v>
      </c>
      <c r="G85" s="612" t="s">
        <v>233</v>
      </c>
      <c r="H85" s="612" t="s">
        <v>234</v>
      </c>
      <c r="I85" s="612" t="s">
        <v>235</v>
      </c>
      <c r="J85" s="612" t="s">
        <v>236</v>
      </c>
      <c r="K85" s="612" t="s">
        <v>237</v>
      </c>
      <c r="L85" s="612" t="s">
        <v>238</v>
      </c>
      <c r="M85" s="612" t="s">
        <v>239</v>
      </c>
      <c r="N85" s="612" t="s">
        <v>287</v>
      </c>
      <c r="O85" s="612" t="s">
        <v>228</v>
      </c>
      <c r="P85" s="612" t="s">
        <v>229</v>
      </c>
      <c r="Q85" s="612" t="s">
        <v>230</v>
      </c>
      <c r="R85" s="612" t="s">
        <v>231</v>
      </c>
      <c r="S85" s="612" t="s">
        <v>232</v>
      </c>
      <c r="T85" s="612" t="s">
        <v>233</v>
      </c>
      <c r="U85" s="612" t="s">
        <v>234</v>
      </c>
      <c r="V85" s="612" t="s">
        <v>235</v>
      </c>
      <c r="W85" s="612" t="s">
        <v>236</v>
      </c>
      <c r="X85" s="612" t="s">
        <v>237</v>
      </c>
      <c r="Y85" s="612" t="s">
        <v>238</v>
      </c>
      <c r="Z85" s="612" t="s">
        <v>239</v>
      </c>
      <c r="AA85" s="612" t="s">
        <v>287</v>
      </c>
      <c r="AB85" s="612" t="s">
        <v>228</v>
      </c>
      <c r="AC85" s="612" t="s">
        <v>229</v>
      </c>
      <c r="AD85" s="612" t="s">
        <v>230</v>
      </c>
      <c r="AE85" s="612" t="s">
        <v>231</v>
      </c>
      <c r="AF85" s="612" t="s">
        <v>232</v>
      </c>
      <c r="AG85" s="612" t="s">
        <v>233</v>
      </c>
      <c r="AH85" s="612" t="s">
        <v>234</v>
      </c>
      <c r="AI85" s="612" t="s">
        <v>235</v>
      </c>
      <c r="AJ85" s="612" t="s">
        <v>236</v>
      </c>
      <c r="AK85" s="612" t="s">
        <v>237</v>
      </c>
      <c r="AL85" s="612" t="s">
        <v>238</v>
      </c>
      <c r="AM85" s="612" t="s">
        <v>239</v>
      </c>
      <c r="AN85" s="612" t="s">
        <v>287</v>
      </c>
    </row>
    <row r="86" spans="1:40" ht="24" x14ac:dyDescent="0.35">
      <c r="A86" s="613" t="s">
        <v>241</v>
      </c>
      <c r="B86" s="615">
        <f t="array" ref="B86:M86">TRANSPOSE(H4:H15)</f>
        <v>0.16</v>
      </c>
      <c r="C86" s="615">
        <v>9.4E-2</v>
      </c>
      <c r="D86" s="615">
        <v>-0.82099999999999995</v>
      </c>
      <c r="E86" s="615">
        <v>1.4E-2</v>
      </c>
      <c r="F86" s="615">
        <v>0.315</v>
      </c>
      <c r="G86" s="615">
        <v>-0.18099999999999999</v>
      </c>
      <c r="H86" s="615">
        <v>-0.66200000000000003</v>
      </c>
      <c r="I86" s="615">
        <v>-6.2E-2</v>
      </c>
      <c r="J86" s="615">
        <v>-0.91</v>
      </c>
      <c r="K86" s="615">
        <v>-2.4E-2</v>
      </c>
      <c r="L86" s="615">
        <v>-0.65400000000000003</v>
      </c>
      <c r="M86" s="615">
        <v>-0.53700000000000003</v>
      </c>
      <c r="N86" s="615">
        <f>SUM(B86:M86)</f>
        <v>-3.2679999999999998</v>
      </c>
      <c r="O86" s="615">
        <f t="array" ref="O86:Z86">TRANSPOSE(H32:H43)</f>
        <v>0.60899999999999999</v>
      </c>
      <c r="P86" s="615">
        <v>2.1000000000000001E-2</v>
      </c>
      <c r="Q86" s="615">
        <v>1.387</v>
      </c>
      <c r="R86" s="615">
        <v>1.2030000000000001</v>
      </c>
      <c r="S86" s="615">
        <v>-0.20300000000000001</v>
      </c>
      <c r="T86" s="615">
        <v>-0.19800000000000001</v>
      </c>
      <c r="U86" s="615">
        <v>1.4059999999999999</v>
      </c>
      <c r="V86" s="615">
        <v>1.948</v>
      </c>
      <c r="W86" s="615">
        <v>1.6879999999999999</v>
      </c>
      <c r="X86" s="615">
        <v>-0.53700000000000003</v>
      </c>
      <c r="Y86" s="615">
        <v>0.375</v>
      </c>
      <c r="Z86" s="615">
        <v>0.27300000000000002</v>
      </c>
      <c r="AA86" s="615">
        <f>SUM(O86:Z86)</f>
        <v>7.9719999999999995</v>
      </c>
      <c r="AB86" s="615">
        <f t="array" ref="AB86:AM86">TRANSPOSE(H47:H58)</f>
        <v>-1.135</v>
      </c>
      <c r="AC86" s="615">
        <v>-0.70499999999999996</v>
      </c>
      <c r="AD86" s="615">
        <v>-1.0999999999999999E-2</v>
      </c>
      <c r="AE86" s="615">
        <v>0.13100000000000001</v>
      </c>
      <c r="AF86" s="615">
        <v>-0.22600000000000001</v>
      </c>
      <c r="AG86" s="615">
        <v>-0.16200000000000001</v>
      </c>
      <c r="AH86" s="615">
        <v>-0.998</v>
      </c>
      <c r="AI86" s="615">
        <v>-2.391</v>
      </c>
      <c r="AJ86" s="615">
        <v>-1.03</v>
      </c>
      <c r="AK86" s="615">
        <v>-0.91200000000000003</v>
      </c>
      <c r="AL86" s="615">
        <v>-1.5129999999999999</v>
      </c>
      <c r="AM86" s="615">
        <v>-2.0619064704889984</v>
      </c>
      <c r="AN86" s="615">
        <f>SUM(AB86:AM86)</f>
        <v>-11.013906470488998</v>
      </c>
    </row>
    <row r="87" spans="1:40" ht="24" x14ac:dyDescent="0.35">
      <c r="A87" s="614" t="s">
        <v>242</v>
      </c>
      <c r="B87" s="616">
        <f>-'ПБ V-1 (fin min)'!Z23/1000</f>
        <v>-0.71399999999999997</v>
      </c>
      <c r="C87" s="616">
        <f>-'ПБ V-1 (fin min)'!AA23/1000</f>
        <v>-0.27900000000000003</v>
      </c>
      <c r="D87" s="616">
        <f>-'ПБ V-1 (fin min)'!AB23/1000</f>
        <v>0.36</v>
      </c>
      <c r="E87" s="616">
        <f>-'ПБ V-1 (fin min)'!AC23/1000</f>
        <v>-0.33100000000000002</v>
      </c>
      <c r="F87" s="616">
        <f>-'ПБ V-1 (fin min)'!AD23/1000</f>
        <v>-0.78200000000000003</v>
      </c>
      <c r="G87" s="616">
        <f>-'ПБ V-1 (fin min)'!AE23/1000</f>
        <v>0</v>
      </c>
      <c r="H87" s="616">
        <f>-'ПБ V-1 (fin min)'!AF23/1000</f>
        <v>0.57399999999999995</v>
      </c>
      <c r="I87" s="616">
        <f>-'ПБ V-1 (fin min)'!AG23/1000</f>
        <v>0.27700000000000002</v>
      </c>
      <c r="J87" s="616">
        <f>-'ПБ V-1 (fin min)'!AH23/1000</f>
        <v>0.318</v>
      </c>
      <c r="K87" s="616">
        <f>-'ПБ V-1 (fin min)'!AI23/1000</f>
        <v>0.60799999999999998</v>
      </c>
      <c r="L87" s="616">
        <f>-'ПБ V-1 (fin min)'!AJ23/1000</f>
        <v>0.84799999999999998</v>
      </c>
      <c r="M87" s="616">
        <f>-'ПБ V-1 (fin min)'!AK23/1000</f>
        <v>0.433</v>
      </c>
      <c r="N87" s="616">
        <f>-'ПБ V-1 (fin min)'!CA23/1000</f>
        <v>5.5579999999999998</v>
      </c>
      <c r="O87" s="616">
        <f>-'ПБ V-1 (fin min)'!AL23/1000</f>
        <v>-1.8859999999999999</v>
      </c>
      <c r="P87" s="616">
        <f>-'ПБ V-1 (fin min)'!AM23/1000</f>
        <v>-1.1040000000000001</v>
      </c>
      <c r="Q87" s="616">
        <f>-'ПБ V-1 (fin min)'!AN23/1000</f>
        <v>-3.3490000000000002</v>
      </c>
      <c r="R87" s="616">
        <f>-'ПБ V-1 (fin min)'!AO23/1000</f>
        <v>-2.8639999999999999</v>
      </c>
      <c r="S87" s="616">
        <f>-'ПБ V-1 (fin min)'!AP23/1000</f>
        <v>-2.677</v>
      </c>
      <c r="T87" s="616">
        <f>-'ПБ V-1 (fin min)'!AQ23/1000</f>
        <v>-3.762</v>
      </c>
      <c r="U87" s="616">
        <f>-'ПБ V-1 (fin min)'!AR23/1000</f>
        <v>-1.532</v>
      </c>
      <c r="V87" s="616">
        <f>-'ПБ V-1 (fin min)'!AS23/1000</f>
        <v>-0.28199999999999997</v>
      </c>
      <c r="W87" s="616">
        <f>-'ПБ V-1 (fin min)'!AT23/1000</f>
        <v>-2.8969999999999998</v>
      </c>
      <c r="X87" s="616">
        <f>-'ПБ V-1 (fin min)'!AU23/1000</f>
        <v>-2.1150000000000002</v>
      </c>
      <c r="Y87" s="616">
        <f>-'ПБ V-1 (fin min)'!AV23/1000</f>
        <v>-0.45400000000000001</v>
      </c>
      <c r="Z87" s="616">
        <f>-'ПБ V-1 (fin min)'!AW23/1000</f>
        <v>-1.284</v>
      </c>
      <c r="AA87" s="616">
        <f>-'ПБ V-1 (fin min)'!CN23/1000</f>
        <v>0</v>
      </c>
      <c r="AB87" s="616">
        <f>-'ПБ V-1 (fin min)'!AX23/1000</f>
        <v>-1.052</v>
      </c>
      <c r="AC87" s="616">
        <f>-'ПБ V-1 (fin min)'!AY23/1000</f>
        <v>-0.39600000000000002</v>
      </c>
      <c r="AD87" s="616">
        <f>-'ПБ V-1 (fin min)'!AZ23/1000</f>
        <v>5.5E-2</v>
      </c>
      <c r="AE87" s="616">
        <f>-'ПБ V-1 (fin min)'!BA23/1000</f>
        <v>-0.254</v>
      </c>
      <c r="AF87" s="616">
        <f>-'ПБ V-1 (fin min)'!BB23/1000</f>
        <v>-0.129</v>
      </c>
      <c r="AG87" s="616">
        <f>-'ПБ V-1 (fin min)'!BC23/1000</f>
        <v>-0.69199999999999995</v>
      </c>
      <c r="AH87" s="616">
        <f>-'ПБ V-1 (fin min)'!BD23/1000</f>
        <v>0.37</v>
      </c>
      <c r="AI87" s="616">
        <f>-'ПБ V-1 (fin min)'!BE23/1000</f>
        <v>-0.28000000000000003</v>
      </c>
      <c r="AJ87" s="616">
        <f>-'ПБ V-1 (fin min)'!BF23/1000</f>
        <v>-0.36099999999999999</v>
      </c>
      <c r="AK87" s="616">
        <f>-'ПБ V-1 (fin min)'!BG23/1000</f>
        <v>-1.4019999999999999</v>
      </c>
      <c r="AL87" s="616">
        <f>-'ПБ V-1 (fin min)'!BH23/1000</f>
        <v>-0.72399999999999998</v>
      </c>
      <c r="AM87" s="616">
        <f>-'ПБ V-1 (fin min)'!BI23/1000</f>
        <v>-1.6871736069111567</v>
      </c>
      <c r="AN87" s="616">
        <f>-'ПБ V-1 (fin min)'!DA23/1000</f>
        <v>0</v>
      </c>
    </row>
    <row r="88" spans="1:40" ht="24" x14ac:dyDescent="0.35">
      <c r="A88" s="614" t="s">
        <v>243</v>
      </c>
      <c r="B88" s="616">
        <f>'ПБ V-1 (fin min)'!Z58/1000</f>
        <v>0.33300000000000002</v>
      </c>
      <c r="C88" s="616">
        <f>'ПБ V-1 (fin min)'!AA58/1000</f>
        <v>0.159</v>
      </c>
      <c r="D88" s="616">
        <f>'ПБ V-1 (fin min)'!AB58/1000</f>
        <v>-0.25600000000000001</v>
      </c>
      <c r="E88" s="616">
        <f>'ПБ V-1 (fin min)'!AC58/1000</f>
        <v>1.0229999999999999</v>
      </c>
      <c r="F88" s="616">
        <f>'ПБ V-1 (fin min)'!AD58/1000</f>
        <v>6.4000000000000001E-2</v>
      </c>
      <c r="G88" s="616">
        <f>'ПБ V-1 (fin min)'!AE58/1000</f>
        <v>0.78800000000000003</v>
      </c>
      <c r="H88" s="616">
        <f>'ПБ V-1 (fin min)'!AF58/1000</f>
        <v>0.376</v>
      </c>
      <c r="I88" s="616">
        <f>'ПБ V-1 (fin min)'!AG58/1000</f>
        <v>-0.34899999999999998</v>
      </c>
      <c r="J88" s="616">
        <f>'ПБ V-1 (fin min)'!AH58/1000</f>
        <v>-1.9450000000000001</v>
      </c>
      <c r="K88" s="616">
        <f>'ПБ V-1 (fin min)'!AI58/1000</f>
        <v>0.47399999999999998</v>
      </c>
      <c r="L88" s="616">
        <f>'ПБ V-1 (fin min)'!AJ58/1000</f>
        <v>0.16200000000000001</v>
      </c>
      <c r="M88" s="616">
        <f>'ПБ V-1 (fin min)'!AK58/1000</f>
        <v>0.45600000000000002</v>
      </c>
      <c r="N88" s="616">
        <f>SUM(B88:M88)</f>
        <v>1.2849999999999999</v>
      </c>
      <c r="O88" s="616">
        <f>'ПБ V-1 (fin min)'!AL58/1000</f>
        <v>-0.501</v>
      </c>
      <c r="P88" s="616">
        <f>'ПБ V-1 (fin min)'!AM58/1000</f>
        <v>-0.61599999999999999</v>
      </c>
      <c r="Q88" s="616">
        <f>'ПБ V-1 (fin min)'!AN58/1000</f>
        <v>2.64</v>
      </c>
      <c r="R88" s="616">
        <f>'ПБ V-1 (fin min)'!AO58/1000</f>
        <v>0.79100000000000004</v>
      </c>
      <c r="S88" s="616">
        <f>'ПБ V-1 (fin min)'!AP58/1000</f>
        <v>0.95599999999999996</v>
      </c>
      <c r="T88" s="616">
        <f>'ПБ V-1 (fin min)'!AQ58/1000</f>
        <v>1.73</v>
      </c>
      <c r="U88" s="616">
        <f>'ПБ V-1 (fin min)'!AR58/1000</f>
        <v>-0.19600000000000001</v>
      </c>
      <c r="V88" s="616">
        <f>'ПБ V-1 (fin min)'!AS58/1000</f>
        <v>1.4239999999999999</v>
      </c>
      <c r="W88" s="616">
        <f>'ПБ V-1 (fin min)'!AT58/1000</f>
        <v>-0.17199999999999999</v>
      </c>
      <c r="X88" s="616">
        <f>'ПБ V-1 (fin min)'!AU58/1000</f>
        <v>3.9</v>
      </c>
      <c r="Y88" s="616">
        <f>'ПБ V-1 (fin min)'!AV58/1000</f>
        <v>2.5019999999999998</v>
      </c>
      <c r="Z88" s="616">
        <f>'ПБ V-1 (fin min)'!AW58/1000</f>
        <v>1.325</v>
      </c>
      <c r="AA88" s="616">
        <f>SUM(O88:Z88)</f>
        <v>13.782999999999998</v>
      </c>
      <c r="AB88" s="616">
        <f>'ПБ V-1 (fin min)'!AX58/1000</f>
        <v>3.383</v>
      </c>
      <c r="AC88" s="616">
        <f>'ПБ V-1 (fin min)'!AY58/1000</f>
        <v>0.219</v>
      </c>
      <c r="AD88" s="616">
        <f>'ПБ V-1 (fin min)'!AZ58/1000</f>
        <v>2.7090000000000001</v>
      </c>
      <c r="AE88" s="616">
        <f>'ПБ V-1 (fin min)'!BA58/1000</f>
        <v>4.1219999999999999</v>
      </c>
      <c r="AF88" s="616">
        <f>'ПБ V-1 (fin min)'!BB58/1000</f>
        <v>1.879</v>
      </c>
      <c r="AG88" s="616">
        <f>'ПБ V-1 (fin min)'!BC58/1000</f>
        <v>2.5339999999999998</v>
      </c>
      <c r="AH88" s="616">
        <f>'ПБ V-1 (fin min)'!BD58/1000</f>
        <v>3.194</v>
      </c>
      <c r="AI88" s="616">
        <f>'ПБ V-1 (fin min)'!BE58/1000</f>
        <v>1.367</v>
      </c>
      <c r="AJ88" s="616">
        <f>'ПБ V-1 (fin min)'!BF58/1000</f>
        <v>0.77600000000000002</v>
      </c>
      <c r="AK88" s="616">
        <f>'ПБ V-1 (fin min)'!BG58/1000</f>
        <v>1.458</v>
      </c>
      <c r="AL88" s="616">
        <f>'ПБ V-1 (fin min)'!BH58/1000</f>
        <v>1.873</v>
      </c>
      <c r="AM88" s="616">
        <f>'ПБ V-1 (fin min)'!BI58/1000</f>
        <v>4.8955691298504718</v>
      </c>
      <c r="AN88" s="616">
        <f>SUM(AB88:AM88)</f>
        <v>28.409569129850471</v>
      </c>
    </row>
    <row r="89" spans="1:40" ht="62.85" customHeight="1" x14ac:dyDescent="0.35">
      <c r="A89" s="614" t="s">
        <v>286</v>
      </c>
      <c r="B89" s="616">
        <f>'ПБ V-1 (fin min)'!Z69/1000</f>
        <v>-0.26411701204466731</v>
      </c>
      <c r="C89" s="616">
        <f>'ПБ V-1 (fin min)'!AA69/1000</f>
        <v>-0.2794214467608</v>
      </c>
      <c r="D89" s="616">
        <f>'ПБ V-1 (fin min)'!AB69/1000</f>
        <v>-0.95112227362595569</v>
      </c>
      <c r="E89" s="616">
        <f>'ПБ V-1 (fin min)'!AC69/1000</f>
        <v>-0.43241380857035444</v>
      </c>
      <c r="F89" s="616">
        <f>'ПБ V-1 (fin min)'!AD69/1000</f>
        <v>-0.40774597429400478</v>
      </c>
      <c r="G89" s="616">
        <f>'ПБ V-1 (fin min)'!AE69/1000</f>
        <v>-0.49545595699025569</v>
      </c>
      <c r="H89" s="616">
        <f>'ПБ V-1 (fin min)'!AF69/1000</f>
        <v>-0.25693143922253059</v>
      </c>
      <c r="I89" s="616">
        <f>'ПБ V-1 (fin min)'!AG69/1000</f>
        <v>-0.12699857643179999</v>
      </c>
      <c r="J89" s="616">
        <f>'ПБ V-1 (fin min)'!AH69/1000</f>
        <v>-2.8293339929218866</v>
      </c>
      <c r="K89" s="616">
        <f>'ПБ V-1 (fin min)'!AI69/1000</f>
        <v>2.6651803174961238E-2</v>
      </c>
      <c r="L89" s="616">
        <f>'ПБ V-1 (fin min)'!AJ69/1000</f>
        <v>-0.32097455300308841</v>
      </c>
      <c r="M89" s="616">
        <f>'ПБ V-1 (fin min)'!AK69/1000</f>
        <v>2.1898098121051333E-2</v>
      </c>
      <c r="N89" s="616">
        <f>SUM(B89:M89)</f>
        <v>-6.3159651325693309</v>
      </c>
      <c r="O89" s="616">
        <f>'ПБ V-1 (fin min)'!AL69/1000</f>
        <v>0</v>
      </c>
      <c r="P89" s="616">
        <f>'ПБ V-1 (fin min)'!AM69/1000</f>
        <v>0</v>
      </c>
      <c r="Q89" s="616">
        <f>'ПБ V-1 (fin min)'!AN69/1000</f>
        <v>0</v>
      </c>
      <c r="R89" s="616">
        <f>'ПБ V-1 (fin min)'!AO69/1000</f>
        <v>0</v>
      </c>
      <c r="S89" s="616">
        <f>'ПБ V-1 (fin min)'!AP69/1000</f>
        <v>0</v>
      </c>
      <c r="T89" s="616">
        <f>'ПБ V-1 (fin min)'!AQ69/1000</f>
        <v>0</v>
      </c>
      <c r="U89" s="616">
        <f>'ПБ V-1 (fin min)'!AR69/1000</f>
        <v>0</v>
      </c>
      <c r="V89" s="616">
        <f>'ПБ V-1 (fin min)'!AS69/1000</f>
        <v>0</v>
      </c>
      <c r="W89" s="616">
        <f>'ПБ V-1 (fin min)'!AT69/1000</f>
        <v>0</v>
      </c>
      <c r="X89" s="616">
        <f>'ПБ V-1 (fin min)'!AU69/1000</f>
        <v>0</v>
      </c>
      <c r="Y89" s="616">
        <f>'ПБ V-1 (fin min)'!AV69/1000</f>
        <v>0</v>
      </c>
      <c r="Z89" s="616">
        <f>'ПБ V-1 (fin min)'!AW69/1000</f>
        <v>0</v>
      </c>
      <c r="AA89" s="616">
        <f>SUM(O89:Z89)</f>
        <v>0</v>
      </c>
      <c r="AB89" s="616">
        <f>'ПБ V-1 (fin min)'!AX69/1000</f>
        <v>0</v>
      </c>
      <c r="AC89" s="616">
        <f>'ПБ V-1 (fin min)'!AY69/1000</f>
        <v>0</v>
      </c>
      <c r="AD89" s="616">
        <f>'ПБ V-1 (fin min)'!AZ69/1000</f>
        <v>0</v>
      </c>
      <c r="AE89" s="616">
        <f>'ПБ V-1 (fin min)'!BA69/1000</f>
        <v>0</v>
      </c>
      <c r="AF89" s="616">
        <f>'ПБ V-1 (fin min)'!BB69/1000</f>
        <v>0</v>
      </c>
      <c r="AG89" s="616">
        <f>'ПБ V-1 (fin min)'!BC69/1000</f>
        <v>0</v>
      </c>
      <c r="AH89" s="616">
        <f>'ПБ V-1 (fin min)'!BD69/1000</f>
        <v>0</v>
      </c>
      <c r="AI89" s="616">
        <f>'ПБ V-1 (fin min)'!BE69/1000</f>
        <v>0</v>
      </c>
      <c r="AJ89" s="616">
        <f>'ПБ V-1 (fin min)'!BF69/1000</f>
        <v>0</v>
      </c>
      <c r="AK89" s="616">
        <f>'ПБ V-1 (fin min)'!BG69/1000</f>
        <v>0</v>
      </c>
      <c r="AL89" s="616">
        <f>'ПБ V-1 (fin min)'!BH69/1000</f>
        <v>0</v>
      </c>
      <c r="AM89" s="616">
        <f>'ПБ V-1 (fin min)'!BI69/1000</f>
        <v>0</v>
      </c>
      <c r="AN89" s="616">
        <f>SUM(AB89:AM89)</f>
        <v>0</v>
      </c>
    </row>
    <row r="90" spans="1:40" ht="54" customHeight="1" x14ac:dyDescent="0.35">
      <c r="A90" s="614" t="s">
        <v>288</v>
      </c>
      <c r="B90" s="616">
        <f t="array" ref="B90:M90">TRANSPOSE(F4:F15)</f>
        <v>-0.219</v>
      </c>
      <c r="C90" s="616">
        <v>-2.4E-2</v>
      </c>
      <c r="D90" s="616">
        <v>-0.71499999999999997</v>
      </c>
      <c r="E90" s="616">
        <v>0.70699999999999996</v>
      </c>
      <c r="F90" s="616">
        <v>-0.39800000000000002</v>
      </c>
      <c r="G90" s="616">
        <v>0.60799999999999998</v>
      </c>
      <c r="H90" s="616">
        <v>0.28999999999999998</v>
      </c>
      <c r="I90" s="616">
        <v>-0.13700000000000001</v>
      </c>
      <c r="J90" s="616">
        <v>-2.5379999999999998</v>
      </c>
      <c r="K90" s="616">
        <v>1.06</v>
      </c>
      <c r="L90" s="616">
        <v>0.35699999999999998</v>
      </c>
      <c r="M90" s="616">
        <v>0.35299999999999998</v>
      </c>
      <c r="N90" s="616">
        <f>SUM(B90:M90)</f>
        <v>-0.65599999999999969</v>
      </c>
      <c r="O90" s="616">
        <f t="array" ref="O90:Z90">TRANSPOSE(F32:F43)</f>
        <v>-1.762</v>
      </c>
      <c r="P90" s="616">
        <v>-1.6579999999999999</v>
      </c>
      <c r="Q90" s="616">
        <v>0.67900000000000005</v>
      </c>
      <c r="R90" s="616">
        <v>-0.86699999999999999</v>
      </c>
      <c r="S90" s="616">
        <v>-1.921</v>
      </c>
      <c r="T90" s="616">
        <v>-2.2200000000000002</v>
      </c>
      <c r="U90" s="616">
        <v>-0.29899999999999999</v>
      </c>
      <c r="V90" s="616">
        <v>3.105</v>
      </c>
      <c r="W90" s="616">
        <v>-1.375</v>
      </c>
      <c r="X90" s="616">
        <v>1.2509999999999999</v>
      </c>
      <c r="Y90" s="616">
        <v>2.4369999999999998</v>
      </c>
      <c r="Z90" s="616">
        <v>0.36199999999999999</v>
      </c>
      <c r="AA90" s="616">
        <f>SUM(O90:Z90)</f>
        <v>-2.2680000000000002</v>
      </c>
      <c r="AB90" s="616">
        <f t="array" ref="AB90:AM90">TRANSPOSE(F47:F58)</f>
        <v>1.208</v>
      </c>
      <c r="AC90" s="616">
        <v>-0.85599999999999998</v>
      </c>
      <c r="AD90" s="616">
        <v>2.7650000000000001</v>
      </c>
      <c r="AE90" s="616">
        <v>4.0209999999999999</v>
      </c>
      <c r="AF90" s="616">
        <v>1.5329999999999999</v>
      </c>
      <c r="AG90" s="616">
        <v>1.6879999999999999</v>
      </c>
      <c r="AH90" s="616">
        <v>2.5790000000000002</v>
      </c>
      <c r="AI90" s="616">
        <v>-1.2969999999999999</v>
      </c>
      <c r="AJ90" s="616">
        <v>-0.60899999999999999</v>
      </c>
      <c r="AK90" s="616">
        <v>-0.84699999999999998</v>
      </c>
      <c r="AL90" s="616">
        <v>-0.35499999999999998</v>
      </c>
      <c r="AM90" s="616">
        <v>1.1464890524503166</v>
      </c>
      <c r="AN90" s="616">
        <f>SUM(AB90:AM90)</f>
        <v>10.976489052450317</v>
      </c>
    </row>
    <row r="91" spans="1:40" ht="33.6" customHeight="1" x14ac:dyDescent="0.35">
      <c r="A91" s="614" t="s">
        <v>289</v>
      </c>
      <c r="B91" s="616">
        <f>'ПБ V-1 (fin min)'!Z93/1000</f>
        <v>-0.312</v>
      </c>
      <c r="C91" s="616">
        <f>'ПБ V-1 (fin min)'!AA93/1000</f>
        <v>-0.27800000000000002</v>
      </c>
      <c r="D91" s="616">
        <f>'ПБ V-1 (fin min)'!AB93/1000</f>
        <v>-1.508</v>
      </c>
      <c r="E91" s="616">
        <f>'ПБ V-1 (fin min)'!AC93/1000</f>
        <v>0.96499999999999997</v>
      </c>
      <c r="F91" s="616">
        <f>'ПБ V-1 (fin min)'!AD93/1000</f>
        <v>-0.16</v>
      </c>
      <c r="G91" s="616">
        <f>'ПБ V-1 (fin min)'!AE93/1000</f>
        <v>0.51770000000000072</v>
      </c>
      <c r="H91" s="616">
        <f>'ПБ V-1 (fin min)'!AF93/1000</f>
        <v>0.59329999999999927</v>
      </c>
      <c r="I91" s="616">
        <f>'ПБ V-1 (fin min)'!AG93/1000</f>
        <v>2.6629999999999998</v>
      </c>
      <c r="J91" s="616">
        <f>'ПБ V-1 (fin min)'!AH93/1000</f>
        <v>-2.9079999999999999</v>
      </c>
      <c r="K91" s="616">
        <f>'ПБ V-1 (fin min)'!AI93/1000</f>
        <v>0.94799999999999995</v>
      </c>
      <c r="L91" s="616">
        <f>'ПБ V-1 (fin min)'!AJ93/1000</f>
        <v>0.94399999999999995</v>
      </c>
      <c r="M91" s="616">
        <f>'ПБ V-1 (fin min)'!AK93/1000</f>
        <v>-0.1525</v>
      </c>
      <c r="N91" s="616">
        <f>SUM(B91:M91)</f>
        <v>1.3124999999999998</v>
      </c>
      <c r="O91" s="616">
        <f>'ПБ V-1 (fin min)'!AL93/1000</f>
        <v>0</v>
      </c>
      <c r="P91" s="616">
        <f>'ПБ V-1 (fin min)'!AM93/1000</f>
        <v>0</v>
      </c>
      <c r="Q91" s="616">
        <f>'ПБ V-1 (fin min)'!AN93/1000</f>
        <v>0</v>
      </c>
      <c r="R91" s="616">
        <f>'ПБ V-1 (fin min)'!AO93/1000</f>
        <v>0</v>
      </c>
      <c r="S91" s="616">
        <f>'ПБ V-1 (fin min)'!AP93/1000</f>
        <v>0</v>
      </c>
      <c r="T91" s="616">
        <f>'ПБ V-1 (fin min)'!AQ93/1000</f>
        <v>0</v>
      </c>
      <c r="U91" s="616">
        <f>'ПБ V-1 (fin min)'!AR93/1000</f>
        <v>0</v>
      </c>
      <c r="V91" s="616">
        <f>'ПБ V-1 (fin min)'!AS93/1000</f>
        <v>0</v>
      </c>
      <c r="W91" s="616">
        <f>'ПБ V-1 (fin min)'!AT93/1000</f>
        <v>0</v>
      </c>
      <c r="X91" s="616">
        <f>'ПБ V-1 (fin min)'!AU93/1000</f>
        <v>0</v>
      </c>
      <c r="Y91" s="616">
        <f>'ПБ V-1 (fin min)'!AV93/1000</f>
        <v>0</v>
      </c>
      <c r="Z91" s="616">
        <f>'ПБ V-1 (fin min)'!AW93/1000</f>
        <v>0</v>
      </c>
      <c r="AA91" s="616">
        <f>SUM(O91:Z91)</f>
        <v>0</v>
      </c>
      <c r="AB91" s="616">
        <f>'ПБ V-1 (fin min)'!AX93/1000</f>
        <v>0</v>
      </c>
      <c r="AC91" s="616">
        <f>'ПБ V-1 (fin min)'!AY93/1000</f>
        <v>0</v>
      </c>
      <c r="AD91" s="616">
        <f>'ПБ V-1 (fin min)'!AZ93/1000</f>
        <v>0</v>
      </c>
      <c r="AE91" s="616">
        <f>'ПБ V-1 (fin min)'!BA93/1000</f>
        <v>0</v>
      </c>
      <c r="AF91" s="616">
        <f>'ПБ V-1 (fin min)'!BB93/1000</f>
        <v>0</v>
      </c>
      <c r="AG91" s="616">
        <f>'ПБ V-1 (fin min)'!BC93/1000</f>
        <v>0</v>
      </c>
      <c r="AH91" s="616">
        <f>'ПБ V-1 (fin min)'!BD93/1000</f>
        <v>0</v>
      </c>
      <c r="AI91" s="616">
        <f>'ПБ V-1 (fin min)'!BE93/1000</f>
        <v>0</v>
      </c>
      <c r="AJ91" s="616">
        <f>'ПБ V-1 (fin min)'!BF93/1000</f>
        <v>0</v>
      </c>
      <c r="AK91" s="616">
        <f>'ПБ V-1 (fin min)'!BG93/1000</f>
        <v>0</v>
      </c>
      <c r="AL91" s="616">
        <f>'ПБ V-1 (fin min)'!BH93/1000</f>
        <v>0</v>
      </c>
      <c r="AM91" s="616" t="e">
        <f>'ПБ V-1 (fin min)'!BI93/1000</f>
        <v>#VALUE!</v>
      </c>
      <c r="AN91" s="616" t="e">
        <f>SUM(AB91:AM91)</f>
        <v>#VALUE!</v>
      </c>
    </row>
    <row r="92" spans="1:40" ht="24" x14ac:dyDescent="0.35">
      <c r="A92" s="613" t="s">
        <v>245</v>
      </c>
      <c r="B92" s="615">
        <f t="array" ref="B92:M92">TRANSPOSE(C4:C15)</f>
        <v>-0.312</v>
      </c>
      <c r="C92" s="615">
        <v>-0.59000000000000008</v>
      </c>
      <c r="D92" s="615">
        <v>-2.0979999999999999</v>
      </c>
      <c r="E92" s="615">
        <v>-1.133</v>
      </c>
      <c r="F92" s="615">
        <v>-1.2929999999999999</v>
      </c>
      <c r="G92" s="615">
        <v>-0.77529999999999921</v>
      </c>
      <c r="H92" s="615">
        <v>-0.18199999999999994</v>
      </c>
      <c r="I92" s="615">
        <v>2.4809999999999999</v>
      </c>
      <c r="J92" s="615">
        <v>-0.42700000000000005</v>
      </c>
      <c r="K92" s="615">
        <v>0.52099999999999991</v>
      </c>
      <c r="L92" s="615">
        <v>1.986</v>
      </c>
      <c r="M92" s="615">
        <v>3.2984999999999998</v>
      </c>
      <c r="N92" s="616"/>
      <c r="O92" s="615">
        <f t="array" ref="O92:Z92">TRANSPOSE(C32:C43)</f>
        <v>0</v>
      </c>
      <c r="P92" s="615">
        <v>0</v>
      </c>
      <c r="Q92" s="615">
        <v>0</v>
      </c>
      <c r="R92" s="615">
        <v>0</v>
      </c>
      <c r="S92" s="615">
        <v>0</v>
      </c>
      <c r="T92" s="615">
        <v>0</v>
      </c>
      <c r="U92" s="615">
        <v>0</v>
      </c>
      <c r="V92" s="615">
        <v>0</v>
      </c>
      <c r="W92" s="615">
        <v>0</v>
      </c>
      <c r="X92" s="615">
        <v>0</v>
      </c>
      <c r="Y92" s="615">
        <v>0</v>
      </c>
      <c r="Z92" s="615">
        <v>0</v>
      </c>
      <c r="AA92" s="616"/>
      <c r="AB92" s="615">
        <f t="array" ref="AB92:AM92">TRANSPOSE(C47:C58)</f>
        <v>1.4342100000000002</v>
      </c>
      <c r="AC92" s="615">
        <v>-1.0585699999999996</v>
      </c>
      <c r="AD92" s="615">
        <v>3.0170899999999996</v>
      </c>
      <c r="AE92" s="615">
        <v>4.0657899999999998</v>
      </c>
      <c r="AF92" s="615">
        <v>1.3689099999999996</v>
      </c>
      <c r="AG92" s="615">
        <v>1.7051200000000009</v>
      </c>
      <c r="AH92" s="615">
        <v>2.7110000000000056</v>
      </c>
      <c r="AI92" s="615">
        <v>-1.3323500000000124</v>
      </c>
      <c r="AJ92" s="615">
        <v>-0.68241999999999337</v>
      </c>
      <c r="AK92" s="615">
        <v>-0.7355800000000059</v>
      </c>
      <c r="AL92" s="615">
        <v>-0.19114999999999327</v>
      </c>
      <c r="AM92" s="615">
        <v>1.7118299999999991</v>
      </c>
      <c r="AN92" s="616"/>
    </row>
    <row r="93" spans="1:40" x14ac:dyDescent="0.35">
      <c r="A93" s="2"/>
    </row>
    <row r="94" spans="1:40" x14ac:dyDescent="0.35">
      <c r="A94" s="2"/>
    </row>
    <row r="95" spans="1:40" x14ac:dyDescent="0.35">
      <c r="A95" s="2"/>
    </row>
    <row r="96" spans="1:40" x14ac:dyDescent="0.35">
      <c r="A96" s="2"/>
    </row>
    <row r="97" spans="1:40" ht="18.75" thickBot="1" x14ac:dyDescent="0.4">
      <c r="A97" s="2"/>
      <c r="B97" s="2">
        <v>2021</v>
      </c>
      <c r="O97" s="2">
        <v>2022</v>
      </c>
      <c r="AB97" s="2">
        <v>2023</v>
      </c>
    </row>
    <row r="98" spans="1:40" ht="24.75" thickBot="1" x14ac:dyDescent="0.4">
      <c r="A98" s="617" t="s">
        <v>254</v>
      </c>
      <c r="B98" s="618">
        <v>1</v>
      </c>
      <c r="C98" s="618">
        <v>2</v>
      </c>
      <c r="D98" s="618">
        <v>3</v>
      </c>
      <c r="E98" s="619">
        <v>4</v>
      </c>
      <c r="F98" s="618">
        <v>5</v>
      </c>
      <c r="G98" s="618">
        <v>6</v>
      </c>
      <c r="H98" s="618">
        <v>7</v>
      </c>
      <c r="I98" s="618">
        <v>8</v>
      </c>
      <c r="J98" s="618">
        <v>9</v>
      </c>
      <c r="K98" s="618">
        <v>10</v>
      </c>
      <c r="L98" s="618">
        <v>11</v>
      </c>
      <c r="M98" s="618">
        <v>12</v>
      </c>
      <c r="N98" s="632" t="s">
        <v>255</v>
      </c>
      <c r="O98" s="618">
        <v>1</v>
      </c>
      <c r="P98" s="618">
        <v>2</v>
      </c>
      <c r="Q98" s="618">
        <v>3</v>
      </c>
      <c r="R98" s="619">
        <v>4</v>
      </c>
      <c r="S98" s="618">
        <v>5</v>
      </c>
      <c r="T98" s="618">
        <v>6</v>
      </c>
      <c r="U98" s="618">
        <v>7</v>
      </c>
      <c r="V98" s="618">
        <v>8</v>
      </c>
      <c r="W98" s="618">
        <v>9</v>
      </c>
      <c r="X98" s="618">
        <v>10</v>
      </c>
      <c r="Y98" s="618">
        <v>11</v>
      </c>
      <c r="Z98" s="618">
        <v>12</v>
      </c>
      <c r="AA98" s="632" t="s">
        <v>255</v>
      </c>
      <c r="AB98" s="618">
        <v>1</v>
      </c>
      <c r="AC98" s="618">
        <v>2</v>
      </c>
      <c r="AD98" s="618">
        <v>3</v>
      </c>
      <c r="AE98" s="619">
        <v>4</v>
      </c>
      <c r="AF98" s="618">
        <v>5</v>
      </c>
      <c r="AG98" s="618">
        <v>6</v>
      </c>
      <c r="AH98" s="618">
        <v>7</v>
      </c>
      <c r="AI98" s="618">
        <v>8</v>
      </c>
      <c r="AJ98" s="618">
        <v>9</v>
      </c>
      <c r="AK98" s="618">
        <v>10</v>
      </c>
      <c r="AL98" s="618">
        <v>11</v>
      </c>
      <c r="AM98" s="618">
        <v>12</v>
      </c>
      <c r="AN98" s="632" t="s">
        <v>255</v>
      </c>
    </row>
    <row r="99" spans="1:40" ht="24.75" thickBot="1" x14ac:dyDescent="0.4">
      <c r="A99" s="620" t="s">
        <v>14</v>
      </c>
      <c r="B99" s="624">
        <f>'ПБ V-1 (fin min)'!Z45</f>
        <v>223.04911366733418</v>
      </c>
      <c r="C99" s="624">
        <f>'ПБ V-1 (fin min)'!AA45</f>
        <v>611.01126452139999</v>
      </c>
      <c r="D99" s="624">
        <f>'ПБ V-1 (fin min)'!AB45</f>
        <v>835.1464610214</v>
      </c>
      <c r="E99" s="624">
        <f>'ПБ V-1 (fin min)'!AC45</f>
        <v>413.25761551163623</v>
      </c>
      <c r="F99" s="624">
        <f>'ПБ V-1 (fin min)'!AD45</f>
        <v>610.15464745340478</v>
      </c>
      <c r="G99" s="624">
        <f>'ПБ V-1 (fin min)'!AE45</f>
        <v>1082.5139003398453</v>
      </c>
      <c r="H99" s="624">
        <f>'ПБ V-1 (fin min)'!AF45</f>
        <v>387.31471672253059</v>
      </c>
      <c r="I99" s="624">
        <f>'ПБ V-1 (fin min)'!AG45</f>
        <v>141.43826452139999</v>
      </c>
      <c r="J99" s="624">
        <f>'ПБ V-1 (fin min)'!AH45</f>
        <v>2484.4244610214</v>
      </c>
      <c r="K99" s="624">
        <f>'ПБ V-1 (fin min)'!AI45</f>
        <v>932.08863155143467</v>
      </c>
      <c r="L99" s="624">
        <f>'ПБ V-1 (fin min)'!AJ45</f>
        <v>376.56089952748846</v>
      </c>
      <c r="M99" s="624">
        <f>'ПБ V-1 (fin min)'!AK45</f>
        <v>780.66109759809422</v>
      </c>
      <c r="N99" s="624">
        <f t="shared" ref="N99:N112" si="26">SUM(B99:M99)</f>
        <v>8877.6210734573688</v>
      </c>
      <c r="O99" s="624">
        <f>'ПБ V-1 (fin min)'!AL45</f>
        <v>210.12870603870516</v>
      </c>
      <c r="P99" s="624">
        <f>'ПБ V-1 (fin min)'!AM45</f>
        <v>1007.2258913571011</v>
      </c>
      <c r="Q99" s="624">
        <f>'ПБ V-1 (fin min)'!AN45</f>
        <v>722.01341986</v>
      </c>
      <c r="R99" s="624">
        <f>'ПБ V-1 (fin min)'!AO45</f>
        <v>700.90778221426115</v>
      </c>
      <c r="S99" s="624">
        <f>'ПБ V-1 (fin min)'!AP45</f>
        <v>76.284796024597568</v>
      </c>
      <c r="T99" s="624">
        <f>'ПБ V-1 (fin min)'!AQ45</f>
        <v>832.36919319999993</v>
      </c>
      <c r="U99" s="624">
        <f>'ПБ V-1 (fin min)'!AR45</f>
        <v>618.56100000000004</v>
      </c>
      <c r="V99" s="624">
        <f>'ПБ V-1 (fin min)'!AS45</f>
        <v>139.88183285999997</v>
      </c>
      <c r="W99" s="624">
        <f>'ПБ V-1 (fin min)'!AT45</f>
        <v>624.6</v>
      </c>
      <c r="X99" s="624">
        <f>'ПБ V-1 (fin min)'!AU45</f>
        <v>635.3420000000001</v>
      </c>
      <c r="Y99" s="624">
        <f>'ПБ V-1 (fin min)'!AV45</f>
        <v>864.41679590905778</v>
      </c>
      <c r="Z99" s="624">
        <f>'ПБ V-1 (fin min)'!AW45</f>
        <v>999.53249999999991</v>
      </c>
      <c r="AA99" s="624">
        <f t="shared" ref="AA99:AA112" si="27">SUM(O99:Z99)</f>
        <v>7431.2639174637234</v>
      </c>
      <c r="AB99" s="624">
        <f>'ПБ V-1 (fin min)'!AX45</f>
        <v>41.408951400108251</v>
      </c>
      <c r="AC99" s="624">
        <f>'ПБ V-1 (fin min)'!AY45</f>
        <v>487.88531260671675</v>
      </c>
      <c r="AD99" s="624">
        <f>'ПБ V-1 (fin min)'!AZ45</f>
        <v>1039.0232640240802</v>
      </c>
      <c r="AE99" s="624">
        <f>'ПБ V-1 (fin min)'!BA45</f>
        <v>351.92318522408004</v>
      </c>
      <c r="AF99" s="624">
        <f>'ПБ V-1 (fin min)'!BB45</f>
        <v>802.93064949656195</v>
      </c>
      <c r="AG99" s="624">
        <f>'ПБ V-1 (fin min)'!BC45</f>
        <v>753.61934500000007</v>
      </c>
      <c r="AH99" s="624">
        <f>'ПБ V-1 (fin min)'!BD45</f>
        <v>350.37043393020213</v>
      </c>
      <c r="AI99" s="624">
        <f>'ПБ V-1 (fin min)'!BE45</f>
        <v>197.55381514906213</v>
      </c>
      <c r="AJ99" s="624">
        <f>'ПБ V-1 (fin min)'!BF45</f>
        <v>1275.36726402408</v>
      </c>
      <c r="AK99" s="624">
        <f>'ПБ V-1 (fin min)'!BG45</f>
        <v>789.61118522407992</v>
      </c>
      <c r="AL99" s="624">
        <f>'ПБ V-1 (fin min)'!BH45</f>
        <v>70.97226181622635</v>
      </c>
      <c r="AM99" s="624">
        <f>'ПБ V-1 (fin min)'!BI45</f>
        <v>581.93700000000001</v>
      </c>
      <c r="AN99" s="624">
        <f t="shared" ref="AN99:AN112" si="28">SUM(AB99:AM99)</f>
        <v>6742.6026678951976</v>
      </c>
    </row>
    <row r="100" spans="1:40" ht="24.75" thickBot="1" x14ac:dyDescent="0.4">
      <c r="A100" s="621" t="s">
        <v>15</v>
      </c>
      <c r="B100" s="625">
        <f>'ПБ V-1 (fin min)'!Z46</f>
        <v>35.709113667334179</v>
      </c>
      <c r="C100" s="625">
        <f>'ПБ V-1 (fin min)'!AA46</f>
        <v>141.43826452139999</v>
      </c>
      <c r="D100" s="625">
        <f>'ПБ V-1 (fin min)'!AB46</f>
        <v>509.9614610214</v>
      </c>
      <c r="E100" s="625">
        <f>'ПБ V-1 (fin min)'!AC46</f>
        <v>47.380615511636222</v>
      </c>
      <c r="F100" s="625">
        <f>'ПБ V-1 (fin min)'!AD46</f>
        <v>96.936247453404803</v>
      </c>
      <c r="G100" s="625">
        <f>'ПБ V-1 (fin min)'!AE46</f>
        <v>276.32790033984543</v>
      </c>
      <c r="H100" s="625">
        <f>'ПБ V-1 (fin min)'!AF46</f>
        <v>37.615716722530635</v>
      </c>
      <c r="I100" s="625">
        <f>'ПБ V-1 (fin min)'!AG46</f>
        <v>141.43826452139999</v>
      </c>
      <c r="J100" s="625">
        <f>'ПБ V-1 (fin min)'!AH46</f>
        <v>2484.4244610214</v>
      </c>
      <c r="K100" s="625">
        <f>'ПБ V-1 (fin min)'!AI46</f>
        <v>270.74063155143466</v>
      </c>
      <c r="L100" s="625">
        <f>'ПБ V-1 (fin min)'!AJ46</f>
        <v>119.72849952748851</v>
      </c>
      <c r="M100" s="625">
        <f>'ПБ V-1 (fin min)'!AK46</f>
        <v>208.10509759809429</v>
      </c>
      <c r="N100" s="626">
        <f t="shared" si="26"/>
        <v>4369.8062734573687</v>
      </c>
      <c r="O100" s="625">
        <f>'ПБ V-1 (fin min)'!AL46</f>
        <v>33.534706038705167</v>
      </c>
      <c r="P100" s="625">
        <f>'ПБ V-1 (fin min)'!AM46</f>
        <v>247.5693390571011</v>
      </c>
      <c r="Q100" s="625">
        <f>'ПБ V-1 (fin min)'!AN46</f>
        <v>681.84968286000003</v>
      </c>
      <c r="R100" s="625">
        <f>'ПБ V-1 (fin min)'!AO46</f>
        <v>296.91778221426114</v>
      </c>
      <c r="S100" s="625">
        <f>'ПБ V-1 (fin min)'!AP46</f>
        <v>76.284796024597568</v>
      </c>
      <c r="T100" s="625">
        <f>'ПБ V-1 (fin min)'!AQ46</f>
        <v>177.5</v>
      </c>
      <c r="U100" s="625">
        <f>'ПБ V-1 (fin min)'!AR46</f>
        <v>0</v>
      </c>
      <c r="V100" s="625">
        <f>'ПБ V-1 (fin min)'!AS46</f>
        <v>139.88183285999997</v>
      </c>
      <c r="W100" s="625">
        <f>'ПБ V-1 (fin min)'!AT46</f>
        <v>624.6</v>
      </c>
      <c r="X100" s="625">
        <f>'ПБ V-1 (fin min)'!AU46</f>
        <v>84.5</v>
      </c>
      <c r="Y100" s="625">
        <f>'ПБ V-1 (fin min)'!AV46</f>
        <v>864.41679590905778</v>
      </c>
      <c r="Z100" s="625">
        <f>'ПБ V-1 (fin min)'!AW46</f>
        <v>163.60749999999999</v>
      </c>
      <c r="AA100" s="626">
        <f t="shared" si="27"/>
        <v>3390.6624349637227</v>
      </c>
      <c r="AB100" s="625">
        <f>'ПБ V-1 (fin min)'!AX46</f>
        <v>41.408951400108251</v>
      </c>
      <c r="AC100" s="625">
        <f>'ПБ V-1 (fin min)'!AY46</f>
        <v>140.6103126067168</v>
      </c>
      <c r="AD100" s="625">
        <f>'ПБ V-1 (fin min)'!AZ46</f>
        <v>637.55826402408002</v>
      </c>
      <c r="AE100" s="625">
        <f>'ПБ V-1 (fin min)'!BA46</f>
        <v>81.220185224080012</v>
      </c>
      <c r="AF100" s="625">
        <f>'ПБ V-1 (fin min)'!BB46</f>
        <v>77.04259989656191</v>
      </c>
      <c r="AG100" s="625">
        <f>'ПБ V-1 (fin min)'!BC46</f>
        <v>165.97</v>
      </c>
      <c r="AH100" s="625">
        <f>'ПБ V-1 (fin min)'!BD46</f>
        <v>35.867433930202139</v>
      </c>
      <c r="AI100" s="625">
        <f>'ПБ V-1 (fin min)'!BE46</f>
        <v>134.45919514906214</v>
      </c>
      <c r="AJ100" s="625">
        <f>'ПБ V-1 (fin min)'!BF46</f>
        <v>886.51326402408006</v>
      </c>
      <c r="AK100" s="625">
        <f>'ПБ V-1 (fin min)'!BG46</f>
        <v>81.220185224080012</v>
      </c>
      <c r="AL100" s="625">
        <f>'ПБ V-1 (fin min)'!BH46</f>
        <v>70.97226181622635</v>
      </c>
      <c r="AM100" s="625">
        <f>'ПБ V-1 (fin min)'!BI46</f>
        <v>414.92500000000001</v>
      </c>
      <c r="AN100" s="626">
        <f t="shared" si="28"/>
        <v>2767.7676532951982</v>
      </c>
    </row>
    <row r="101" spans="1:40" ht="24.75" thickBot="1" x14ac:dyDescent="0.4">
      <c r="A101" s="621" t="s">
        <v>16</v>
      </c>
      <c r="B101" s="625">
        <f>'ПБ V-1 (fin min)'!Z47</f>
        <v>187.34</v>
      </c>
      <c r="C101" s="625">
        <f>'ПБ V-1 (fin min)'!AA47</f>
        <v>469.57300000000004</v>
      </c>
      <c r="D101" s="625">
        <f>'ПБ V-1 (fin min)'!AB47</f>
        <v>325.185</v>
      </c>
      <c r="E101" s="625">
        <f>'ПБ V-1 (fin min)'!AC47</f>
        <v>365.87700000000001</v>
      </c>
      <c r="F101" s="625">
        <f>'ПБ V-1 (fin min)'!AD47</f>
        <v>513.21839999999997</v>
      </c>
      <c r="G101" s="625">
        <f>'ПБ V-1 (fin min)'!AE47</f>
        <v>806.18599999999992</v>
      </c>
      <c r="H101" s="625">
        <f>'ПБ V-1 (fin min)'!AF47</f>
        <v>349.69899999999996</v>
      </c>
      <c r="I101" s="625">
        <f>'ПБ V-1 (fin min)'!AG47</f>
        <v>0</v>
      </c>
      <c r="J101" s="625">
        <f>'ПБ V-1 (fin min)'!AH47</f>
        <v>0</v>
      </c>
      <c r="K101" s="625">
        <f>'ПБ V-1 (fin min)'!AI47</f>
        <v>661.34800000000007</v>
      </c>
      <c r="L101" s="625">
        <f>'ПБ V-1 (fin min)'!AJ47</f>
        <v>256.83239999999995</v>
      </c>
      <c r="M101" s="625">
        <f>'ПБ V-1 (fin min)'!AK47</f>
        <v>572.55599999999993</v>
      </c>
      <c r="N101" s="626">
        <f t="shared" si="26"/>
        <v>4507.8147999999992</v>
      </c>
      <c r="O101" s="625">
        <f>'ПБ V-1 (fin min)'!AL47</f>
        <v>176.59399999999999</v>
      </c>
      <c r="P101" s="625">
        <f>'ПБ V-1 (fin min)'!AM47</f>
        <v>759.65655229999993</v>
      </c>
      <c r="Q101" s="625">
        <f>'ПБ V-1 (fin min)'!AN47</f>
        <v>40.163736999999998</v>
      </c>
      <c r="R101" s="625">
        <f>'ПБ V-1 (fin min)'!AO47</f>
        <v>403.99</v>
      </c>
      <c r="S101" s="625">
        <f>'ПБ V-1 (fin min)'!AP47</f>
        <v>0</v>
      </c>
      <c r="T101" s="625">
        <f>'ПБ V-1 (fin min)'!AQ47</f>
        <v>654.86919319999993</v>
      </c>
      <c r="U101" s="625">
        <f>'ПБ V-1 (fin min)'!AR47</f>
        <v>618.56100000000004</v>
      </c>
      <c r="V101" s="625">
        <f>'ПБ V-1 (fin min)'!AS47</f>
        <v>0</v>
      </c>
      <c r="W101" s="625">
        <f>'ПБ V-1 (fin min)'!AT47</f>
        <v>0</v>
      </c>
      <c r="X101" s="625">
        <f>'ПБ V-1 (fin min)'!AU47</f>
        <v>550.8420000000001</v>
      </c>
      <c r="Y101" s="625">
        <f>'ПБ V-1 (fin min)'!AV47</f>
        <v>0</v>
      </c>
      <c r="Z101" s="625">
        <f>'ПБ V-1 (fin min)'!AW47</f>
        <v>835.92499999999995</v>
      </c>
      <c r="AA101" s="626">
        <f t="shared" si="27"/>
        <v>4040.6014825000002</v>
      </c>
      <c r="AB101" s="625">
        <f>'ПБ V-1 (fin min)'!AX47</f>
        <v>0</v>
      </c>
      <c r="AC101" s="625">
        <f>'ПБ V-1 (fin min)'!AY47</f>
        <v>347.27499999999998</v>
      </c>
      <c r="AD101" s="625">
        <f>'ПБ V-1 (fin min)'!AZ47</f>
        <v>401.46500000000003</v>
      </c>
      <c r="AE101" s="625">
        <f>'ПБ V-1 (fin min)'!BA47</f>
        <v>270.70300000000003</v>
      </c>
      <c r="AF101" s="625">
        <f>'ПБ V-1 (fin min)'!BB47</f>
        <v>725.88804960000004</v>
      </c>
      <c r="AG101" s="625">
        <f>'ПБ V-1 (fin min)'!BC47</f>
        <v>587.64934500000004</v>
      </c>
      <c r="AH101" s="625">
        <f>'ПБ V-1 (fin min)'!BD47</f>
        <v>314.50299999999999</v>
      </c>
      <c r="AI101" s="625">
        <f>'ПБ V-1 (fin min)'!BE47</f>
        <v>63.094620000000006</v>
      </c>
      <c r="AJ101" s="625">
        <f>'ПБ V-1 (fin min)'!BF47</f>
        <v>388.85399999999998</v>
      </c>
      <c r="AK101" s="625">
        <f>'ПБ V-1 (fin min)'!BG47</f>
        <v>708.39099999999996</v>
      </c>
      <c r="AL101" s="625">
        <f>'ПБ V-1 (fin min)'!BH47</f>
        <v>0</v>
      </c>
      <c r="AM101" s="625">
        <f>'ПБ V-1 (fin min)'!BI47</f>
        <v>167.012</v>
      </c>
      <c r="AN101" s="626">
        <f t="shared" si="28"/>
        <v>3974.8350146000002</v>
      </c>
    </row>
    <row r="102" spans="1:40" ht="24.75" thickBot="1" x14ac:dyDescent="0.4">
      <c r="A102" s="620" t="s">
        <v>195</v>
      </c>
      <c r="B102" s="627">
        <f>'ПБ V-1 (fin min)'!Z48</f>
        <v>89.26789837733314</v>
      </c>
      <c r="C102" s="627">
        <f>'ПБ V-1 (fin min)'!AA48</f>
        <v>125.11018223939999</v>
      </c>
      <c r="D102" s="627">
        <f>'ПБ V-1 (fin min)'!AB48</f>
        <v>589.9758126045557</v>
      </c>
      <c r="E102" s="627">
        <f>'ПБ V-1 (fin min)'!AC48</f>
        <v>140.55619305871818</v>
      </c>
      <c r="F102" s="627">
        <f>'ПБ V-1 (fin min)'!AD48</f>
        <v>151.29132684059999</v>
      </c>
      <c r="G102" s="627">
        <f>'ПБ V-1 (fin min)'!AE48</f>
        <v>138.94205665041031</v>
      </c>
      <c r="H102" s="627">
        <f>'ПБ V-1 (fin min)'!AF48</f>
        <v>9.6167224999999998</v>
      </c>
      <c r="I102" s="627">
        <f>'ПБ V-1 (fin min)'!AG48</f>
        <v>115.96031191039999</v>
      </c>
      <c r="J102" s="627">
        <f>'ПБ V-1 (fin min)'!AH48</f>
        <v>561.80953190048638</v>
      </c>
      <c r="K102" s="627">
        <f>'ПБ V-1 (fin min)'!AI48</f>
        <v>56.759565273604089</v>
      </c>
      <c r="L102" s="627">
        <f>'ПБ V-1 (fin min)'!AJ48</f>
        <v>199.4136534756</v>
      </c>
      <c r="M102" s="627">
        <f>'ПБ V-1 (fin min)'!AK48</f>
        <v>55.740804280854405</v>
      </c>
      <c r="N102" s="624">
        <f t="shared" si="26"/>
        <v>2234.4440591119619</v>
      </c>
      <c r="O102" s="627">
        <f>'ПБ V-1 (fin min)'!AL48</f>
        <v>103.4733012800241</v>
      </c>
      <c r="P102" s="627">
        <f>'ПБ V-1 (fin min)'!AM48</f>
        <v>422.27478895684078</v>
      </c>
      <c r="Q102" s="627">
        <f>'ПБ V-1 (fin min)'!AN48</f>
        <v>539.42646335111874</v>
      </c>
      <c r="R102" s="627">
        <f>'ПБ V-1 (fin min)'!AO48</f>
        <v>140.05149260982276</v>
      </c>
      <c r="S102" s="627">
        <f>'ПБ V-1 (fin min)'!AP48</f>
        <v>254.19650890184795</v>
      </c>
      <c r="T102" s="627">
        <f>'ПБ V-1 (fin min)'!AQ48</f>
        <v>145.41261847993184</v>
      </c>
      <c r="U102" s="627">
        <f>'ПБ V-1 (fin min)'!AR48</f>
        <v>27.406576584851777</v>
      </c>
      <c r="V102" s="627">
        <f>'ПБ V-1 (fin min)'!AS48</f>
        <v>150.64421283673346</v>
      </c>
      <c r="W102" s="627">
        <f>'ПБ V-1 (fin min)'!AT48</f>
        <v>27.970392512548443</v>
      </c>
      <c r="X102" s="627">
        <f>'ПБ V-1 (fin min)'!AU48</f>
        <v>101.25858858957078</v>
      </c>
      <c r="Y102" s="627">
        <f>'ПБ V-1 (fin min)'!AV48</f>
        <v>146.28681702830599</v>
      </c>
      <c r="Z102" s="627">
        <f>'ПБ V-1 (fin min)'!AW48</f>
        <v>71.779938562155891</v>
      </c>
      <c r="AA102" s="624">
        <f t="shared" si="27"/>
        <v>2130.1816996937528</v>
      </c>
      <c r="AB102" s="627">
        <f>'ПБ V-1 (fin min)'!AX48</f>
        <v>23.551912031907129</v>
      </c>
      <c r="AC102" s="627">
        <f>'ПБ V-1 (fin min)'!AY48</f>
        <v>200.7826762788292</v>
      </c>
      <c r="AD102" s="627">
        <f>'ПБ V-1 (fin min)'!AZ48</f>
        <v>33.658530278162111</v>
      </c>
      <c r="AE102" s="627">
        <f>'ПБ V-1 (fin min)'!BA48</f>
        <v>96.473649689350893</v>
      </c>
      <c r="AF102" s="627">
        <f>'ПБ V-1 (fin min)'!BB48</f>
        <v>197.05006063972897</v>
      </c>
      <c r="AG102" s="627">
        <f>'ПБ V-1 (fin min)'!BC48</f>
        <v>53.818683715537325</v>
      </c>
      <c r="AH102" s="627">
        <f>'ПБ V-1 (fin min)'!BD48</f>
        <v>52.457015903261215</v>
      </c>
      <c r="AI102" s="627">
        <f>'ПБ V-1 (fin min)'!BE48</f>
        <v>305.53282315128257</v>
      </c>
      <c r="AJ102" s="627">
        <f>'ПБ V-1 (fin min)'!BF48</f>
        <v>34.09921665117065</v>
      </c>
      <c r="AK102" s="627">
        <f>'ПБ V-1 (fin min)'!BG48</f>
        <v>155.15920042562081</v>
      </c>
      <c r="AL102" s="627">
        <f>'ПБ V-1 (fin min)'!BH48</f>
        <v>244.71522465096004</v>
      </c>
      <c r="AM102" s="627">
        <f>'ПБ V-1 (fin min)'!BI48</f>
        <v>68.893870149529192</v>
      </c>
      <c r="AN102" s="624">
        <f t="shared" si="28"/>
        <v>1466.1928635653398</v>
      </c>
    </row>
    <row r="103" spans="1:40" ht="24.75" thickBot="1" x14ac:dyDescent="0.4">
      <c r="A103" s="621" t="s">
        <v>15</v>
      </c>
      <c r="B103" s="625">
        <f>'ПБ V-1 (fin min)'!Z49</f>
        <v>79.651175877333145</v>
      </c>
      <c r="C103" s="625">
        <f>'ПБ V-1 (fin min)'!AA49</f>
        <v>105.5193564894</v>
      </c>
      <c r="D103" s="625">
        <f>'ПБ V-1 (fin min)'!AB49</f>
        <v>589.9758126045557</v>
      </c>
      <c r="E103" s="625">
        <f>'ПБ V-1 (fin min)'!AC49</f>
        <v>114.90318290871818</v>
      </c>
      <c r="F103" s="625">
        <f>'ПБ V-1 (fin min)'!AD49</f>
        <v>142.44840570060001</v>
      </c>
      <c r="G103" s="625">
        <f>'ПБ V-1 (fin min)'!AE49</f>
        <v>97.08077815041031</v>
      </c>
      <c r="H103" s="625">
        <f>'ПБ V-1 (fin min)'!AF49</f>
        <v>0</v>
      </c>
      <c r="I103" s="625">
        <f>'ПБ V-1 (fin min)'!AG49</f>
        <v>97.674856010399992</v>
      </c>
      <c r="J103" s="625">
        <f>'ПБ V-1 (fin min)'!AH49</f>
        <v>559.72757540048633</v>
      </c>
      <c r="K103" s="625">
        <f>'ПБ V-1 (fin min)'!AI49</f>
        <v>33.147201773604088</v>
      </c>
      <c r="L103" s="625">
        <f>'ПБ V-1 (fin min)'!AJ49</f>
        <v>196.26745657559999</v>
      </c>
      <c r="M103" s="625">
        <f>'ПБ V-1 (fin min)'!AK49</f>
        <v>40.060314930854403</v>
      </c>
      <c r="N103" s="626">
        <f t="shared" si="26"/>
        <v>2056.4561164219622</v>
      </c>
      <c r="O103" s="625">
        <f>'ПБ V-1 (fin min)'!AL49</f>
        <v>74.878348745874405</v>
      </c>
      <c r="P103" s="625">
        <f>'ПБ V-1 (fin min)'!AM49</f>
        <v>366.82889715215902</v>
      </c>
      <c r="Q103" s="625">
        <f>'ПБ V-1 (fin min)'!AN49</f>
        <v>498.60429625</v>
      </c>
      <c r="R103" s="625">
        <f>'ПБ V-1 (fin min)'!AO49</f>
        <v>114.82079575075791</v>
      </c>
      <c r="S103" s="625">
        <f>'ПБ V-1 (fin min)'!AP49</f>
        <v>208.5561189</v>
      </c>
      <c r="T103" s="625">
        <f>'ПБ V-1 (fin min)'!AQ49</f>
        <v>111.44328079550172</v>
      </c>
      <c r="U103" s="625">
        <f>'ПБ V-1 (fin min)'!AR49</f>
        <v>5.1578728675661427</v>
      </c>
      <c r="V103" s="625">
        <f>'ПБ V-1 (fin min)'!AS49</f>
        <v>116.79096374</v>
      </c>
      <c r="W103" s="625">
        <f>'ПБ V-1 (fin min)'!AT49</f>
        <v>12.697376775268932</v>
      </c>
      <c r="X103" s="625">
        <f>'ПБ V-1 (fin min)'!AU49</f>
        <v>85.1</v>
      </c>
      <c r="Y103" s="625">
        <f>'ПБ V-1 (fin min)'!AV49</f>
        <v>113.67959293627999</v>
      </c>
      <c r="Z103" s="625">
        <f>'ПБ V-1 (fin min)'!AW49</f>
        <v>46.405501668401257</v>
      </c>
      <c r="AA103" s="626">
        <f t="shared" si="27"/>
        <v>1754.9630455818092</v>
      </c>
      <c r="AB103" s="625">
        <f>'ПБ V-1 (fin min)'!AX49</f>
        <v>18.53630548440713</v>
      </c>
      <c r="AC103" s="625">
        <f>'ПБ V-1 (fin min)'!AY49</f>
        <v>194.02817752882919</v>
      </c>
      <c r="AD103" s="625">
        <f>'ПБ V-1 (fin min)'!AZ49</f>
        <v>25.829962778162113</v>
      </c>
      <c r="AE103" s="625">
        <f>'ПБ V-1 (fin min)'!BA49</f>
        <v>84.637543689350892</v>
      </c>
      <c r="AF103" s="625">
        <f>'ПБ V-1 (fin min)'!BB49</f>
        <v>191.27304713972896</v>
      </c>
      <c r="AG103" s="625">
        <f>'ПБ V-1 (fin min)'!BC49</f>
        <v>43.881906903037326</v>
      </c>
      <c r="AH103" s="625">
        <f>'ПБ V-1 (fin min)'!BD49</f>
        <v>47.400218207011214</v>
      </c>
      <c r="AI103" s="625">
        <f>'ПБ V-1 (fin min)'!BE49</f>
        <v>305.53282315128257</v>
      </c>
      <c r="AJ103" s="625">
        <f>'ПБ V-1 (fin min)'!BF49</f>
        <v>34.09921665117065</v>
      </c>
      <c r="AK103" s="625">
        <f>'ПБ V-1 (fin min)'!BG49</f>
        <v>148.22172442562081</v>
      </c>
      <c r="AL103" s="625">
        <f>'ПБ V-1 (fin min)'!BH49</f>
        <v>244.71522465096004</v>
      </c>
      <c r="AM103" s="625">
        <f>'ПБ V-1 (fin min)'!BI49</f>
        <v>68.893870149529192</v>
      </c>
      <c r="AN103" s="626">
        <f t="shared" si="28"/>
        <v>1407.0500207590901</v>
      </c>
    </row>
    <row r="104" spans="1:40" ht="24.75" thickBot="1" x14ac:dyDescent="0.4">
      <c r="A104" s="621" t="s">
        <v>16</v>
      </c>
      <c r="B104" s="625">
        <f>'ПБ V-1 (fin min)'!Z50</f>
        <v>9.6167224999999998</v>
      </c>
      <c r="C104" s="625">
        <f>'ПБ V-1 (fin min)'!AA50</f>
        <v>19.59082575</v>
      </c>
      <c r="D104" s="625">
        <f>'ПБ V-1 (fin min)'!AB50</f>
        <v>0</v>
      </c>
      <c r="E104" s="625">
        <f>'ПБ V-1 (fin min)'!AC50</f>
        <v>25.653010150000004</v>
      </c>
      <c r="F104" s="625">
        <f>'ПБ V-1 (fin min)'!AD50</f>
        <v>8.8429211400000014</v>
      </c>
      <c r="G104" s="625">
        <f>'ПБ V-1 (fin min)'!AE50</f>
        <v>41.861278500000004</v>
      </c>
      <c r="H104" s="625">
        <f>'ПБ V-1 (fin min)'!AF50</f>
        <v>9.6167224999999998</v>
      </c>
      <c r="I104" s="625">
        <f>'ПБ V-1 (fin min)'!AG50</f>
        <v>18.285455899999999</v>
      </c>
      <c r="J104" s="625">
        <f>'ПБ V-1 (fin min)'!AH50</f>
        <v>2.0819565</v>
      </c>
      <c r="K104" s="625">
        <f>'ПБ V-1 (fin min)'!AI50</f>
        <v>23.612363500000001</v>
      </c>
      <c r="L104" s="625">
        <f>'ПБ V-1 (fin min)'!AJ50</f>
        <v>3.1461969000000001</v>
      </c>
      <c r="M104" s="625">
        <f>'ПБ V-1 (fin min)'!AK50</f>
        <v>15.680489349999998</v>
      </c>
      <c r="N104" s="626">
        <f t="shared" si="26"/>
        <v>177.98794268999998</v>
      </c>
      <c r="O104" s="625">
        <f>'ПБ V-1 (fin min)'!AL50</f>
        <v>9.5933785</v>
      </c>
      <c r="P104" s="625">
        <f>'ПБ V-1 (fin min)'!AM50</f>
        <v>17.94453280375</v>
      </c>
      <c r="Q104" s="625">
        <f>'ПБ V-1 (fin min)'!AN50</f>
        <v>2.43338919875</v>
      </c>
      <c r="R104" s="625">
        <f>'ПБ V-1 (fin min)'!AO50</f>
        <v>14.5488135</v>
      </c>
      <c r="S104" s="625">
        <f>'ПБ V-1 (fin min)'!AP50</f>
        <v>0</v>
      </c>
      <c r="T104" s="625">
        <f>'ПБ V-1 (fin min)'!AQ50</f>
        <v>14.692706005000002</v>
      </c>
      <c r="U104" s="625">
        <f>'ПБ V-1 (fin min)'!AR50</f>
        <v>11.4433785</v>
      </c>
      <c r="V104" s="625">
        <f>'ПБ V-1 (fin min)'!AS50</f>
        <v>0</v>
      </c>
      <c r="W104" s="625">
        <f>'ПБ V-1 (fin min)'!AT50</f>
        <v>2.0819565</v>
      </c>
      <c r="X104" s="625">
        <f>'ПБ V-1 (fin min)'!AU50</f>
        <v>8.5814360000000001</v>
      </c>
      <c r="Y104" s="625">
        <f>'ПБ V-1 (fin min)'!AV50</f>
        <v>1.9313075</v>
      </c>
      <c r="Z104" s="625">
        <f>'ПБ V-1 (fin min)'!AW50</f>
        <v>16.6157115</v>
      </c>
      <c r="AA104" s="626">
        <f t="shared" si="27"/>
        <v>99.8666100075</v>
      </c>
      <c r="AB104" s="625">
        <f>'ПБ V-1 (fin min)'!AX50</f>
        <v>5.0156065475000009</v>
      </c>
      <c r="AC104" s="625">
        <f>'ПБ V-1 (fin min)'!AY50</f>
        <v>6.7544987499999998</v>
      </c>
      <c r="AD104" s="625">
        <f>'ПБ V-1 (fin min)'!AZ50</f>
        <v>7.8285674999999992</v>
      </c>
      <c r="AE104" s="625">
        <f>'ПБ V-1 (fin min)'!BA50</f>
        <v>11.836105999999999</v>
      </c>
      <c r="AF104" s="625">
        <f>'ПБ V-1 (fin min)'!BB50</f>
        <v>5.7770134999999998</v>
      </c>
      <c r="AG104" s="625">
        <f>'ПБ V-1 (fin min)'!BC50</f>
        <v>9.9367768124999998</v>
      </c>
      <c r="AH104" s="625">
        <f>'ПБ V-1 (fin min)'!BD50</f>
        <v>5.0567976962499994</v>
      </c>
      <c r="AI104" s="625">
        <f>'ПБ V-1 (fin min)'!BE50</f>
        <v>0</v>
      </c>
      <c r="AJ104" s="625">
        <f>'ПБ V-1 (fin min)'!BF50</f>
        <v>0</v>
      </c>
      <c r="AK104" s="625">
        <f>'ПБ V-1 (fin min)'!BG50</f>
        <v>6.9374759999999993</v>
      </c>
      <c r="AL104" s="625">
        <f>'ПБ V-1 (fin min)'!BH50</f>
        <v>0</v>
      </c>
      <c r="AM104" s="625">
        <f>'ПБ V-1 (fin min)'!BI50</f>
        <v>0</v>
      </c>
      <c r="AN104" s="626">
        <f t="shared" si="28"/>
        <v>59.142842806250002</v>
      </c>
    </row>
    <row r="105" spans="1:40" ht="24.75" thickBot="1" x14ac:dyDescent="0.4">
      <c r="A105" s="621" t="s">
        <v>332</v>
      </c>
      <c r="B105" s="625">
        <f>'ПБ V-1 (fin min)'!Z51</f>
        <v>0</v>
      </c>
      <c r="C105" s="625">
        <f>'ПБ V-1 (fin min)'!AA51</f>
        <v>0</v>
      </c>
      <c r="D105" s="625">
        <f>'ПБ V-1 (fin min)'!AB51</f>
        <v>0</v>
      </c>
      <c r="E105" s="625">
        <f>'ПБ V-1 (fin min)'!AC51</f>
        <v>0</v>
      </c>
      <c r="F105" s="625">
        <f>'ПБ V-1 (fin min)'!AD51</f>
        <v>0</v>
      </c>
      <c r="G105" s="625">
        <f>'ПБ V-1 (fin min)'!AE51</f>
        <v>0</v>
      </c>
      <c r="H105" s="625">
        <f>'ПБ V-1 (fin min)'!AF51</f>
        <v>0</v>
      </c>
      <c r="I105" s="625">
        <f>'ПБ V-1 (fin min)'!AG51</f>
        <v>0</v>
      </c>
      <c r="J105" s="625">
        <f>'ПБ V-1 (fin min)'!AH51</f>
        <v>0</v>
      </c>
      <c r="K105" s="625">
        <f>'ПБ V-1 (fin min)'!AI51</f>
        <v>0</v>
      </c>
      <c r="L105" s="625">
        <f>'ПБ V-1 (fin min)'!AJ51</f>
        <v>0</v>
      </c>
      <c r="M105" s="625">
        <f>'ПБ V-1 (fin min)'!AK51</f>
        <v>0</v>
      </c>
      <c r="N105" s="626">
        <f t="shared" si="26"/>
        <v>0</v>
      </c>
      <c r="O105" s="625">
        <f>'ПБ V-1 (fin min)'!AL51</f>
        <v>19.001574034149701</v>
      </c>
      <c r="P105" s="625">
        <f>'ПБ V-1 (fin min)'!AM51</f>
        <v>37.501359000931771</v>
      </c>
      <c r="Q105" s="625">
        <f>'ПБ V-1 (fin min)'!AN51</f>
        <v>38.388777902368737</v>
      </c>
      <c r="R105" s="625">
        <f>'ПБ V-1 (fin min)'!AO51</f>
        <v>10.681883359064836</v>
      </c>
      <c r="S105" s="625">
        <f>'ПБ V-1 (fin min)'!AP51</f>
        <v>45.640390001847948</v>
      </c>
      <c r="T105" s="625">
        <f>'ПБ V-1 (fin min)'!AQ51</f>
        <v>19.276631679430121</v>
      </c>
      <c r="U105" s="625">
        <f>'ПБ V-1 (fin min)'!AR51</f>
        <v>10.805325217285633</v>
      </c>
      <c r="V105" s="625">
        <f>'ПБ V-1 (fin min)'!AS51</f>
        <v>33.85324909673345</v>
      </c>
      <c r="W105" s="625">
        <f>'ПБ V-1 (fin min)'!AT51</f>
        <v>13.191059237279509</v>
      </c>
      <c r="X105" s="625">
        <f>'ПБ V-1 (fin min)'!AU51</f>
        <v>7.5771525895707832</v>
      </c>
      <c r="Y105" s="625">
        <f>'ПБ V-1 (fin min)'!AV51</f>
        <v>30.675916592025992</v>
      </c>
      <c r="Z105" s="625">
        <f>'ПБ V-1 (fin min)'!AW51</f>
        <v>8.7587253937546308</v>
      </c>
      <c r="AA105" s="626">
        <f t="shared" si="27"/>
        <v>275.35204410444311</v>
      </c>
      <c r="AB105" s="625">
        <f>'ПБ V-1 (fin min)'!AX51</f>
        <v>0</v>
      </c>
      <c r="AC105" s="625">
        <f>'ПБ V-1 (fin min)'!AY51</f>
        <v>0</v>
      </c>
      <c r="AD105" s="625">
        <f>'ПБ V-1 (fin min)'!AZ51</f>
        <v>0</v>
      </c>
      <c r="AE105" s="625">
        <f>'ПБ V-1 (fin min)'!BA51</f>
        <v>0</v>
      </c>
      <c r="AF105" s="625">
        <f>'ПБ V-1 (fin min)'!BB51</f>
        <v>0</v>
      </c>
      <c r="AG105" s="625">
        <f>'ПБ V-1 (fin min)'!BC51</f>
        <v>0</v>
      </c>
      <c r="AH105" s="625">
        <f>'ПБ V-1 (fin min)'!BD51</f>
        <v>0</v>
      </c>
      <c r="AI105" s="625">
        <f>'ПБ V-1 (fin min)'!BE51</f>
        <v>0</v>
      </c>
      <c r="AJ105" s="625">
        <f>'ПБ V-1 (fin min)'!BF51</f>
        <v>0</v>
      </c>
      <c r="AK105" s="625">
        <f>'ПБ V-1 (fin min)'!BG51</f>
        <v>0</v>
      </c>
      <c r="AL105" s="625">
        <f>'ПБ V-1 (fin min)'!BH51</f>
        <v>0</v>
      </c>
      <c r="AM105" s="625">
        <f>'ПБ V-1 (fin min)'!BI51</f>
        <v>0</v>
      </c>
      <c r="AN105" s="626">
        <f t="shared" si="28"/>
        <v>0</v>
      </c>
    </row>
    <row r="106" spans="1:40" ht="24.75" thickBot="1" x14ac:dyDescent="0.4">
      <c r="A106" s="622" t="s">
        <v>169</v>
      </c>
      <c r="B106" s="628">
        <f>'ПБ V-1 (fin min)'!Z52</f>
        <v>48.2</v>
      </c>
      <c r="C106" s="628">
        <f>'ПБ V-1 (fin min)'!AA52</f>
        <v>456.7</v>
      </c>
      <c r="D106" s="628">
        <f>'ПБ V-1 (fin min)'!AB52</f>
        <v>474</v>
      </c>
      <c r="E106" s="628">
        <f>'ПБ V-1 (fin min)'!AC52</f>
        <v>121.4</v>
      </c>
      <c r="F106" s="628">
        <f>'ПБ V-1 (fin min)'!AD52</f>
        <v>353.7</v>
      </c>
      <c r="G106" s="628">
        <f>'ПБ V-1 (fin min)'!AE52</f>
        <v>726</v>
      </c>
      <c r="H106" s="628">
        <f>'ПБ V-1 (fin min)'!AF52</f>
        <v>140</v>
      </c>
      <c r="I106" s="628">
        <f>'ПБ V-1 (fin min)'!AG52</f>
        <v>130.4</v>
      </c>
      <c r="J106" s="628">
        <f>'ПБ V-1 (fin min)'!AH52</f>
        <v>216.9</v>
      </c>
      <c r="K106" s="628">
        <f>'ПБ V-1 (fin min)'!AI52</f>
        <v>1015.5</v>
      </c>
      <c r="L106" s="628">
        <f>'ПБ V-1 (fin min)'!AJ52</f>
        <v>255</v>
      </c>
      <c r="M106" s="628">
        <f>'ПБ V-1 (fin min)'!AK52</f>
        <v>858.3</v>
      </c>
      <c r="N106" s="624">
        <f t="shared" si="26"/>
        <v>4796.1000000000004</v>
      </c>
      <c r="O106" s="628">
        <f>'ПБ V-1 (fin min)'!AL52</f>
        <v>-165.03429396129485</v>
      </c>
      <c r="P106" s="628">
        <f>'ПБ V-1 (fin min)'!AM52</f>
        <v>-13.720860942898867</v>
      </c>
      <c r="Q106" s="628">
        <f>'ПБ V-1 (fin min)'!AN52</f>
        <v>3670.75568286</v>
      </c>
      <c r="R106" s="628">
        <f>'ПБ V-1 (fin min)'!AO52</f>
        <v>2306.6038922142611</v>
      </c>
      <c r="S106" s="628">
        <f>'ПБ V-1 (fin min)'!AP52</f>
        <v>1895.3068260245975</v>
      </c>
      <c r="T106" s="628">
        <f>'ПБ V-1 (fin min)'!AQ52</f>
        <v>3884.7</v>
      </c>
      <c r="U106" s="628">
        <f>'ПБ V-1 (fin min)'!AR52</f>
        <v>3557</v>
      </c>
      <c r="V106" s="628">
        <f>'ПБ V-1 (fin min)'!AS52</f>
        <v>4788.3999999999996</v>
      </c>
      <c r="W106" s="628">
        <f>'ПБ V-1 (fin min)'!AT52</f>
        <v>2837.3</v>
      </c>
      <c r="X106" s="628">
        <f>'ПБ V-1 (fin min)'!AU52</f>
        <v>4784.3459999999995</v>
      </c>
      <c r="Y106" s="628">
        <f>'ПБ V-1 (fin min)'!AV52</f>
        <v>5737.3762059090577</v>
      </c>
      <c r="Z106" s="628">
        <f>'ПБ V-1 (fin min)'!AW52</f>
        <v>4813.3074999999999</v>
      </c>
      <c r="AA106" s="624">
        <f t="shared" si="27"/>
        <v>38096.340952103725</v>
      </c>
      <c r="AB106" s="628">
        <f>'ПБ V-1 (fin min)'!AX52</f>
        <v>4663.0089514001083</v>
      </c>
      <c r="AC106" s="628">
        <f>'ПБ V-1 (fin min)'!AY52</f>
        <v>2287.2103126067168</v>
      </c>
      <c r="AD106" s="628">
        <f>'ПБ V-1 (fin min)'!AZ52</f>
        <v>5259.3</v>
      </c>
      <c r="AE106" s="628">
        <f>'ПБ V-1 (fin min)'!BA52</f>
        <v>5851.6</v>
      </c>
      <c r="AF106" s="628">
        <f>'ПБ V-1 (fin min)'!BB52</f>
        <v>4322.8</v>
      </c>
      <c r="AG106" s="628">
        <f>'ПБ V-1 (fin min)'!BC52</f>
        <v>4286.5</v>
      </c>
      <c r="AH106" s="628">
        <f>'ПБ V-1 (fin min)'!BD52</f>
        <v>4681.3</v>
      </c>
      <c r="AI106" s="628">
        <f>'ПБ V-1 (fin min)'!BE52</f>
        <v>1654.8000000000002</v>
      </c>
      <c r="AJ106" s="628">
        <f>'ПБ V-1 (fin min)'!BF52</f>
        <v>3328.8</v>
      </c>
      <c r="AK106" s="628">
        <f>'ПБ V-1 (fin min)'!BG52</f>
        <v>3313.1000000000004</v>
      </c>
      <c r="AL106" s="628">
        <f>'ПБ V-1 (fin min)'!BH52</f>
        <v>2326.6</v>
      </c>
      <c r="AM106" s="628">
        <f>'ПБ V-1 (fin min)'!BI52</f>
        <v>5546.4000000000005</v>
      </c>
      <c r="AN106" s="624">
        <f t="shared" si="28"/>
        <v>47521.419264006829</v>
      </c>
    </row>
    <row r="107" spans="1:40" ht="24.75" thickBot="1" x14ac:dyDescent="0.4">
      <c r="A107" s="1178" t="str">
        <f>'ПБ V-1 (fin min)'!A53</f>
        <v>Через валютные ОВГЗ, млн долл. США</v>
      </c>
      <c r="B107" s="629">
        <f>'ПБ V-1 (fin min)'!Z53</f>
        <v>48.2</v>
      </c>
      <c r="C107" s="629">
        <f>'ПБ V-1 (fin min)'!AA53</f>
        <v>456.7</v>
      </c>
      <c r="D107" s="629">
        <f>'ПБ V-1 (fin min)'!AB53</f>
        <v>474</v>
      </c>
      <c r="E107" s="629">
        <f>'ПБ V-1 (fin min)'!AC53</f>
        <v>121.4</v>
      </c>
      <c r="F107" s="629">
        <f>'ПБ V-1 (fin min)'!AD53</f>
        <v>353.7</v>
      </c>
      <c r="G107" s="629">
        <f>'ПБ V-1 (fin min)'!AE53</f>
        <v>726</v>
      </c>
      <c r="H107" s="629">
        <f>'ПБ V-1 (fin min)'!AF53</f>
        <v>140</v>
      </c>
      <c r="I107" s="629">
        <f>'ПБ V-1 (fin min)'!AG53</f>
        <v>130.4</v>
      </c>
      <c r="J107" s="629">
        <f>'ПБ V-1 (fin min)'!AH53</f>
        <v>216.9</v>
      </c>
      <c r="K107" s="629">
        <f>'ПБ V-1 (fin min)'!AI53</f>
        <v>432.2</v>
      </c>
      <c r="L107" s="629">
        <f>'ПБ V-1 (fin min)'!AJ53</f>
        <v>255</v>
      </c>
      <c r="M107" s="629">
        <f>'ПБ V-1 (fin min)'!AK53</f>
        <v>858.3</v>
      </c>
      <c r="N107" s="630">
        <f t="shared" si="26"/>
        <v>4212.8</v>
      </c>
      <c r="O107" s="629">
        <f>'ПБ V-1 (fin min)'!AL53</f>
        <v>143.43099999999998</v>
      </c>
      <c r="P107" s="629">
        <f>'ПБ V-1 (fin min)'!AM53</f>
        <v>24.709800000000001</v>
      </c>
      <c r="Q107" s="629">
        <f>'ПБ V-1 (fin min)'!AN53</f>
        <v>11.906000000000001</v>
      </c>
      <c r="R107" s="629">
        <f>'ПБ V-1 (fin min)'!AO53</f>
        <v>270.68610999999999</v>
      </c>
      <c r="S107" s="629">
        <f>'ПБ V-1 (fin min)'!AP53</f>
        <v>177.02203</v>
      </c>
      <c r="T107" s="629">
        <f>'ПБ V-1 (fin min)'!AQ53</f>
        <v>354.2</v>
      </c>
      <c r="U107" s="629">
        <f>'ПБ V-1 (fin min)'!AR53</f>
        <v>514</v>
      </c>
      <c r="V107" s="629">
        <f>'ПБ V-1 (fin min)'!AS53</f>
        <v>99.6</v>
      </c>
      <c r="W107" s="629">
        <f>'ПБ V-1 (fin min)'!AT53</f>
        <v>51.7</v>
      </c>
      <c r="X107" s="629">
        <f>'ПБ V-1 (fin min)'!AU53</f>
        <v>424.846</v>
      </c>
      <c r="Y107" s="629">
        <f>'ПБ V-1 (fin min)'!AV53</f>
        <v>433.95940999999999</v>
      </c>
      <c r="Z107" s="629">
        <f>'ПБ V-1 (fin min)'!AW53</f>
        <v>540.70000000000005</v>
      </c>
      <c r="AA107" s="630">
        <f t="shared" si="27"/>
        <v>3046.7603499999996</v>
      </c>
      <c r="AB107" s="629">
        <f>'ПБ V-1 (fin min)'!AX53</f>
        <v>71.599999999999994</v>
      </c>
      <c r="AC107" s="629">
        <f>'ПБ V-1 (fin min)'!AY53</f>
        <v>330.6</v>
      </c>
      <c r="AD107" s="629">
        <f>'ПБ V-1 (fin min)'!AZ53</f>
        <v>476.5</v>
      </c>
      <c r="AE107" s="629">
        <f>'ПБ V-1 (fin min)'!BA53</f>
        <v>242.6</v>
      </c>
      <c r="AF107" s="629">
        <f>'ПБ V-1 (fin min)'!BB53</f>
        <v>1073.7</v>
      </c>
      <c r="AG107" s="629">
        <f>'ПБ V-1 (fin min)'!BC53</f>
        <v>468.4</v>
      </c>
      <c r="AH107" s="629">
        <f>'ПБ V-1 (fin min)'!BD53</f>
        <v>227.3</v>
      </c>
      <c r="AI107" s="629">
        <f>'ПБ V-1 (fin min)'!BE53</f>
        <v>21.9</v>
      </c>
      <c r="AJ107" s="629">
        <f>'ПБ V-1 (fin min)'!BF53</f>
        <v>386.4</v>
      </c>
      <c r="AK107" s="629">
        <f>'ПБ V-1 (fin min)'!BG53</f>
        <v>572.70000000000005</v>
      </c>
      <c r="AL107" s="629">
        <f>'ПБ V-1 (fin min)'!BH53</f>
        <v>286.89999999999998</v>
      </c>
      <c r="AM107" s="629">
        <f>'ПБ V-1 (fin min)'!BI53</f>
        <v>332</v>
      </c>
      <c r="AN107" s="630">
        <f t="shared" si="28"/>
        <v>4490.6000000000004</v>
      </c>
    </row>
    <row r="108" spans="1:40" ht="24.75" thickBot="1" x14ac:dyDescent="0.4">
      <c r="A108" s="1178" t="str">
        <f>'ПБ V-1 (fin min)'!A54</f>
        <v>Внешнее финансирование (МВФ, Еврокомиссия и другие)</v>
      </c>
      <c r="B108" s="631">
        <f>'ПБ V-1 (fin min)'!Z54</f>
        <v>0</v>
      </c>
      <c r="C108" s="631">
        <f>'ПБ V-1 (fin min)'!AA54</f>
        <v>0</v>
      </c>
      <c r="D108" s="631">
        <f>'ПБ V-1 (fin min)'!AB54</f>
        <v>0</v>
      </c>
      <c r="E108" s="631">
        <f>'ПБ V-1 (fin min)'!AC54</f>
        <v>0</v>
      </c>
      <c r="F108" s="631">
        <f>'ПБ V-1 (fin min)'!AD54</f>
        <v>0</v>
      </c>
      <c r="G108" s="631">
        <f>'ПБ V-1 (fin min)'!AE54</f>
        <v>0</v>
      </c>
      <c r="H108" s="631">
        <f>'ПБ V-1 (fin min)'!AF54</f>
        <v>0</v>
      </c>
      <c r="I108" s="631">
        <f>'ПБ V-1 (fin min)'!AG54</f>
        <v>0</v>
      </c>
      <c r="J108" s="631">
        <f>'ПБ V-1 (fin min)'!AH54</f>
        <v>0</v>
      </c>
      <c r="K108" s="631">
        <f>'ПБ V-1 (fin min)'!AI54</f>
        <v>583.29999999999995</v>
      </c>
      <c r="L108" s="631">
        <f>'ПБ V-1 (fin min)'!AJ54</f>
        <v>0</v>
      </c>
      <c r="M108" s="631">
        <f>'ПБ V-1 (fin min)'!AK54</f>
        <v>0</v>
      </c>
      <c r="N108" s="626">
        <f t="shared" si="26"/>
        <v>583.29999999999995</v>
      </c>
      <c r="O108" s="631">
        <f>'ПБ V-1 (fin min)'!AL54</f>
        <v>-465.46529396129483</v>
      </c>
      <c r="P108" s="631">
        <f>'ПБ V-1 (fin min)'!AM54</f>
        <v>-357.4306609428989</v>
      </c>
      <c r="Q108" s="631">
        <f>'ПБ V-1 (fin min)'!AN54</f>
        <v>3333.84968286</v>
      </c>
      <c r="R108" s="631">
        <f>'ПБ V-1 (fin min)'!AO54</f>
        <v>1077.917782214261</v>
      </c>
      <c r="S108" s="631">
        <f>'ПБ V-1 (fin min)'!AP54</f>
        <v>944.28479602459754</v>
      </c>
      <c r="T108" s="631">
        <f>'ПБ V-1 (fin min)'!AQ54</f>
        <v>1990.5</v>
      </c>
      <c r="U108" s="631">
        <f>'ПБ V-1 (fin min)'!AR54</f>
        <v>-39</v>
      </c>
      <c r="V108" s="631">
        <f>'ПБ V-1 (fin min)'!AS54</f>
        <v>1511.88183286</v>
      </c>
      <c r="W108" s="631">
        <f>'ПБ V-1 (fin min)'!AT54</f>
        <v>457.6</v>
      </c>
      <c r="X108" s="631">
        <f>'ПБ V-1 (fin min)'!AU54</f>
        <v>4001.5</v>
      </c>
      <c r="Y108" s="631">
        <f>'ПБ V-1 (fin min)'!AV54</f>
        <v>3403.4167959090578</v>
      </c>
      <c r="Z108" s="631">
        <f>'ПБ V-1 (fin min)'!AW54</f>
        <v>1589.6075000000001</v>
      </c>
      <c r="AA108" s="626">
        <f t="shared" si="27"/>
        <v>17448.66243496372</v>
      </c>
      <c r="AB108" s="629">
        <f>'ПБ V-1 (fin min)'!AX54</f>
        <v>3427.4089514001084</v>
      </c>
      <c r="AC108" s="629">
        <f>'ПБ V-1 (fin min)'!AY54</f>
        <v>359.61031260671678</v>
      </c>
      <c r="AD108" s="629">
        <f>'ПБ V-1 (fin min)'!AZ54</f>
        <v>3375.8</v>
      </c>
      <c r="AE108" s="629">
        <f>'ПБ V-1 (fin min)'!BA54</f>
        <v>4359</v>
      </c>
      <c r="AF108" s="629">
        <f>'ПБ V-1 (fin min)'!BB54</f>
        <v>1999.1</v>
      </c>
      <c r="AG108" s="629">
        <f>'ПБ V-1 (fin min)'!BC54</f>
        <v>2603.4</v>
      </c>
      <c r="AH108" s="629">
        <f>'ПБ V-1 (fin min)'!BD54</f>
        <v>3153.7</v>
      </c>
      <c r="AI108" s="629">
        <f>'ПБ V-1 (fin min)'!BE54</f>
        <v>1632.9</v>
      </c>
      <c r="AJ108" s="629">
        <f>'ПБ V-1 (fin min)'!BF54</f>
        <v>1692.4</v>
      </c>
      <c r="AK108" s="629">
        <f>'ПБ V-1 (fin min)'!BG54</f>
        <v>1590.4</v>
      </c>
      <c r="AL108" s="629">
        <f>'ПБ V-1 (fin min)'!BH54</f>
        <v>2039.7</v>
      </c>
      <c r="AM108" s="629">
        <f>'ПБ V-1 (fin min)'!BI54</f>
        <v>5214.4000000000005</v>
      </c>
      <c r="AN108" s="626">
        <f t="shared" si="28"/>
        <v>31447.819264006834</v>
      </c>
    </row>
    <row r="109" spans="1:40" ht="24.75" thickBot="1" x14ac:dyDescent="0.4">
      <c r="A109" s="1178" t="str">
        <f>'ПБ V-1 (fin min)'!A55</f>
        <v>Гранты (из вторичных доходов CAB)</v>
      </c>
      <c r="B109" s="631">
        <f>'ПБ V-1 (fin min)'!Z55</f>
        <v>0</v>
      </c>
      <c r="C109" s="631">
        <f>'ПБ V-1 (fin min)'!AA55</f>
        <v>0</v>
      </c>
      <c r="D109" s="631">
        <f>'ПБ V-1 (fin min)'!AB55</f>
        <v>0</v>
      </c>
      <c r="E109" s="631">
        <f>'ПБ V-1 (fin min)'!AC55</f>
        <v>0</v>
      </c>
      <c r="F109" s="631">
        <f>'ПБ V-1 (fin min)'!AD55</f>
        <v>0</v>
      </c>
      <c r="G109" s="631">
        <f>'ПБ V-1 (fin min)'!AE55</f>
        <v>0</v>
      </c>
      <c r="H109" s="631">
        <f>'ПБ V-1 (fin min)'!AF55</f>
        <v>0</v>
      </c>
      <c r="I109" s="631">
        <f>'ПБ V-1 (fin min)'!AG55</f>
        <v>0</v>
      </c>
      <c r="J109" s="631">
        <f>'ПБ V-1 (fin min)'!AH55</f>
        <v>0</v>
      </c>
      <c r="K109" s="631">
        <f>'ПБ V-1 (fin min)'!AI55</f>
        <v>0</v>
      </c>
      <c r="L109" s="631">
        <f>'ПБ V-1 (fin min)'!AJ55</f>
        <v>0</v>
      </c>
      <c r="M109" s="631">
        <f>'ПБ V-1 (fin min)'!AK55</f>
        <v>0</v>
      </c>
      <c r="N109" s="626">
        <f t="shared" si="26"/>
        <v>0</v>
      </c>
      <c r="O109" s="631">
        <f>'ПБ V-1 (fin min)'!AL55</f>
        <v>157</v>
      </c>
      <c r="P109" s="631">
        <f>'ПБ V-1 (fin min)'!AM55</f>
        <v>319</v>
      </c>
      <c r="Q109" s="631">
        <f>'ПБ V-1 (fin min)'!AN55</f>
        <v>325</v>
      </c>
      <c r="R109" s="631">
        <f>'ПБ V-1 (fin min)'!AO55</f>
        <v>958</v>
      </c>
      <c r="S109" s="631">
        <f>'ПБ V-1 (fin min)'!AP55</f>
        <v>774</v>
      </c>
      <c r="T109" s="631">
        <f>'ПБ V-1 (fin min)'!AQ55</f>
        <v>1540</v>
      </c>
      <c r="U109" s="631">
        <f>'ПБ V-1 (fin min)'!AR55</f>
        <v>3082</v>
      </c>
      <c r="V109" s="631">
        <f>'ПБ V-1 (fin min)'!AS55</f>
        <v>3353</v>
      </c>
      <c r="W109" s="631">
        <f>'ПБ V-1 (fin min)'!AT55</f>
        <v>2328</v>
      </c>
      <c r="X109" s="631">
        <f>'ПБ V-1 (fin min)'!AU55</f>
        <v>358</v>
      </c>
      <c r="Y109" s="631">
        <f>'ПБ V-1 (fin min)'!AV55</f>
        <v>1900</v>
      </c>
      <c r="Z109" s="631">
        <f>'ПБ V-1 (fin min)'!AW55</f>
        <v>2683</v>
      </c>
      <c r="AA109" s="626">
        <f t="shared" si="27"/>
        <v>17777</v>
      </c>
      <c r="AB109" s="629">
        <f>'ПБ V-1 (fin min)'!AX55</f>
        <v>1164</v>
      </c>
      <c r="AC109" s="629">
        <f>'ПБ V-1 (fin min)'!AY55</f>
        <v>1597</v>
      </c>
      <c r="AD109" s="629">
        <f>'ПБ V-1 (fin min)'!AZ55</f>
        <v>1407</v>
      </c>
      <c r="AE109" s="629">
        <f>'ПБ V-1 (fin min)'!BA55</f>
        <v>1250</v>
      </c>
      <c r="AF109" s="629">
        <f>'ПБ V-1 (fin min)'!BB55</f>
        <v>1250</v>
      </c>
      <c r="AG109" s="629">
        <f>'ПБ V-1 (fin min)'!BC55</f>
        <v>1214.7</v>
      </c>
      <c r="AH109" s="629">
        <f>'ПБ V-1 (fin min)'!BD55</f>
        <v>1300.3</v>
      </c>
      <c r="AI109" s="629">
        <f>'ПБ V-1 (fin min)'!BE55</f>
        <v>0</v>
      </c>
      <c r="AJ109" s="629">
        <f>'ПБ V-1 (fin min)'!BF55</f>
        <v>1250</v>
      </c>
      <c r="AK109" s="629">
        <f>'ПБ V-1 (fin min)'!BG55</f>
        <v>1150</v>
      </c>
      <c r="AL109" s="629">
        <f>'ПБ V-1 (fin min)'!BH55</f>
        <v>0</v>
      </c>
      <c r="AM109" s="629">
        <f>'ПБ V-1 (fin min)'!BI55</f>
        <v>0</v>
      </c>
      <c r="AN109" s="626">
        <f t="shared" si="28"/>
        <v>11583</v>
      </c>
    </row>
    <row r="110" spans="1:40" ht="48.75" thickBot="1" x14ac:dyDescent="0.4">
      <c r="A110" s="1178" t="str">
        <f>'ПБ V-1 (fin min)'!A56</f>
        <v xml:space="preserve">Другие операции, в том числе: выход нерезидентов из ОВГЗ (грн), закрытые операции, погрешности в учете </v>
      </c>
      <c r="B110" s="631">
        <f>'ПБ V-1 (fin min)'!Z56</f>
        <v>0</v>
      </c>
      <c r="C110" s="631">
        <f>'ПБ V-1 (fin min)'!AA56</f>
        <v>0</v>
      </c>
      <c r="D110" s="631">
        <f>'ПБ V-1 (fin min)'!AB56</f>
        <v>0</v>
      </c>
      <c r="E110" s="631">
        <f>'ПБ V-1 (fin min)'!AC56</f>
        <v>0</v>
      </c>
      <c r="F110" s="631">
        <f>'ПБ V-1 (fin min)'!AD56</f>
        <v>0</v>
      </c>
      <c r="G110" s="631">
        <f>'ПБ V-1 (fin min)'!AE56</f>
        <v>0</v>
      </c>
      <c r="H110" s="631">
        <f>'ПБ V-1 (fin min)'!AF56</f>
        <v>0</v>
      </c>
      <c r="I110" s="631">
        <f>'ПБ V-1 (fin min)'!AG56</f>
        <v>0</v>
      </c>
      <c r="J110" s="631">
        <f>'ПБ V-1 (fin min)'!AH56</f>
        <v>0</v>
      </c>
      <c r="K110" s="631">
        <f>'ПБ V-1 (fin min)'!AI56</f>
        <v>0</v>
      </c>
      <c r="L110" s="631">
        <f>'ПБ V-1 (fin min)'!AJ56</f>
        <v>0</v>
      </c>
      <c r="M110" s="631">
        <f>'ПБ V-1 (fin min)'!AK56</f>
        <v>0</v>
      </c>
      <c r="N110" s="626">
        <f t="shared" si="26"/>
        <v>0</v>
      </c>
      <c r="O110" s="631">
        <f>'ПБ V-1 (fin min)'!AL56</f>
        <v>134.6363012800241</v>
      </c>
      <c r="P110" s="631">
        <f>'ПБ V-1 (fin min)'!AM56</f>
        <v>1146.2215412568407</v>
      </c>
      <c r="Q110" s="631">
        <f>'ПБ V-1 (fin min)'!AN56</f>
        <v>555.68420035111876</v>
      </c>
      <c r="R110" s="631">
        <f>'ПБ V-1 (fin min)'!AO56</f>
        <v>283.35538260982298</v>
      </c>
      <c r="S110" s="631">
        <f>'ПБ V-1 (fin min)'!AP56</f>
        <v>165.17447890184803</v>
      </c>
      <c r="T110" s="631">
        <f>'ПБ V-1 (fin min)'!AQ56</f>
        <v>363.08181167993234</v>
      </c>
      <c r="U110" s="631">
        <f>'ПБ V-1 (fin min)'!AR56</f>
        <v>-25.03242341514806</v>
      </c>
      <c r="V110" s="631">
        <f>'ПБ V-1 (fin min)'!AS56</f>
        <v>279.12604569673385</v>
      </c>
      <c r="W110" s="631">
        <f>'ПБ V-1 (fin min)'!AT56</f>
        <v>-28.729607487451631</v>
      </c>
      <c r="X110" s="631">
        <f>'ПБ V-1 (fin min)'!AU56</f>
        <v>210.25458858957199</v>
      </c>
      <c r="Y110" s="631">
        <f>'ПБ V-1 (fin min)'!AV56</f>
        <v>-324.67259297169312</v>
      </c>
      <c r="Z110" s="631">
        <f>'ПБ V-1 (fin min)'!AW56</f>
        <v>266.00493856215598</v>
      </c>
      <c r="AA110" s="626">
        <f t="shared" si="27"/>
        <v>3025.104665053756</v>
      </c>
      <c r="AB110" s="629">
        <f>'ПБ V-1 (fin min)'!AX56</f>
        <v>-51.048087968093569</v>
      </c>
      <c r="AC110" s="629">
        <f>'ПБ V-1 (fin min)'!AY56</f>
        <v>217.45767627882924</v>
      </c>
      <c r="AD110" s="629">
        <f>'ПБ V-1 (fin min)'!AZ56</f>
        <v>-70.61820569775773</v>
      </c>
      <c r="AE110" s="629">
        <f>'ПБ V-1 (fin min)'!BA56</f>
        <v>-31.203165086569243</v>
      </c>
      <c r="AF110" s="629">
        <f>'ПБ V-1 (fin min)'!BB56</f>
        <v>-193.81928986370895</v>
      </c>
      <c r="AG110" s="629">
        <f>'ПБ V-1 (fin min)'!BC56</f>
        <v>269.63802871553708</v>
      </c>
      <c r="AH110" s="629">
        <f>'ПБ V-1 (fin min)'!BD56</f>
        <v>215.82744983346311</v>
      </c>
      <c r="AI110" s="629">
        <f>'ПБ V-1 (fin min)'!BE56</f>
        <v>215.28663830034452</v>
      </c>
      <c r="AJ110" s="629">
        <f>'ПБ V-1 (fin min)'!BF56</f>
        <v>6.6664806752505683</v>
      </c>
      <c r="AK110" s="629">
        <f>'ПБ V-1 (fin min)'!BG56</f>
        <v>239.67038564970062</v>
      </c>
      <c r="AL110" s="629">
        <f>'ПБ V-1 (fin min)'!BH56</f>
        <v>-137.91251353281359</v>
      </c>
      <c r="AM110" s="629">
        <f>'ПБ V-1 (fin min)'!BI56</f>
        <v>0</v>
      </c>
      <c r="AN110" s="626">
        <f t="shared" si="28"/>
        <v>679.94539730418205</v>
      </c>
    </row>
    <row r="111" spans="1:40" ht="30.6" customHeight="1" thickBot="1" x14ac:dyDescent="0.4">
      <c r="A111" s="623" t="s">
        <v>256</v>
      </c>
      <c r="B111" s="628">
        <f>'ПБ V-1 (fin min)'!Z58</f>
        <v>333</v>
      </c>
      <c r="C111" s="628">
        <f>'ПБ V-1 (fin min)'!AA58</f>
        <v>159</v>
      </c>
      <c r="D111" s="628">
        <f>'ПБ V-1 (fin min)'!AB58</f>
        <v>-256</v>
      </c>
      <c r="E111" s="628">
        <f>'ПБ V-1 (fin min)'!AC58</f>
        <v>1023</v>
      </c>
      <c r="F111" s="628">
        <f>'ПБ V-1 (fin min)'!AD58</f>
        <v>64</v>
      </c>
      <c r="G111" s="628">
        <f>'ПБ V-1 (fin min)'!AE58</f>
        <v>788</v>
      </c>
      <c r="H111" s="628">
        <f>'ПБ V-1 (fin min)'!AF58</f>
        <v>376</v>
      </c>
      <c r="I111" s="628">
        <f>'ПБ V-1 (fin min)'!AG58</f>
        <v>-349</v>
      </c>
      <c r="J111" s="628">
        <f>'ПБ V-1 (fin min)'!AH58</f>
        <v>-1945</v>
      </c>
      <c r="K111" s="628">
        <f>'ПБ V-1 (fin min)'!AI58</f>
        <v>474</v>
      </c>
      <c r="L111" s="628">
        <f>'ПБ V-1 (fin min)'!AJ58</f>
        <v>162</v>
      </c>
      <c r="M111" s="628">
        <f>'ПБ V-1 (fin min)'!AK58</f>
        <v>456</v>
      </c>
      <c r="N111" s="624">
        <f t="shared" si="26"/>
        <v>1285</v>
      </c>
      <c r="O111" s="628">
        <f>'ПБ V-1 (fin min)'!AL58</f>
        <v>-501</v>
      </c>
      <c r="P111" s="628">
        <f>'ПБ V-1 (fin min)'!AM58</f>
        <v>-616</v>
      </c>
      <c r="Q111" s="628">
        <f>'ПБ V-1 (fin min)'!AN58</f>
        <v>2640</v>
      </c>
      <c r="R111" s="628">
        <f>'ПБ V-1 (fin min)'!AO58</f>
        <v>791</v>
      </c>
      <c r="S111" s="628">
        <f>'ПБ V-1 (fin min)'!AP58</f>
        <v>956</v>
      </c>
      <c r="T111" s="628">
        <f>'ПБ V-1 (fin min)'!AQ58</f>
        <v>1730</v>
      </c>
      <c r="U111" s="628">
        <f>'ПБ V-1 (fin min)'!AR58</f>
        <v>-196</v>
      </c>
      <c r="V111" s="628">
        <f>'ПБ V-1 (fin min)'!AS58</f>
        <v>1424</v>
      </c>
      <c r="W111" s="628">
        <f>'ПБ V-1 (fin min)'!AT58</f>
        <v>-172</v>
      </c>
      <c r="X111" s="628">
        <f>'ПБ V-1 (fin min)'!AU58</f>
        <v>3900</v>
      </c>
      <c r="Y111" s="628">
        <f>'ПБ V-1 (fin min)'!AV58</f>
        <v>2502</v>
      </c>
      <c r="Z111" s="628">
        <f>'ПБ V-1 (fin min)'!AW58</f>
        <v>1325</v>
      </c>
      <c r="AA111" s="624">
        <f t="shared" si="27"/>
        <v>13783</v>
      </c>
      <c r="AB111" s="628">
        <f>'ПБ V-1 (fin min)'!AX58</f>
        <v>3383</v>
      </c>
      <c r="AC111" s="628">
        <f>'ПБ V-1 (fin min)'!AY58</f>
        <v>219</v>
      </c>
      <c r="AD111" s="628">
        <f>'ПБ V-1 (fin min)'!AZ58</f>
        <v>2709</v>
      </c>
      <c r="AE111" s="628">
        <f>'ПБ V-1 (fin min)'!BA58</f>
        <v>4122</v>
      </c>
      <c r="AF111" s="628">
        <f>'ПБ V-1 (fin min)'!BB58</f>
        <v>1879</v>
      </c>
      <c r="AG111" s="628">
        <f>'ПБ V-1 (fin min)'!BC58</f>
        <v>2534</v>
      </c>
      <c r="AH111" s="628">
        <f>'ПБ V-1 (fin min)'!BD58</f>
        <v>3194</v>
      </c>
      <c r="AI111" s="628">
        <f>'ПБ V-1 (fin min)'!BE58</f>
        <v>1367</v>
      </c>
      <c r="AJ111" s="628">
        <f>'ПБ V-1 (fin min)'!BF58</f>
        <v>776</v>
      </c>
      <c r="AK111" s="628">
        <f>'ПБ V-1 (fin min)'!BG58</f>
        <v>1458</v>
      </c>
      <c r="AL111" s="628">
        <f>'ПБ V-1 (fin min)'!BH58</f>
        <v>1873</v>
      </c>
      <c r="AM111" s="628">
        <f>'ПБ V-1 (fin min)'!BI58</f>
        <v>4895.5691298504717</v>
      </c>
      <c r="AN111" s="624">
        <f t="shared" si="28"/>
        <v>28409.569129850472</v>
      </c>
    </row>
    <row r="112" spans="1:40" ht="24.6" customHeight="1" thickBot="1" x14ac:dyDescent="0.4">
      <c r="A112" s="623" t="s">
        <v>257</v>
      </c>
      <c r="B112" s="628">
        <f>'ПБ V-1 (fin min)'!Z69</f>
        <v>-264.11701204466732</v>
      </c>
      <c r="C112" s="628">
        <f>'ПБ V-1 (fin min)'!AA69</f>
        <v>-279.42144676079999</v>
      </c>
      <c r="D112" s="628">
        <f>'ПБ V-1 (fin min)'!AB69</f>
        <v>-951.1222736259557</v>
      </c>
      <c r="E112" s="628">
        <f>'ПБ V-1 (fin min)'!AC69</f>
        <v>-432.41380857035443</v>
      </c>
      <c r="F112" s="628">
        <f>'ПБ V-1 (fin min)'!AD69</f>
        <v>-407.74597429400478</v>
      </c>
      <c r="G112" s="628">
        <f>'ПБ V-1 (fin min)'!AE69</f>
        <v>-495.45595699025569</v>
      </c>
      <c r="H112" s="628">
        <f>'ПБ V-1 (fin min)'!AF69</f>
        <v>-256.93143922253057</v>
      </c>
      <c r="I112" s="628">
        <f>'ПБ V-1 (fin min)'!AG69</f>
        <v>-126.99857643179998</v>
      </c>
      <c r="J112" s="628">
        <f>'ПБ V-1 (fin min)'!AH69</f>
        <v>-2829.3339929218864</v>
      </c>
      <c r="K112" s="628">
        <f>'ПБ V-1 (fin min)'!AI69</f>
        <v>26.651803174961238</v>
      </c>
      <c r="L112" s="628">
        <f>'ПБ V-1 (fin min)'!AJ69</f>
        <v>-320.97455300308843</v>
      </c>
      <c r="M112" s="628">
        <f>'ПБ V-1 (fin min)'!AK69</f>
        <v>21.898098121051333</v>
      </c>
      <c r="N112" s="624">
        <f t="shared" si="26"/>
        <v>-6315.9651325693312</v>
      </c>
      <c r="O112" s="628">
        <f>'ПБ V-1 (fin min)'!AL69</f>
        <v>0</v>
      </c>
      <c r="P112" s="628">
        <f>'ПБ V-1 (fin min)'!AM69</f>
        <v>0</v>
      </c>
      <c r="Q112" s="628">
        <f>'ПБ V-1 (fin min)'!AN69</f>
        <v>0</v>
      </c>
      <c r="R112" s="628">
        <f>'ПБ V-1 (fin min)'!AO69</f>
        <v>0</v>
      </c>
      <c r="S112" s="628">
        <f>'ПБ V-1 (fin min)'!AP69</f>
        <v>0</v>
      </c>
      <c r="T112" s="628">
        <f>'ПБ V-1 (fin min)'!AQ69</f>
        <v>0</v>
      </c>
      <c r="U112" s="628">
        <f>'ПБ V-1 (fin min)'!AR69</f>
        <v>0</v>
      </c>
      <c r="V112" s="628">
        <f>'ПБ V-1 (fin min)'!AS69</f>
        <v>0</v>
      </c>
      <c r="W112" s="628">
        <f>'ПБ V-1 (fin min)'!AT69</f>
        <v>0</v>
      </c>
      <c r="X112" s="628">
        <f>'ПБ V-1 (fin min)'!AU69</f>
        <v>0</v>
      </c>
      <c r="Y112" s="628">
        <f>'ПБ V-1 (fin min)'!AV69</f>
        <v>0</v>
      </c>
      <c r="Z112" s="628">
        <f>'ПБ V-1 (fin min)'!AW69</f>
        <v>0</v>
      </c>
      <c r="AA112" s="624">
        <f t="shared" si="27"/>
        <v>0</v>
      </c>
      <c r="AB112" s="628">
        <f>'ПБ V-1 (fin min)'!AX69</f>
        <v>0</v>
      </c>
      <c r="AC112" s="628">
        <f>'ПБ V-1 (fin min)'!AY69</f>
        <v>0</v>
      </c>
      <c r="AD112" s="628">
        <f>'ПБ V-1 (fin min)'!AZ69</f>
        <v>0</v>
      </c>
      <c r="AE112" s="628">
        <f>'ПБ V-1 (fin min)'!BA69</f>
        <v>0</v>
      </c>
      <c r="AF112" s="628">
        <f>'ПБ V-1 (fin min)'!BB69</f>
        <v>0</v>
      </c>
      <c r="AG112" s="628">
        <f>'ПБ V-1 (fin min)'!BC69</f>
        <v>0</v>
      </c>
      <c r="AH112" s="628">
        <f>'ПБ V-1 (fin min)'!BD69</f>
        <v>0</v>
      </c>
      <c r="AI112" s="628">
        <f>'ПБ V-1 (fin min)'!BE69</f>
        <v>0</v>
      </c>
      <c r="AJ112" s="628">
        <f>'ПБ V-1 (fin min)'!BF69</f>
        <v>0</v>
      </c>
      <c r="AK112" s="628">
        <f>'ПБ V-1 (fin min)'!BG69</f>
        <v>0</v>
      </c>
      <c r="AL112" s="628">
        <f>'ПБ V-1 (fin min)'!BH69</f>
        <v>0</v>
      </c>
      <c r="AM112" s="628">
        <f>'ПБ V-1 (fin min)'!BI69</f>
        <v>0</v>
      </c>
      <c r="AN112" s="624">
        <f t="shared" si="28"/>
        <v>0</v>
      </c>
    </row>
    <row r="116" spans="1:40" ht="18.75" thickBot="1" x14ac:dyDescent="0.4"/>
    <row r="117" spans="1:40" ht="28.5" thickBot="1" x14ac:dyDescent="0.4">
      <c r="A117" s="972"/>
      <c r="B117" s="1449">
        <v>2021</v>
      </c>
      <c r="C117" s="1450"/>
      <c r="D117" s="1450"/>
      <c r="E117" s="1450"/>
      <c r="F117" s="1450"/>
      <c r="G117" s="1450"/>
      <c r="H117" s="1450"/>
      <c r="I117" s="1450"/>
      <c r="J117" s="1450"/>
      <c r="K117" s="1450"/>
      <c r="L117" s="1450"/>
      <c r="M117" s="1450"/>
      <c r="N117" s="1451"/>
      <c r="O117" s="1449">
        <v>2022</v>
      </c>
      <c r="P117" s="1450"/>
      <c r="Q117" s="1450"/>
      <c r="R117" s="1450"/>
      <c r="S117" s="1450"/>
      <c r="T117" s="1450"/>
      <c r="U117" s="1450"/>
      <c r="V117" s="1450"/>
      <c r="W117" s="1450"/>
      <c r="X117" s="1450"/>
      <c r="Y117" s="1450"/>
      <c r="Z117" s="1450"/>
      <c r="AA117" s="1451"/>
      <c r="AB117" s="1449">
        <v>2022</v>
      </c>
      <c r="AC117" s="1450"/>
      <c r="AD117" s="1450"/>
      <c r="AE117" s="1450"/>
      <c r="AF117" s="1450"/>
      <c r="AG117" s="1450"/>
      <c r="AH117" s="1450"/>
      <c r="AI117" s="1450"/>
      <c r="AJ117" s="1450"/>
      <c r="AK117" s="1450"/>
      <c r="AL117" s="1450"/>
      <c r="AM117" s="1450"/>
      <c r="AN117" s="1451"/>
    </row>
    <row r="118" spans="1:40" ht="28.5" thickBot="1" x14ac:dyDescent="0.4">
      <c r="A118" s="973" t="s">
        <v>290</v>
      </c>
      <c r="B118" s="974" t="s">
        <v>228</v>
      </c>
      <c r="C118" s="974" t="s">
        <v>229</v>
      </c>
      <c r="D118" s="974" t="s">
        <v>230</v>
      </c>
      <c r="E118" s="974" t="s">
        <v>231</v>
      </c>
      <c r="F118" s="974" t="s">
        <v>232</v>
      </c>
      <c r="G118" s="974" t="s">
        <v>233</v>
      </c>
      <c r="H118" s="974" t="s">
        <v>234</v>
      </c>
      <c r="I118" s="974" t="s">
        <v>235</v>
      </c>
      <c r="J118" s="974" t="s">
        <v>236</v>
      </c>
      <c r="K118" s="974" t="s">
        <v>237</v>
      </c>
      <c r="L118" s="974" t="s">
        <v>238</v>
      </c>
      <c r="M118" s="974" t="s">
        <v>239</v>
      </c>
      <c r="N118" s="975" t="s">
        <v>255</v>
      </c>
      <c r="O118" s="974" t="s">
        <v>228</v>
      </c>
      <c r="P118" s="974" t="s">
        <v>229</v>
      </c>
      <c r="Q118" s="974" t="s">
        <v>230</v>
      </c>
      <c r="R118" s="974" t="s">
        <v>231</v>
      </c>
      <c r="S118" s="974" t="s">
        <v>232</v>
      </c>
      <c r="T118" s="974" t="s">
        <v>233</v>
      </c>
      <c r="U118" s="974" t="s">
        <v>234</v>
      </c>
      <c r="V118" s="974" t="s">
        <v>235</v>
      </c>
      <c r="W118" s="974" t="s">
        <v>236</v>
      </c>
      <c r="X118" s="974" t="s">
        <v>237</v>
      </c>
      <c r="Y118" s="974" t="s">
        <v>238</v>
      </c>
      <c r="Z118" s="974" t="s">
        <v>239</v>
      </c>
      <c r="AA118" s="975" t="s">
        <v>255</v>
      </c>
      <c r="AB118" s="974" t="s">
        <v>228</v>
      </c>
      <c r="AC118" s="974" t="s">
        <v>229</v>
      </c>
      <c r="AD118" s="974" t="s">
        <v>230</v>
      </c>
      <c r="AE118" s="974" t="s">
        <v>231</v>
      </c>
      <c r="AF118" s="974" t="s">
        <v>232</v>
      </c>
      <c r="AG118" s="974" t="s">
        <v>233</v>
      </c>
      <c r="AH118" s="974" t="s">
        <v>234</v>
      </c>
      <c r="AI118" s="974" t="s">
        <v>235</v>
      </c>
      <c r="AJ118" s="974" t="s">
        <v>236</v>
      </c>
      <c r="AK118" s="974" t="s">
        <v>237</v>
      </c>
      <c r="AL118" s="974" t="s">
        <v>238</v>
      </c>
      <c r="AM118" s="974" t="s">
        <v>239</v>
      </c>
      <c r="AN118" s="975" t="s">
        <v>255</v>
      </c>
    </row>
    <row r="119" spans="1:40" ht="28.5" thickBot="1" x14ac:dyDescent="0.4">
      <c r="A119" s="976" t="s">
        <v>291</v>
      </c>
      <c r="B119" s="977">
        <f>'ПБ V-1 (fin min)'!Z63</f>
        <v>-489.17432775000003</v>
      </c>
      <c r="C119" s="977">
        <f>'ПБ V-1 (fin min)'!AA63</f>
        <v>-157.90361742499999</v>
      </c>
      <c r="D119" s="977">
        <f>'ПБ V-1 (fin min)'!AB63</f>
        <v>-578.28149999999994</v>
      </c>
      <c r="E119" s="977">
        <f>'ПБ V-1 (fin min)'!AC63</f>
        <v>-136.53699898500003</v>
      </c>
      <c r="F119" s="977">
        <f>'ПБ V-1 (fin min)'!AD63</f>
        <v>-440.56386788599997</v>
      </c>
      <c r="G119" s="977">
        <f>'ПБ V-1 (fin min)'!AE63</f>
        <v>-50.595272150000014</v>
      </c>
      <c r="H119" s="977">
        <f>'ПБ V-1 (fin min)'!AF63</f>
        <v>-9.6684277500000064</v>
      </c>
      <c r="I119" s="977">
        <f>'ПБ V-1 (fin min)'!AG63</f>
        <v>64.188545590000004</v>
      </c>
      <c r="J119" s="977">
        <f>'ПБ V-1 (fin min)'!AH63</f>
        <v>-380.64792729999999</v>
      </c>
      <c r="K119" s="977">
        <f>'ПБ V-1 (fin min)'!AI63</f>
        <v>842.75207269999999</v>
      </c>
      <c r="L119" s="977">
        <f>'ПБ V-1 (fin min)'!AJ63</f>
        <v>341.9</v>
      </c>
      <c r="M119" s="977">
        <f>'ПБ V-1 (fin min)'!AK63</f>
        <v>-112.41270213000001</v>
      </c>
      <c r="N119" s="978">
        <f>SUM(B119:M119)</f>
        <v>-1106.944023086</v>
      </c>
      <c r="O119" s="977">
        <f>'ПБ V-1 (fin min)'!AL63</f>
        <v>-1439.5230864499999</v>
      </c>
      <c r="P119" s="977">
        <f>'ПБ V-1 (fin min)'!AM63</f>
        <v>-1130.9108714896252</v>
      </c>
      <c r="Q119" s="977">
        <f>'ПБ V-1 (fin min)'!AN63</f>
        <v>0</v>
      </c>
      <c r="R119" s="977">
        <f>'ПБ V-1 (fin min)'!AO63</f>
        <v>0</v>
      </c>
      <c r="S119" s="977">
        <f>'ПБ V-1 (fin min)'!AP63</f>
        <v>0</v>
      </c>
      <c r="T119" s="977">
        <f>'ПБ V-1 (fin min)'!AQ63</f>
        <v>0</v>
      </c>
      <c r="U119" s="977">
        <f>'ПБ V-1 (fin min)'!AR63</f>
        <v>0</v>
      </c>
      <c r="V119" s="977">
        <f>'ПБ V-1 (fin min)'!AS63</f>
        <v>0</v>
      </c>
      <c r="W119" s="977">
        <f>'ПБ V-1 (fin min)'!AT63</f>
        <v>0</v>
      </c>
      <c r="X119" s="977">
        <f>'ПБ V-1 (fin min)'!AU63</f>
        <v>0</v>
      </c>
      <c r="Y119" s="977">
        <f>'ПБ V-1 (fin min)'!AV63</f>
        <v>0</v>
      </c>
      <c r="Z119" s="977">
        <f>'ПБ V-1 (fin min)'!AW63</f>
        <v>0</v>
      </c>
      <c r="AA119" s="978">
        <f>SUM(O119:Z119)</f>
        <v>-2570.4339579396251</v>
      </c>
      <c r="AB119" s="977">
        <f>'ПБ V-1 (fin min)'!AX63</f>
        <v>0</v>
      </c>
      <c r="AC119" s="977">
        <f>'ПБ V-1 (fin min)'!AY63</f>
        <v>0</v>
      </c>
      <c r="AD119" s="977">
        <f>'ПБ V-1 (fin min)'!AZ63</f>
        <v>0</v>
      </c>
      <c r="AE119" s="977">
        <f>'ПБ V-1 (fin min)'!BA63</f>
        <v>0</v>
      </c>
      <c r="AF119" s="977">
        <f>'ПБ V-1 (fin min)'!BB63</f>
        <v>0</v>
      </c>
      <c r="AG119" s="977">
        <f>'ПБ V-1 (fin min)'!BC63</f>
        <v>0</v>
      </c>
      <c r="AH119" s="977">
        <f>'ПБ V-1 (fin min)'!BD63</f>
        <v>0</v>
      </c>
      <c r="AI119" s="977">
        <f>'ПБ V-1 (fin min)'!BE63</f>
        <v>0</v>
      </c>
      <c r="AJ119" s="977">
        <f>'ПБ V-1 (fin min)'!BF63</f>
        <v>0</v>
      </c>
      <c r="AK119" s="977">
        <f>'ПБ V-1 (fin min)'!BG63</f>
        <v>0</v>
      </c>
      <c r="AL119" s="977">
        <f>'ПБ V-1 (fin min)'!BH63</f>
        <v>0</v>
      </c>
      <c r="AM119" s="977">
        <f>'ПБ V-1 (fin min)'!BI63</f>
        <v>0</v>
      </c>
      <c r="AN119" s="978">
        <f>SUM(AB119:AM119)</f>
        <v>0</v>
      </c>
    </row>
    <row r="120" spans="1:40" ht="28.5" thickBot="1" x14ac:dyDescent="0.4">
      <c r="A120" s="976" t="s">
        <v>292</v>
      </c>
      <c r="B120" s="977">
        <f>'ПБ V-1 (fin min)'!Z79</f>
        <v>-312</v>
      </c>
      <c r="C120" s="977">
        <f>'ПБ V-1 (fin min)'!AA79</f>
        <v>-278</v>
      </c>
      <c r="D120" s="977">
        <f>'ПБ V-1 (fin min)'!AB79</f>
        <v>-1508</v>
      </c>
      <c r="E120" s="977">
        <f>'ПБ V-1 (fin min)'!AC79</f>
        <v>965</v>
      </c>
      <c r="F120" s="977">
        <f>'ПБ V-1 (fin min)'!AD79</f>
        <v>-160</v>
      </c>
      <c r="G120" s="977">
        <f>'ПБ V-1 (fin min)'!AE79</f>
        <v>517.70000000000073</v>
      </c>
      <c r="H120" s="977">
        <f>'ПБ V-1 (fin min)'!AF79</f>
        <v>593.29999999999927</v>
      </c>
      <c r="I120" s="977">
        <f>'ПБ V-1 (fin min)'!AG79</f>
        <v>2663</v>
      </c>
      <c r="J120" s="977">
        <f>'ПБ V-1 (fin min)'!AH79</f>
        <v>-2908</v>
      </c>
      <c r="K120" s="977">
        <f>'ПБ V-1 (fin min)'!AI79</f>
        <v>948</v>
      </c>
      <c r="L120" s="977">
        <f>'ПБ V-1 (fin min)'!AJ79</f>
        <v>1465</v>
      </c>
      <c r="M120" s="977">
        <f>'ПБ V-1 (fin min)'!AK79</f>
        <v>1312.5</v>
      </c>
      <c r="N120" s="978">
        <f>SUM(B120:M120)</f>
        <v>3298.5</v>
      </c>
      <c r="O120" s="977">
        <f>'ПБ V-1 (fin min)'!AL79</f>
        <v>-1762</v>
      </c>
      <c r="P120" s="977">
        <f>'ПБ V-1 (fin min)'!AM79</f>
        <v>-1658</v>
      </c>
      <c r="Q120" s="977">
        <f>'ПБ V-1 (fin min)'!AN79</f>
        <v>679</v>
      </c>
      <c r="R120" s="977">
        <f>'ПБ V-1 (fin min)'!AO79</f>
        <v>-867</v>
      </c>
      <c r="S120" s="977">
        <f>'ПБ V-1 (fin min)'!AP79</f>
        <v>-1921</v>
      </c>
      <c r="T120" s="977">
        <f>'ПБ V-1 (fin min)'!AQ79</f>
        <v>-2220</v>
      </c>
      <c r="U120" s="977">
        <f>'ПБ V-1 (fin min)'!AR79</f>
        <v>-299</v>
      </c>
      <c r="V120" s="977">
        <f>'ПБ V-1 (fin min)'!AS79</f>
        <v>3105</v>
      </c>
      <c r="W120" s="977">
        <f>'ПБ V-1 (fin min)'!AT79</f>
        <v>-1375</v>
      </c>
      <c r="X120" s="977">
        <f>'ПБ V-1 (fin min)'!AU79</f>
        <v>1251</v>
      </c>
      <c r="Y120" s="977">
        <f>'ПБ V-1 (fin min)'!AV79</f>
        <v>2437</v>
      </c>
      <c r="Z120" s="977">
        <f>'ПБ V-1 (fin min)'!AW79</f>
        <v>362</v>
      </c>
      <c r="AA120" s="978">
        <f>SUM(O120:Z120)</f>
        <v>-2268</v>
      </c>
      <c r="AB120" s="977">
        <f>'ПБ V-1 (fin min)'!AX79</f>
        <v>1208</v>
      </c>
      <c r="AC120" s="977">
        <f>'ПБ V-1 (fin min)'!AY79</f>
        <v>-856</v>
      </c>
      <c r="AD120" s="977">
        <f>'ПБ V-1 (fin min)'!AZ79</f>
        <v>2765</v>
      </c>
      <c r="AE120" s="977">
        <f>'ПБ V-1 (fin min)'!BA79</f>
        <v>4021</v>
      </c>
      <c r="AF120" s="977">
        <f>'ПБ V-1 (fin min)'!BB79</f>
        <v>1533</v>
      </c>
      <c r="AG120" s="977">
        <f>'ПБ V-1 (fin min)'!BC79</f>
        <v>1688</v>
      </c>
      <c r="AH120" s="977">
        <f>'ПБ V-1 (fin min)'!BD79</f>
        <v>2579</v>
      </c>
      <c r="AI120" s="977">
        <f>'ПБ V-1 (fin min)'!BE79</f>
        <v>-1297</v>
      </c>
      <c r="AJ120" s="977">
        <f>'ПБ V-1 (fin min)'!BF79</f>
        <v>-609</v>
      </c>
      <c r="AK120" s="977">
        <f>'ПБ V-1 (fin min)'!BG79</f>
        <v>-847</v>
      </c>
      <c r="AL120" s="977">
        <f>'ПБ V-1 (fin min)'!BH79</f>
        <v>-355</v>
      </c>
      <c r="AM120" s="977">
        <f>'ПБ V-1 (fin min)'!BI79</f>
        <v>1146.4890524503166</v>
      </c>
      <c r="AN120" s="978">
        <f>SUM(AB120:AM120)</f>
        <v>10976.489052450317</v>
      </c>
    </row>
    <row r="121" spans="1:40" ht="28.5" thickBot="1" x14ac:dyDescent="0.4">
      <c r="A121" s="976" t="s">
        <v>293</v>
      </c>
      <c r="B121" s="977">
        <f>B120</f>
        <v>-312</v>
      </c>
      <c r="C121" s="979">
        <f t="shared" ref="C121:M121" si="29">C120+B121</f>
        <v>-590</v>
      </c>
      <c r="D121" s="979">
        <f t="shared" si="29"/>
        <v>-2098</v>
      </c>
      <c r="E121" s="979">
        <f t="shared" si="29"/>
        <v>-1133</v>
      </c>
      <c r="F121" s="979">
        <f t="shared" si="29"/>
        <v>-1293</v>
      </c>
      <c r="G121" s="979">
        <f t="shared" si="29"/>
        <v>-775.29999999999927</v>
      </c>
      <c r="H121" s="979">
        <f t="shared" si="29"/>
        <v>-182</v>
      </c>
      <c r="I121" s="979">
        <f t="shared" si="29"/>
        <v>2481</v>
      </c>
      <c r="J121" s="979">
        <f t="shared" si="29"/>
        <v>-427</v>
      </c>
      <c r="K121" s="979">
        <f t="shared" si="29"/>
        <v>521</v>
      </c>
      <c r="L121" s="979">
        <f t="shared" si="29"/>
        <v>1986</v>
      </c>
      <c r="M121" s="979">
        <f t="shared" si="29"/>
        <v>3298.5</v>
      </c>
      <c r="N121" s="978"/>
      <c r="O121" s="977">
        <f>O120</f>
        <v>-1762</v>
      </c>
      <c r="P121" s="979">
        <f t="shared" ref="P121:Z121" si="30">P120+O121</f>
        <v>-3420</v>
      </c>
      <c r="Q121" s="979">
        <f t="shared" si="30"/>
        <v>-2741</v>
      </c>
      <c r="R121" s="979">
        <f t="shared" si="30"/>
        <v>-3608</v>
      </c>
      <c r="S121" s="979">
        <f t="shared" si="30"/>
        <v>-5529</v>
      </c>
      <c r="T121" s="979">
        <f t="shared" si="30"/>
        <v>-7749</v>
      </c>
      <c r="U121" s="979">
        <f t="shared" si="30"/>
        <v>-8048</v>
      </c>
      <c r="V121" s="979">
        <f t="shared" si="30"/>
        <v>-4943</v>
      </c>
      <c r="W121" s="979">
        <f t="shared" si="30"/>
        <v>-6318</v>
      </c>
      <c r="X121" s="979">
        <f t="shared" si="30"/>
        <v>-5067</v>
      </c>
      <c r="Y121" s="979">
        <f t="shared" si="30"/>
        <v>-2630</v>
      </c>
      <c r="Z121" s="979">
        <f t="shared" si="30"/>
        <v>-2268</v>
      </c>
      <c r="AA121" s="978"/>
      <c r="AB121" s="977">
        <f>AB120</f>
        <v>1208</v>
      </c>
      <c r="AC121" s="979">
        <f t="shared" ref="AC121:AM121" si="31">AC120+AB121</f>
        <v>352</v>
      </c>
      <c r="AD121" s="979">
        <f t="shared" si="31"/>
        <v>3117</v>
      </c>
      <c r="AE121" s="979">
        <f t="shared" si="31"/>
        <v>7138</v>
      </c>
      <c r="AF121" s="979">
        <f t="shared" si="31"/>
        <v>8671</v>
      </c>
      <c r="AG121" s="979">
        <f t="shared" si="31"/>
        <v>10359</v>
      </c>
      <c r="AH121" s="979">
        <f t="shared" si="31"/>
        <v>12938</v>
      </c>
      <c r="AI121" s="979">
        <f t="shared" si="31"/>
        <v>11641</v>
      </c>
      <c r="AJ121" s="979">
        <f t="shared" si="31"/>
        <v>11032</v>
      </c>
      <c r="AK121" s="979">
        <f t="shared" si="31"/>
        <v>10185</v>
      </c>
      <c r="AL121" s="979">
        <f t="shared" si="31"/>
        <v>9830</v>
      </c>
      <c r="AM121" s="979">
        <f t="shared" si="31"/>
        <v>10976.489052450317</v>
      </c>
      <c r="AN121" s="978"/>
    </row>
    <row r="122" spans="1:40" ht="28.5" thickBot="1" x14ac:dyDescent="0.4">
      <c r="A122" s="976" t="s">
        <v>294</v>
      </c>
      <c r="B122" s="980">
        <f>'ПБ V-1 (fin min)'!Z71/1000</f>
        <v>28.821000000000002</v>
      </c>
      <c r="C122" s="980">
        <f>'ПБ V-1 (fin min)'!AA71/1000</f>
        <v>28.542999999999999</v>
      </c>
      <c r="D122" s="980">
        <f>'ПБ V-1 (fin min)'!AB71/1000</f>
        <v>27.035</v>
      </c>
      <c r="E122" s="980">
        <f>'ПБ V-1 (fin min)'!AC71/1000</f>
        <v>28</v>
      </c>
      <c r="F122" s="980">
        <f>'ПБ V-1 (fin min)'!AD71/1000</f>
        <v>27.84</v>
      </c>
      <c r="G122" s="980">
        <f>'ПБ V-1 (fin min)'!AE71/1000</f>
        <v>28.357700000000001</v>
      </c>
      <c r="H122" s="980">
        <f>'ПБ V-1 (fin min)'!AF71/1000</f>
        <v>28.951000000000001</v>
      </c>
      <c r="I122" s="980">
        <f>'ПБ V-1 (fin min)'!AG71/1000</f>
        <v>31.614000000000001</v>
      </c>
      <c r="J122" s="980">
        <f>'ПБ V-1 (fin min)'!AH71/1000</f>
        <v>28.706</v>
      </c>
      <c r="K122" s="980">
        <f>'ПБ V-1 (fin min)'!AI71/1000</f>
        <v>29.654</v>
      </c>
      <c r="L122" s="980">
        <f>'ПБ V-1 (fin min)'!AJ71/1000</f>
        <v>30.597999999999999</v>
      </c>
      <c r="M122" s="980">
        <f>'ПБ V-1 (fin min)'!AK71/1000</f>
        <v>30.445499999999999</v>
      </c>
      <c r="N122" s="978"/>
      <c r="O122" s="980">
        <f>'ПБ V-1 (fin min)'!AL71/1000</f>
        <v>29.086959999999998</v>
      </c>
      <c r="P122" s="980">
        <f>'ПБ V-1 (fin min)'!AM71/1000</f>
        <v>27.552859999999999</v>
      </c>
      <c r="Q122" s="980">
        <f>'ПБ V-1 (fin min)'!AN71/1000</f>
        <v>28.10745</v>
      </c>
      <c r="R122" s="980">
        <f>'ПБ V-1 (fin min)'!AO71/1000</f>
        <v>26.945</v>
      </c>
      <c r="S122" s="980">
        <f>'ПБ V-1 (fin min)'!AP71/1000</f>
        <v>25.102</v>
      </c>
      <c r="T122" s="980">
        <f>'ПБ V-1 (fin min)'!AQ71/1000</f>
        <v>22.802</v>
      </c>
      <c r="U122" s="980">
        <f>'ПБ V-1 (fin min)'!AR71/1000</f>
        <v>22.387</v>
      </c>
      <c r="V122" s="980">
        <f>'ПБ V-1 (fin min)'!AS71/1000</f>
        <v>25.439</v>
      </c>
      <c r="W122" s="980">
        <f>'ПБ V-1 (fin min)'!AT71/1000</f>
        <v>23.931999999999999</v>
      </c>
      <c r="X122" s="980">
        <f>'ПБ V-1 (fin min)'!AU71/1000</f>
        <v>25.245999999999999</v>
      </c>
      <c r="Y122" s="980">
        <f>'ПБ V-1 (fin min)'!AV71/1000</f>
        <v>27.954999999999998</v>
      </c>
      <c r="Z122" s="980">
        <f>'ПБ V-1 (fin min)'!AW71/1000</f>
        <v>28.494</v>
      </c>
      <c r="AA122" s="978"/>
      <c r="AB122" s="980">
        <f>'ПБ V-1 (fin min)'!AX71/1000</f>
        <v>29.92821</v>
      </c>
      <c r="AC122" s="980">
        <f>'ПБ V-1 (fin min)'!AY71/1000</f>
        <v>28.86964</v>
      </c>
      <c r="AD122" s="980">
        <f>'ПБ V-1 (fin min)'!AZ71/1000</f>
        <v>31.88673</v>
      </c>
      <c r="AE122" s="980">
        <f>'ПБ V-1 (fin min)'!BA71/1000</f>
        <v>35.95252</v>
      </c>
      <c r="AF122" s="980">
        <f>'ПБ V-1 (fin min)'!BB71/1000</f>
        <v>37.321429999999999</v>
      </c>
      <c r="AG122" s="980">
        <f>'ПБ V-1 (fin min)'!BC71/1000</f>
        <v>39.02655</v>
      </c>
      <c r="AH122" s="980">
        <f>'ПБ V-1 (fin min)'!BD71/1000</f>
        <v>41.737550000000006</v>
      </c>
      <c r="AI122" s="980">
        <f>'ПБ V-1 (fin min)'!BE71/1000</f>
        <v>40.405199999999994</v>
      </c>
      <c r="AJ122" s="980">
        <f>'ПБ V-1 (fin min)'!BF71/1000</f>
        <v>39.72278</v>
      </c>
      <c r="AK122" s="980">
        <f>'ПБ V-1 (fin min)'!BG71/1000</f>
        <v>38.987199999999994</v>
      </c>
      <c r="AL122" s="980">
        <f>'ПБ V-1 (fin min)'!BH71/1000</f>
        <v>38.796050000000001</v>
      </c>
      <c r="AM122" s="980">
        <f>'ПБ V-1 (fin min)'!BI71/1000</f>
        <v>40.50788</v>
      </c>
      <c r="AN122" s="978"/>
    </row>
    <row r="126" spans="1:40" x14ac:dyDescent="0.35">
      <c r="B126" s="2" t="s">
        <v>228</v>
      </c>
    </row>
    <row r="127" spans="1:40" x14ac:dyDescent="0.35">
      <c r="A127" s="72" t="s">
        <v>241</v>
      </c>
      <c r="B127" s="9" t="str">
        <f>'ПБ V-1 (fin min)'!A4</f>
        <v>A. Рахунок поточних операцій</v>
      </c>
    </row>
    <row r="128" spans="1:40" x14ac:dyDescent="0.35">
      <c r="A128" s="72" t="s">
        <v>242</v>
      </c>
      <c r="B128" s="9" t="str">
        <f>'ПБ V-1 (fin min)'!A23</f>
        <v xml:space="preserve">Виключно приватний сектор </v>
      </c>
    </row>
    <row r="129" spans="1:2" x14ac:dyDescent="0.35">
      <c r="A129" s="72" t="s">
        <v>243</v>
      </c>
      <c r="B129" s="9" t="str">
        <f>'ПБ V-1 (fin min)'!A58</f>
        <v>Общее сальдо операций госсектора (погашения/привлечения) с учетом МВФ</v>
      </c>
    </row>
    <row r="130" spans="1:2" x14ac:dyDescent="0.35">
      <c r="A130" s="72" t="s">
        <v>286</v>
      </c>
      <c r="B130" s="2" t="str">
        <f>'ПБ V-1 (fin min)'!A69</f>
        <v>Чистые государственные привлечения (за вычетом расходов на обслуживание госдолга)</v>
      </c>
    </row>
    <row r="131" spans="1:2" x14ac:dyDescent="0.35">
      <c r="A131" s="72" t="s">
        <v>288</v>
      </c>
      <c r="B131" s="9" t="str">
        <f>'ПБ V-1 (fin min)'!A62</f>
        <v>D. Суммарный приток валюты (= A+B-C)</v>
      </c>
    </row>
    <row r="132" spans="1:2" x14ac:dyDescent="0.35">
      <c r="A132" s="72" t="s">
        <v>289</v>
      </c>
      <c r="B132" s="2" t="str">
        <f>'ПБ V-1 (fin min)'!A93</f>
        <v>Динамика резервов</v>
      </c>
    </row>
    <row r="133" spans="1:2" x14ac:dyDescent="0.35">
      <c r="A133" s="72" t="s">
        <v>245</v>
      </c>
    </row>
    <row r="138" spans="1:2" x14ac:dyDescent="0.35">
      <c r="B138" s="2">
        <v>2021</v>
      </c>
    </row>
    <row r="139" spans="1:2" x14ac:dyDescent="0.35">
      <c r="B139" s="2">
        <v>1</v>
      </c>
    </row>
    <row r="140" spans="1:2" x14ac:dyDescent="0.35">
      <c r="A140" s="72" t="s">
        <v>14</v>
      </c>
      <c r="B140" s="9" t="str">
        <f>'ПБ V-1 (fin min)'!A45</f>
        <v>Погашения</v>
      </c>
    </row>
    <row r="141" spans="1:2" x14ac:dyDescent="0.35">
      <c r="A141" s="72" t="s">
        <v>15</v>
      </c>
      <c r="B141" s="9" t="str">
        <f>'ПБ V-1 (fin min)'!A46</f>
        <v>По внешнему государственному долгу</v>
      </c>
    </row>
    <row r="142" spans="1:2" x14ac:dyDescent="0.35">
      <c r="A142" s="72" t="s">
        <v>16</v>
      </c>
      <c r="B142" s="9" t="str">
        <f>'ПБ V-1 (fin min)'!A47</f>
        <v>По валютным ОВГЗ</v>
      </c>
    </row>
    <row r="143" spans="1:2" x14ac:dyDescent="0.35">
      <c r="A143" s="72" t="s">
        <v>195</v>
      </c>
      <c r="B143" s="9" t="str">
        <f>'ПБ V-1 (fin min)'!A48</f>
        <v>Обслуживание</v>
      </c>
    </row>
    <row r="144" spans="1:2" x14ac:dyDescent="0.35">
      <c r="A144" s="72" t="s">
        <v>15</v>
      </c>
      <c r="B144" s="9" t="str">
        <f>'ПБ V-1 (fin min)'!A49</f>
        <v>По внешнему государственному долгу</v>
      </c>
    </row>
    <row r="145" spans="1:3" x14ac:dyDescent="0.35">
      <c r="A145" s="72" t="s">
        <v>16</v>
      </c>
      <c r="B145" s="9" t="str">
        <f>'ПБ V-1 (fin min)'!A50</f>
        <v>По валютным ОВГЗ</v>
      </c>
    </row>
    <row r="146" spans="1:3" x14ac:dyDescent="0.35">
      <c r="A146" s="72" t="s">
        <v>208</v>
      </c>
      <c r="B146" s="9" t="str">
        <f>'ПБ V-1 (fin min)'!A51</f>
        <v>Валютный эквивалент купонов нерезидентам по ОВДП (грн)</v>
      </c>
    </row>
    <row r="147" spans="1:3" x14ac:dyDescent="0.35">
      <c r="A147" s="72" t="s">
        <v>169</v>
      </c>
      <c r="B147" s="9" t="str">
        <f>'ПБ V-1 (fin min)'!A52</f>
        <v>Привлечения</v>
      </c>
    </row>
    <row r="148" spans="1:3" x14ac:dyDescent="0.35">
      <c r="A148" s="72" t="s">
        <v>18</v>
      </c>
      <c r="B148" s="9" t="str">
        <f>'ПБ V-1 (fin min)'!A53</f>
        <v>Через валютные ОВГЗ, млн долл. США</v>
      </c>
      <c r="C148" s="9" t="str">
        <f>'ПБ V-1 (fin min)'!A53</f>
        <v>Через валютные ОВГЗ, млн долл. США</v>
      </c>
    </row>
    <row r="149" spans="1:3" x14ac:dyDescent="0.35">
      <c r="A149" s="72" t="s">
        <v>209</v>
      </c>
      <c r="B149" s="9" t="str">
        <f>'ПБ V-1 (fin min)'!A56</f>
        <v xml:space="preserve">Другие операции, в том числе: выход нерезидентов из ОВГЗ (грн), закрытые операции, погрешности в учете </v>
      </c>
      <c r="C149" s="9" t="str">
        <f>'ПБ V-1 (fin min)'!A54</f>
        <v>Внешнее финансирование (МВФ, Еврокомиссия и другие)</v>
      </c>
    </row>
    <row r="150" spans="1:3" x14ac:dyDescent="0.35">
      <c r="A150" s="72" t="s">
        <v>213</v>
      </c>
      <c r="C150" s="9" t="str">
        <f>'ПБ V-1 (fin min)'!A55</f>
        <v>Гранты (из вторичных доходов CAB)</v>
      </c>
    </row>
    <row r="151" spans="1:3" x14ac:dyDescent="0.35">
      <c r="A151" s="72" t="s">
        <v>19</v>
      </c>
      <c r="B151" s="9" t="str">
        <f>'ПБ V-1 (fin min)'!A54</f>
        <v>Внешнее финансирование (МВФ, Еврокомиссия и другие)</v>
      </c>
      <c r="C151" s="9" t="str">
        <f>'ПБ V-1 (fin min)'!A56</f>
        <v xml:space="preserve">Другие операции, в том числе: выход нерезидентов из ОВГЗ (грн), закрытые операции, погрешности в учете </v>
      </c>
    </row>
    <row r="152" spans="1:3" x14ac:dyDescent="0.35">
      <c r="A152" s="72" t="s">
        <v>20</v>
      </c>
      <c r="C152" s="9"/>
    </row>
    <row r="153" spans="1:3" x14ac:dyDescent="0.35">
      <c r="A153" s="72" t="s">
        <v>249</v>
      </c>
      <c r="B153" s="9" t="str">
        <f>'ПБ V-1 (fin min)'!A55</f>
        <v>Гранты (из вторичных доходов CAB)</v>
      </c>
      <c r="C153" s="9"/>
    </row>
    <row r="154" spans="1:3" x14ac:dyDescent="0.35">
      <c r="A154" s="72" t="s">
        <v>256</v>
      </c>
      <c r="B154" s="9" t="str">
        <f>'ПБ V-1 (fin min)'!A58</f>
        <v>Общее сальдо операций госсектора (погашения/привлечения) с учетом МВФ</v>
      </c>
    </row>
    <row r="155" spans="1:3" x14ac:dyDescent="0.35">
      <c r="A155" s="72" t="s">
        <v>257</v>
      </c>
    </row>
    <row r="159" spans="1:3" x14ac:dyDescent="0.35">
      <c r="A159" s="72" t="s">
        <v>291</v>
      </c>
      <c r="B159" s="9" t="str">
        <f>'ПБ V-1 (fin min)'!A63</f>
        <v xml:space="preserve">Сальдо давления на открытый рынок </v>
      </c>
    </row>
    <row r="160" spans="1:3" x14ac:dyDescent="0.35">
      <c r="A160" s="72" t="s">
        <v>292</v>
      </c>
      <c r="B160" s="2" t="str">
        <f>'ПБ V-1 (fin min)'!A79</f>
        <v>Сальдо резервов</v>
      </c>
    </row>
    <row r="161" spans="1:2" x14ac:dyDescent="0.35">
      <c r="A161" s="72" t="s">
        <v>293</v>
      </c>
      <c r="B161" s="1176"/>
    </row>
    <row r="162" spans="1:2" x14ac:dyDescent="0.35">
      <c r="A162" s="72" t="s">
        <v>294</v>
      </c>
    </row>
  </sheetData>
  <mergeCells count="4">
    <mergeCell ref="B69:M69"/>
    <mergeCell ref="B117:N117"/>
    <mergeCell ref="O117:AA117"/>
    <mergeCell ref="AB117:AN117"/>
  </mergeCells>
  <pageMargins left="0.7" right="0.7" top="0.75" bottom="0.75" header="0.3" footer="0.3"/>
  <pageSetup paperSize="9" orientation="portrait" horizontalDpi="4294967295" verticalDpi="4294967295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9900"/>
  </sheetPr>
  <dimension ref="A1:AN162"/>
  <sheetViews>
    <sheetView topLeftCell="P34" zoomScale="58" zoomScaleNormal="70" workbookViewId="0">
      <selection activeCell="Z49" sqref="Z49"/>
    </sheetView>
  </sheetViews>
  <sheetFormatPr defaultColWidth="8.69921875" defaultRowHeight="18" x14ac:dyDescent="0.35"/>
  <cols>
    <col min="1" max="1" width="88.3984375" style="72" customWidth="1"/>
    <col min="2" max="2" width="19.59765625" style="2" customWidth="1"/>
    <col min="3" max="3" width="34.09765625" style="2" customWidth="1"/>
    <col min="4" max="4" width="28" style="2" customWidth="1"/>
    <col min="5" max="5" width="16.59765625" style="2" customWidth="1"/>
    <col min="6" max="6" width="26" style="2" customWidth="1"/>
    <col min="7" max="7" width="19.3984375" style="2" customWidth="1"/>
    <col min="8" max="8" width="24.59765625" style="2" customWidth="1"/>
    <col min="9" max="9" width="28.09765625" style="2" customWidth="1"/>
    <col min="10" max="10" width="17" style="2" customWidth="1"/>
    <col min="11" max="12" width="30.3984375" style="2" customWidth="1"/>
    <col min="13" max="13" width="41.69921875" style="2" customWidth="1"/>
    <col min="14" max="14" width="23.59765625" style="2" customWidth="1"/>
    <col min="15" max="26" width="20.3984375" style="2" customWidth="1"/>
    <col min="27" max="27" width="16.09765625" style="2" customWidth="1"/>
    <col min="28" max="39" width="20.3984375" style="2" customWidth="1"/>
    <col min="40" max="40" width="16.09765625" style="2" customWidth="1"/>
    <col min="41" max="16384" width="8.69921875" style="2"/>
  </cols>
  <sheetData>
    <row r="1" spans="1:31" x14ac:dyDescent="0.35">
      <c r="G1" s="3">
        <v>1000</v>
      </c>
      <c r="H1" s="2">
        <v>-1</v>
      </c>
      <c r="K1" s="2">
        <v>-1</v>
      </c>
      <c r="M1" s="2" t="s">
        <v>22</v>
      </c>
      <c r="N1" s="2">
        <v>-1000</v>
      </c>
    </row>
    <row r="2" spans="1:31" ht="18.75" thickBot="1" x14ac:dyDescent="0.4">
      <c r="G2" s="68"/>
      <c r="M2" s="2">
        <v>1</v>
      </c>
      <c r="N2" s="2">
        <v>1.0920000000000001</v>
      </c>
      <c r="Q2" s="68"/>
      <c r="T2" s="68"/>
      <c r="U2" s="68"/>
      <c r="V2" s="68"/>
    </row>
    <row r="3" spans="1:31" ht="83.25" customHeight="1" x14ac:dyDescent="0.35">
      <c r="A3" s="73"/>
      <c r="B3" s="10"/>
      <c r="C3" s="1283" t="str">
        <f>INDEX($AC4:$AE4,1,MATCH(Чарти!$B$1,$AC$3:$AE$3,0))</f>
        <v>Динамика резервов, $ млрд</v>
      </c>
      <c r="D3" s="227" t="s">
        <v>218</v>
      </c>
      <c r="E3" s="227" t="s">
        <v>217</v>
      </c>
      <c r="F3" s="1283" t="str">
        <f>INDEX($AC5:$AE5,1,MATCH(Чарти!$B$1,$AC$3:$AE$3,0))</f>
        <v>Общий приток валюты, $ млрд</v>
      </c>
      <c r="G3" s="264" t="s">
        <v>42</v>
      </c>
      <c r="H3" s="1283" t="str">
        <f>INDEX($AC6:$AE6,1,MATCH(Чарти!$B$1,$AC$3:$AE$3,0))</f>
        <v>Счет текущих операций, $ млрд</v>
      </c>
      <c r="I3" s="11" t="s">
        <v>37</v>
      </c>
      <c r="J3" s="12" t="s">
        <v>38</v>
      </c>
      <c r="K3" s="11" t="s">
        <v>39</v>
      </c>
      <c r="L3" s="11" t="s">
        <v>40</v>
      </c>
      <c r="M3" s="1283" t="str">
        <f>INDEX($AC7:$AE7,1,MATCH(Чарти!$B$1,$AC$3:$AE$3,0))</f>
        <v>Сальдо инвестиций частного сектора, $ млрд</v>
      </c>
      <c r="N3" s="1285" t="str">
        <f>INDEX($AC8:$AE8,1,MATCH(Чарти!$B$1,$AC$3:$AE$3,0))</f>
        <v>Чистые государственные привлечения, $ млрд</v>
      </c>
      <c r="O3" s="4"/>
      <c r="P3" s="4"/>
      <c r="Q3" s="11" t="s">
        <v>152</v>
      </c>
      <c r="R3" s="11" t="s">
        <v>37</v>
      </c>
      <c r="S3" s="12" t="s">
        <v>38</v>
      </c>
      <c r="T3" s="11" t="s">
        <v>39</v>
      </c>
      <c r="U3" s="11" t="s">
        <v>40</v>
      </c>
      <c r="V3" s="226" t="s">
        <v>147</v>
      </c>
      <c r="W3" s="264" t="s">
        <v>42</v>
      </c>
      <c r="X3" s="4"/>
      <c r="Y3" s="1284" t="str">
        <f>INDEX($AC9:$AE9,1,MATCH(Чарти!$B$1,$AC$3:$AE$3,0))</f>
        <v>Курс</v>
      </c>
      <c r="AC3" s="2" t="s">
        <v>336</v>
      </c>
      <c r="AD3" s="2" t="s">
        <v>337</v>
      </c>
      <c r="AE3" s="2" t="s">
        <v>334</v>
      </c>
    </row>
    <row r="4" spans="1:31" x14ac:dyDescent="0.35">
      <c r="A4" s="70">
        <v>2021</v>
      </c>
      <c r="B4" s="8" t="s">
        <v>0</v>
      </c>
      <c r="C4" s="8">
        <f>D4</f>
        <v>-0.312</v>
      </c>
      <c r="D4" s="553">
        <f t="array" ref="D4:D15">TRANSPOSE('ПБ V-1 (fin min)'!Z79:AK79)/1000</f>
        <v>-0.312</v>
      </c>
      <c r="E4" s="5">
        <f>F4</f>
        <v>-0.219</v>
      </c>
      <c r="F4" s="5">
        <f t="shared" ref="F4:F15" si="0">D18</f>
        <v>-0.219</v>
      </c>
      <c r="G4" s="221">
        <f t="shared" ref="G4:G15" si="1">-W4/1000</f>
        <v>-0.52300000000000002</v>
      </c>
      <c r="H4" s="3">
        <f t="shared" ref="H4:H15" si="2">Q4/1000</f>
        <v>0.16</v>
      </c>
      <c r="I4">
        <v>0</v>
      </c>
      <c r="J4" s="222">
        <v>0.50298984900225296</v>
      </c>
      <c r="K4" s="221">
        <f t="shared" ref="K4:K15" si="3">-T4/1000</f>
        <v>0.63400000000000001</v>
      </c>
      <c r="L4" s="221">
        <f t="shared" ref="L4:L15" si="4">-U4/1000</f>
        <v>-1.25</v>
      </c>
      <c r="M4" s="3">
        <f t="array" ref="M4:M15">TRANSPOSE('ПБ V-1 (fin min)'!Z23:AK23)/1000</f>
        <v>0.71399999999999997</v>
      </c>
      <c r="N4" s="3">
        <f t="shared" ref="N4:N15" si="5">V4/1000</f>
        <v>0.33300000000000002</v>
      </c>
      <c r="O4" s="6"/>
      <c r="P4" s="316" t="s">
        <v>178</v>
      </c>
      <c r="Q4" s="265">
        <f t="array" ref="Q4:Q15">TRANSPOSE('ПБ V-1 (fin min)'!Z4:AK4)</f>
        <v>160</v>
      </c>
      <c r="R4" s="266"/>
      <c r="S4" s="266"/>
      <c r="T4" s="266">
        <f t="array" ref="T4:T15">TRANSPOSE('ПБ V-1 (fin min)'!Z24:AK24)</f>
        <v>-634</v>
      </c>
      <c r="U4" s="266">
        <f t="array" ref="U4:U15">TRANSPOSE('ПБ V-1 (fin min)'!Z32:AK32)</f>
        <v>1250</v>
      </c>
      <c r="V4" s="267">
        <f t="array" ref="V4:V15">TRANSPOSE('ПБ V-1 (fin min)'!Z58:AK58)</f>
        <v>333</v>
      </c>
      <c r="W4" s="268">
        <f t="array" ref="W4:W15">TRANSPOSE('ПБ V-1 (fin min)'!Z36:AK36)</f>
        <v>523</v>
      </c>
      <c r="X4" s="315"/>
      <c r="Y4" s="551">
        <f t="array" ref="Y4:Y15">TRANSPOSE('ПБ V-1 (fin min)'!Z82:AK82)</f>
        <v>28.219770967741901</v>
      </c>
      <c r="Z4" s="267"/>
      <c r="AC4" s="1351" t="s">
        <v>575</v>
      </c>
      <c r="AD4" t="s">
        <v>574</v>
      </c>
      <c r="AE4" s="1349" t="s">
        <v>566</v>
      </c>
    </row>
    <row r="5" spans="1:31" x14ac:dyDescent="0.35">
      <c r="A5" s="70"/>
      <c r="B5" s="8" t="s">
        <v>1</v>
      </c>
      <c r="C5" s="8">
        <f>C4+D5</f>
        <v>-0.59000000000000008</v>
      </c>
      <c r="D5" s="553">
        <v>-0.27800000000000002</v>
      </c>
      <c r="E5" s="5">
        <f t="shared" ref="E5:E15" si="6">E4+F5</f>
        <v>-0.24299999999999999</v>
      </c>
      <c r="F5" s="5">
        <f t="shared" si="0"/>
        <v>-2.4E-2</v>
      </c>
      <c r="G5" s="221">
        <f t="shared" si="1"/>
        <v>-0.56999999999999995</v>
      </c>
      <c r="H5" s="3">
        <f t="shared" si="2"/>
        <v>9.4E-2</v>
      </c>
      <c r="I5">
        <v>0</v>
      </c>
      <c r="J5" s="222">
        <v>1.3232053791098599</v>
      </c>
      <c r="K5" s="221">
        <f t="shared" si="3"/>
        <v>0.153</v>
      </c>
      <c r="L5" s="221">
        <f t="shared" si="4"/>
        <v>-0.34200000000000003</v>
      </c>
      <c r="M5" s="3">
        <v>0.27900000000000003</v>
      </c>
      <c r="N5" s="3">
        <f t="shared" si="5"/>
        <v>0.159</v>
      </c>
      <c r="O5" s="6"/>
      <c r="P5" s="316" t="s">
        <v>179</v>
      </c>
      <c r="Q5" s="265">
        <v>94</v>
      </c>
      <c r="R5" s="267"/>
      <c r="S5" s="266"/>
      <c r="T5" s="266">
        <v>-153</v>
      </c>
      <c r="U5" s="266">
        <v>342</v>
      </c>
      <c r="V5" s="267">
        <v>159</v>
      </c>
      <c r="W5" s="268">
        <v>570</v>
      </c>
      <c r="X5" s="9"/>
      <c r="Y5" s="551">
        <v>27.884660714285701</v>
      </c>
      <c r="Z5" s="267"/>
      <c r="AC5" s="2" t="s">
        <v>285</v>
      </c>
      <c r="AD5" s="1346" t="s">
        <v>558</v>
      </c>
      <c r="AE5" s="1286" t="s">
        <v>393</v>
      </c>
    </row>
    <row r="6" spans="1:31" x14ac:dyDescent="0.35">
      <c r="A6" s="70"/>
      <c r="B6" s="8" t="s">
        <v>2</v>
      </c>
      <c r="C6" s="8">
        <f t="shared" ref="C6:C14" si="7">C5+D6</f>
        <v>-2.0979999999999999</v>
      </c>
      <c r="D6" s="553">
        <v>-1.508</v>
      </c>
      <c r="E6" s="5">
        <f t="shared" si="6"/>
        <v>-0.95799999999999996</v>
      </c>
      <c r="F6" s="5">
        <f t="shared" si="0"/>
        <v>-0.71499999999999997</v>
      </c>
      <c r="G6" s="221">
        <f t="shared" si="1"/>
        <v>-0.28999999999999998</v>
      </c>
      <c r="H6" s="3">
        <f t="shared" si="2"/>
        <v>-0.82099999999999995</v>
      </c>
      <c r="I6">
        <v>0</v>
      </c>
      <c r="J6" s="222">
        <v>-0.28591382971590401</v>
      </c>
      <c r="K6" s="221">
        <f t="shared" si="3"/>
        <v>0.73</v>
      </c>
      <c r="L6" s="221">
        <f t="shared" si="4"/>
        <v>-0.46800000000000003</v>
      </c>
      <c r="M6" s="3">
        <v>-0.36</v>
      </c>
      <c r="N6" s="3">
        <f t="shared" si="5"/>
        <v>-0.25600000000000001</v>
      </c>
      <c r="O6" s="6"/>
      <c r="P6" s="316" t="s">
        <v>180</v>
      </c>
      <c r="Q6" s="265">
        <v>-821</v>
      </c>
      <c r="R6" s="267"/>
      <c r="S6" s="266"/>
      <c r="T6" s="266">
        <v>-730</v>
      </c>
      <c r="U6" s="266">
        <v>468</v>
      </c>
      <c r="V6" s="267">
        <v>-256</v>
      </c>
      <c r="W6" s="268">
        <v>290</v>
      </c>
      <c r="X6" s="9"/>
      <c r="Y6" s="551">
        <v>27.795558064516101</v>
      </c>
      <c r="Z6" s="267"/>
      <c r="AC6" s="1286" t="s">
        <v>394</v>
      </c>
      <c r="AD6" s="1286" t="s">
        <v>396</v>
      </c>
      <c r="AE6" s="1286" t="s">
        <v>395</v>
      </c>
    </row>
    <row r="7" spans="1:31" x14ac:dyDescent="0.35">
      <c r="A7" s="70"/>
      <c r="B7" s="8" t="s">
        <v>3</v>
      </c>
      <c r="C7" s="8">
        <f>C6+D7</f>
        <v>-1.133</v>
      </c>
      <c r="D7" s="553">
        <v>0.96499999999999997</v>
      </c>
      <c r="E7" s="5">
        <f t="shared" si="6"/>
        <v>-0.251</v>
      </c>
      <c r="F7" s="5">
        <f t="shared" si="0"/>
        <v>0.70699999999999996</v>
      </c>
      <c r="G7" s="221">
        <f t="shared" si="1"/>
        <v>-0.16900000000000001</v>
      </c>
      <c r="H7" s="3">
        <f t="shared" si="2"/>
        <v>1.4E-2</v>
      </c>
      <c r="I7">
        <v>0</v>
      </c>
      <c r="J7" s="222">
        <v>0</v>
      </c>
      <c r="K7" s="221">
        <f t="shared" si="3"/>
        <v>0.626</v>
      </c>
      <c r="L7" s="221">
        <f t="shared" si="4"/>
        <v>-1.0089999999999999</v>
      </c>
      <c r="M7" s="3">
        <v>0.33100000000000002</v>
      </c>
      <c r="N7" s="3">
        <f t="shared" si="5"/>
        <v>1.0229999999999999</v>
      </c>
      <c r="O7" s="6"/>
      <c r="P7" s="316" t="s">
        <v>181</v>
      </c>
      <c r="Q7" s="265">
        <v>14</v>
      </c>
      <c r="R7" s="267"/>
      <c r="S7" s="266"/>
      <c r="T7" s="266">
        <v>-626</v>
      </c>
      <c r="U7" s="266">
        <v>1009</v>
      </c>
      <c r="V7" s="267">
        <v>1023</v>
      </c>
      <c r="W7" s="268">
        <v>169</v>
      </c>
      <c r="X7" s="9"/>
      <c r="Y7" s="551">
        <v>27.93</v>
      </c>
      <c r="Z7" s="267"/>
      <c r="AC7" s="2" t="s">
        <v>150</v>
      </c>
      <c r="AD7" s="1286" t="s">
        <v>397</v>
      </c>
      <c r="AE7" s="1345" t="s">
        <v>557</v>
      </c>
    </row>
    <row r="8" spans="1:31" x14ac:dyDescent="0.35">
      <c r="A8" s="70"/>
      <c r="B8" s="8" t="s">
        <v>4</v>
      </c>
      <c r="C8" s="8">
        <f t="shared" si="7"/>
        <v>-1.2929999999999999</v>
      </c>
      <c r="D8" s="553">
        <v>-0.16</v>
      </c>
      <c r="E8" s="5">
        <f t="shared" si="6"/>
        <v>-0.64900000000000002</v>
      </c>
      <c r="F8" s="5">
        <f t="shared" si="0"/>
        <v>-0.39800000000000002</v>
      </c>
      <c r="G8" s="221">
        <f t="shared" si="1"/>
        <v>-0.30599999999999999</v>
      </c>
      <c r="H8" s="3">
        <f t="shared" si="2"/>
        <v>0.315</v>
      </c>
      <c r="I8">
        <v>0</v>
      </c>
      <c r="J8" s="222">
        <v>0</v>
      </c>
      <c r="K8" s="221">
        <f t="shared" si="3"/>
        <v>0.24</v>
      </c>
      <c r="L8" s="221">
        <f t="shared" si="4"/>
        <v>-1.3120000000000001</v>
      </c>
      <c r="M8" s="3">
        <v>0.78200000000000003</v>
      </c>
      <c r="N8" s="3">
        <f t="shared" si="5"/>
        <v>6.4000000000000001E-2</v>
      </c>
      <c r="O8" s="6"/>
      <c r="P8" s="316" t="s">
        <v>182</v>
      </c>
      <c r="Q8" s="265">
        <v>315</v>
      </c>
      <c r="R8" s="267"/>
      <c r="S8" s="266"/>
      <c r="T8" s="266">
        <v>-240</v>
      </c>
      <c r="U8" s="266">
        <v>1312</v>
      </c>
      <c r="V8" s="267">
        <v>64</v>
      </c>
      <c r="W8" s="268">
        <v>306</v>
      </c>
      <c r="X8" s="9"/>
      <c r="Y8" s="551">
        <v>27.6</v>
      </c>
      <c r="Z8" s="267"/>
      <c r="AC8" s="2" t="s">
        <v>147</v>
      </c>
      <c r="AD8" s="1286" t="s">
        <v>398</v>
      </c>
      <c r="AE8" s="2" t="s">
        <v>392</v>
      </c>
    </row>
    <row r="9" spans="1:31" x14ac:dyDescent="0.35">
      <c r="A9" s="70"/>
      <c r="B9" s="8" t="s">
        <v>5</v>
      </c>
      <c r="C9" s="8">
        <f t="shared" si="7"/>
        <v>-0.77529999999999921</v>
      </c>
      <c r="D9" s="553">
        <v>0.51770000000000072</v>
      </c>
      <c r="E9" s="5">
        <f t="shared" si="6"/>
        <v>-4.1000000000000036E-2</v>
      </c>
      <c r="F9" s="5">
        <f t="shared" si="0"/>
        <v>0.60799999999999998</v>
      </c>
      <c r="G9" s="221">
        <f t="shared" si="1"/>
        <v>-0.19600000000000001</v>
      </c>
      <c r="H9" s="3">
        <f t="shared" si="2"/>
        <v>-0.18099999999999999</v>
      </c>
      <c r="I9">
        <v>0</v>
      </c>
      <c r="J9" s="222">
        <v>0</v>
      </c>
      <c r="K9" s="221">
        <f t="shared" si="3"/>
        <v>0.32700000000000001</v>
      </c>
      <c r="L9" s="221">
        <f t="shared" si="4"/>
        <v>-1.2509999999999999</v>
      </c>
      <c r="M9" s="3">
        <v>0</v>
      </c>
      <c r="N9" s="3">
        <f t="shared" si="5"/>
        <v>0.78800000000000003</v>
      </c>
      <c r="O9" s="6"/>
      <c r="P9" s="316" t="s">
        <v>183</v>
      </c>
      <c r="Q9" s="266">
        <v>-181</v>
      </c>
      <c r="R9" s="267"/>
      <c r="S9" s="266"/>
      <c r="T9" s="266">
        <v>-327</v>
      </c>
      <c r="U9" s="266">
        <v>1251</v>
      </c>
      <c r="V9" s="267">
        <v>788</v>
      </c>
      <c r="W9" s="268">
        <v>196</v>
      </c>
      <c r="X9" s="9"/>
      <c r="Y9" s="551">
        <v>27.239873333333321</v>
      </c>
      <c r="Z9" s="267"/>
      <c r="AC9" s="2" t="s">
        <v>117</v>
      </c>
      <c r="AD9" s="1286" t="s">
        <v>399</v>
      </c>
      <c r="AE9" s="2" t="s">
        <v>117</v>
      </c>
    </row>
    <row r="10" spans="1:31" x14ac:dyDescent="0.35">
      <c r="A10" s="70"/>
      <c r="B10" s="8" t="s">
        <v>6</v>
      </c>
      <c r="C10" s="8">
        <f t="shared" si="7"/>
        <v>-0.18199999999999994</v>
      </c>
      <c r="D10" s="553">
        <v>0.59329999999999927</v>
      </c>
      <c r="E10" s="5">
        <f t="shared" si="6"/>
        <v>0.24899999999999994</v>
      </c>
      <c r="F10" s="5">
        <f t="shared" si="0"/>
        <v>0.28999999999999998</v>
      </c>
      <c r="G10" s="221">
        <f t="shared" si="1"/>
        <v>-0.19400000000000001</v>
      </c>
      <c r="H10" s="3">
        <f t="shared" si="2"/>
        <v>-0.66200000000000003</v>
      </c>
      <c r="I10">
        <v>0</v>
      </c>
      <c r="J10" s="222">
        <v>0</v>
      </c>
      <c r="K10" s="221">
        <f t="shared" si="3"/>
        <v>0.81100000000000005</v>
      </c>
      <c r="L10" s="221">
        <f t="shared" si="4"/>
        <v>-0.72299999999999998</v>
      </c>
      <c r="M10" s="3">
        <v>-0.57399999999999995</v>
      </c>
      <c r="N10" s="3">
        <f t="shared" si="5"/>
        <v>0.376</v>
      </c>
      <c r="O10" s="6"/>
      <c r="P10" s="316" t="s">
        <v>184</v>
      </c>
      <c r="Q10" s="266">
        <v>-662</v>
      </c>
      <c r="R10" s="267"/>
      <c r="S10" s="266"/>
      <c r="T10" s="266">
        <v>-811</v>
      </c>
      <c r="U10" s="266">
        <v>723</v>
      </c>
      <c r="V10" s="267">
        <v>376</v>
      </c>
      <c r="W10" s="268">
        <v>194</v>
      </c>
      <c r="X10" s="9"/>
      <c r="Y10" s="551">
        <v>27.214548387096801</v>
      </c>
      <c r="Z10" s="267"/>
      <c r="AC10" s="1366" t="s">
        <v>629</v>
      </c>
      <c r="AD10" s="1286" t="s">
        <v>399</v>
      </c>
      <c r="AE10" s="1366" t="s">
        <v>630</v>
      </c>
    </row>
    <row r="11" spans="1:31" x14ac:dyDescent="0.35">
      <c r="A11" s="70"/>
      <c r="B11" s="8" t="s">
        <v>7</v>
      </c>
      <c r="C11" s="8">
        <f t="shared" si="7"/>
        <v>2.4809999999999999</v>
      </c>
      <c r="D11" s="553">
        <v>2.6629999999999998</v>
      </c>
      <c r="E11" s="5">
        <f t="shared" si="6"/>
        <v>0.11199999999999993</v>
      </c>
      <c r="F11" s="5">
        <f t="shared" si="0"/>
        <v>-0.13700000000000001</v>
      </c>
      <c r="G11" s="221">
        <f t="shared" si="1"/>
        <v>-0.64700000000000002</v>
      </c>
      <c r="H11" s="3">
        <f t="shared" si="2"/>
        <v>-6.2E-2</v>
      </c>
      <c r="I11">
        <v>0</v>
      </c>
      <c r="J11" s="222">
        <v>0</v>
      </c>
      <c r="K11" s="221">
        <f t="shared" si="3"/>
        <v>0.89200000000000002</v>
      </c>
      <c r="L11" s="221">
        <f t="shared" si="4"/>
        <v>-0.871</v>
      </c>
      <c r="M11" s="3">
        <v>-0.27700000000000002</v>
      </c>
      <c r="N11" s="3">
        <f t="shared" si="5"/>
        <v>-0.34899999999999998</v>
      </c>
      <c r="O11" s="6"/>
      <c r="P11" s="316" t="s">
        <v>185</v>
      </c>
      <c r="Q11" s="266">
        <v>-62</v>
      </c>
      <c r="R11" s="267"/>
      <c r="S11" s="266"/>
      <c r="T11" s="266">
        <v>-892</v>
      </c>
      <c r="U11" s="266">
        <v>871</v>
      </c>
      <c r="V11" s="267">
        <v>-349</v>
      </c>
      <c r="W11" s="268">
        <v>647</v>
      </c>
      <c r="X11" s="9"/>
      <c r="Y11" s="551">
        <v>26.76</v>
      </c>
      <c r="Z11" s="267"/>
      <c r="AC11" s="1366" t="s">
        <v>629</v>
      </c>
      <c r="AD11" s="1286" t="s">
        <v>399</v>
      </c>
      <c r="AE11" s="1366" t="s">
        <v>630</v>
      </c>
    </row>
    <row r="12" spans="1:31" x14ac:dyDescent="0.35">
      <c r="A12" s="70"/>
      <c r="B12" s="8" t="s">
        <v>8</v>
      </c>
      <c r="C12" s="8">
        <f t="shared" si="7"/>
        <v>-0.42700000000000005</v>
      </c>
      <c r="D12" s="553">
        <v>-2.9079999999999999</v>
      </c>
      <c r="E12" s="5">
        <f t="shared" si="6"/>
        <v>-2.4259999999999997</v>
      </c>
      <c r="F12" s="5">
        <f t="shared" si="0"/>
        <v>-2.5379999999999998</v>
      </c>
      <c r="G12" s="221">
        <f t="shared" si="1"/>
        <v>-0.499</v>
      </c>
      <c r="H12" s="3">
        <f t="shared" si="2"/>
        <v>-0.91</v>
      </c>
      <c r="I12">
        <v>0</v>
      </c>
      <c r="J12" s="222">
        <v>0</v>
      </c>
      <c r="K12" s="221">
        <f t="shared" si="3"/>
        <v>0.80500000000000005</v>
      </c>
      <c r="L12" s="221">
        <f t="shared" si="4"/>
        <v>-0.52200000000000002</v>
      </c>
      <c r="M12" s="3">
        <v>-0.318</v>
      </c>
      <c r="N12" s="3">
        <f t="shared" si="5"/>
        <v>-1.9450000000000001</v>
      </c>
      <c r="O12" s="6"/>
      <c r="P12" s="316" t="s">
        <v>186</v>
      </c>
      <c r="Q12" s="266">
        <v>-910</v>
      </c>
      <c r="R12" s="267"/>
      <c r="S12" s="266"/>
      <c r="T12" s="266">
        <v>-805</v>
      </c>
      <c r="U12" s="266">
        <v>522</v>
      </c>
      <c r="V12" s="267">
        <v>-1945</v>
      </c>
      <c r="W12" s="268">
        <v>499</v>
      </c>
      <c r="X12" s="9"/>
      <c r="Y12" s="551">
        <v>26.73</v>
      </c>
      <c r="Z12" s="267"/>
    </row>
    <row r="13" spans="1:31" x14ac:dyDescent="0.35">
      <c r="A13" s="70"/>
      <c r="B13" s="8" t="s">
        <v>9</v>
      </c>
      <c r="C13" s="8">
        <f t="shared" si="7"/>
        <v>0.52099999999999991</v>
      </c>
      <c r="D13" s="553">
        <v>0.94799999999999995</v>
      </c>
      <c r="E13" s="5">
        <f t="shared" si="6"/>
        <v>-1.3659999999999997</v>
      </c>
      <c r="F13" s="5">
        <f t="shared" si="0"/>
        <v>1.06</v>
      </c>
      <c r="G13" s="221">
        <f t="shared" si="1"/>
        <v>-0.53600000000000003</v>
      </c>
      <c r="H13" s="3">
        <f t="shared" si="2"/>
        <v>-2.4E-2</v>
      </c>
      <c r="I13">
        <v>0</v>
      </c>
      <c r="J13" s="222">
        <v>0</v>
      </c>
      <c r="K13" s="221">
        <f t="shared" si="3"/>
        <v>0.57899999999999996</v>
      </c>
      <c r="L13" s="221">
        <f t="shared" si="4"/>
        <v>-5.3999999999999999E-2</v>
      </c>
      <c r="M13" s="3">
        <v>-0.60799999999999998</v>
      </c>
      <c r="N13" s="3">
        <f t="shared" si="5"/>
        <v>0.47399999999999998</v>
      </c>
      <c r="O13" s="6"/>
      <c r="P13" s="316" t="s">
        <v>187</v>
      </c>
      <c r="Q13" s="266">
        <v>-24</v>
      </c>
      <c r="R13" s="267"/>
      <c r="S13" s="266"/>
      <c r="T13" s="268">
        <v>-579</v>
      </c>
      <c r="U13" s="266">
        <v>54</v>
      </c>
      <c r="V13" s="267">
        <v>474</v>
      </c>
      <c r="W13" s="268">
        <v>536</v>
      </c>
      <c r="X13" s="9"/>
      <c r="Y13" s="551">
        <v>26.37</v>
      </c>
      <c r="Z13" s="267"/>
    </row>
    <row r="14" spans="1:31" x14ac:dyDescent="0.35">
      <c r="A14" s="70"/>
      <c r="B14" s="8" t="s">
        <v>10</v>
      </c>
      <c r="C14" s="8">
        <f t="shared" si="7"/>
        <v>1.986</v>
      </c>
      <c r="D14" s="553">
        <v>1.4650000000000001</v>
      </c>
      <c r="E14" s="5">
        <f t="shared" si="6"/>
        <v>-1.0089999999999997</v>
      </c>
      <c r="F14" s="5">
        <f t="shared" si="0"/>
        <v>0.35699999999999998</v>
      </c>
      <c r="G14" s="221">
        <f t="shared" si="1"/>
        <v>-0.82399999999999995</v>
      </c>
      <c r="H14" s="3">
        <f t="shared" si="2"/>
        <v>-0.65400000000000003</v>
      </c>
      <c r="I14">
        <v>0</v>
      </c>
      <c r="J14" s="222">
        <v>0</v>
      </c>
      <c r="K14" s="221">
        <f t="shared" si="3"/>
        <v>0.36</v>
      </c>
      <c r="L14" s="221">
        <f t="shared" si="4"/>
        <v>-0.45500000000000002</v>
      </c>
      <c r="M14" s="3">
        <v>-0.84799999999999998</v>
      </c>
      <c r="N14" s="3">
        <f t="shared" si="5"/>
        <v>0.16200000000000001</v>
      </c>
      <c r="O14" s="6"/>
      <c r="P14" s="316" t="s">
        <v>188</v>
      </c>
      <c r="Q14" s="266">
        <v>-654</v>
      </c>
      <c r="R14" s="267"/>
      <c r="S14" s="266"/>
      <c r="T14" s="266">
        <v>-360</v>
      </c>
      <c r="U14" s="266">
        <v>455</v>
      </c>
      <c r="V14" s="267">
        <v>162</v>
      </c>
      <c r="W14" s="268">
        <v>824</v>
      </c>
      <c r="X14" s="9"/>
      <c r="Y14" s="551">
        <v>26.45</v>
      </c>
      <c r="Z14" s="267"/>
    </row>
    <row r="15" spans="1:31" ht="18.75" thickBot="1" x14ac:dyDescent="0.4">
      <c r="A15" s="71"/>
      <c r="B15" s="8" t="s">
        <v>11</v>
      </c>
      <c r="C15" s="8">
        <f>C14+D15</f>
        <v>3.2984999999999998</v>
      </c>
      <c r="D15" s="553">
        <v>1.3125</v>
      </c>
      <c r="E15" s="224">
        <f t="shared" si="6"/>
        <v>-0.65599999999999969</v>
      </c>
      <c r="F15" s="5">
        <f t="shared" si="0"/>
        <v>0.35299999999999998</v>
      </c>
      <c r="G15" s="221">
        <f t="shared" si="1"/>
        <v>-0.36699999999999999</v>
      </c>
      <c r="H15" s="3">
        <f t="shared" si="2"/>
        <v>-0.53700000000000003</v>
      </c>
      <c r="I15">
        <v>0</v>
      </c>
      <c r="J15" s="222">
        <v>0</v>
      </c>
      <c r="K15" s="221">
        <f t="shared" si="3"/>
        <v>0.57399999999999995</v>
      </c>
      <c r="L15" s="221">
        <f t="shared" si="4"/>
        <v>0.10100000000000001</v>
      </c>
      <c r="M15" s="3">
        <v>-0.433</v>
      </c>
      <c r="N15" s="3">
        <f t="shared" si="5"/>
        <v>0.45600000000000002</v>
      </c>
      <c r="O15" s="6"/>
      <c r="P15" s="316" t="s">
        <v>189</v>
      </c>
      <c r="Q15" s="269">
        <v>-537</v>
      </c>
      <c r="R15" s="267"/>
      <c r="S15" s="269"/>
      <c r="T15" s="269">
        <v>-574</v>
      </c>
      <c r="U15" s="269">
        <v>-101</v>
      </c>
      <c r="V15" s="270">
        <v>456</v>
      </c>
      <c r="W15" s="268">
        <v>367</v>
      </c>
      <c r="X15" s="9"/>
      <c r="Y15" s="551">
        <v>27.2134</v>
      </c>
      <c r="Z15" s="267"/>
    </row>
    <row r="16" spans="1:31" ht="19.5" thickBot="1" x14ac:dyDescent="0.4">
      <c r="B16" s="8"/>
      <c r="C16" s="8"/>
      <c r="E16" s="7"/>
      <c r="F16" s="15">
        <f>SUM(G16:N16)-K16-L16</f>
        <v>0</v>
      </c>
      <c r="Q16" s="6"/>
    </row>
    <row r="17" spans="1:25" x14ac:dyDescent="0.35">
      <c r="B17" s="8"/>
      <c r="C17" s="8"/>
      <c r="D17" s="8"/>
      <c r="E17" s="9"/>
      <c r="G17" s="221"/>
      <c r="H17" s="3"/>
      <c r="K17" s="221"/>
      <c r="L17" s="221"/>
      <c r="N17" s="3"/>
      <c r="O17" s="3"/>
      <c r="Q17" s="6"/>
    </row>
    <row r="18" spans="1:25" x14ac:dyDescent="0.35">
      <c r="B18" s="8"/>
      <c r="C18" s="8"/>
      <c r="D18" s="3">
        <f>E18/1000</f>
        <v>-0.219</v>
      </c>
      <c r="E18" s="267">
        <f t="array" ref="E18:E29">TRANSPOSE('ПБ V-1 (fin min)'!Z62:AK62)</f>
        <v>-219</v>
      </c>
      <c r="F18" s="221"/>
      <c r="G18" s="221"/>
      <c r="H18" s="3"/>
      <c r="K18" s="221"/>
      <c r="L18" s="221"/>
      <c r="N18" s="3"/>
      <c r="O18" s="3"/>
      <c r="Q18" s="6"/>
    </row>
    <row r="19" spans="1:25" x14ac:dyDescent="0.35">
      <c r="B19" s="8"/>
      <c r="C19" s="8"/>
      <c r="D19" s="3">
        <f t="shared" ref="D19:D29" si="8">E19/1000</f>
        <v>-2.4E-2</v>
      </c>
      <c r="E19" s="267">
        <v>-24</v>
      </c>
      <c r="F19" s="221"/>
      <c r="G19" s="221"/>
      <c r="H19" s="3"/>
      <c r="K19" s="221"/>
      <c r="L19" s="221"/>
      <c r="N19" s="3"/>
      <c r="O19" s="3"/>
      <c r="Q19" s="6"/>
    </row>
    <row r="20" spans="1:25" x14ac:dyDescent="0.35">
      <c r="B20" s="8"/>
      <c r="C20" s="8"/>
      <c r="D20" s="3">
        <f t="shared" si="8"/>
        <v>-0.71499999999999997</v>
      </c>
      <c r="E20" s="267">
        <v>-715</v>
      </c>
      <c r="F20" s="221"/>
      <c r="G20" s="221"/>
      <c r="H20" s="3"/>
      <c r="K20" s="221"/>
      <c r="L20" s="221"/>
      <c r="N20" s="3"/>
      <c r="O20" s="3"/>
    </row>
    <row r="21" spans="1:25" x14ac:dyDescent="0.35">
      <c r="B21" s="8"/>
      <c r="C21" s="8"/>
      <c r="D21" s="3">
        <f t="shared" si="8"/>
        <v>0.70699999999999996</v>
      </c>
      <c r="E21" s="267">
        <v>707</v>
      </c>
      <c r="F21" s="221"/>
      <c r="G21" s="221"/>
      <c r="H21" s="3"/>
      <c r="K21" s="221"/>
      <c r="L21" s="221"/>
      <c r="N21" s="3"/>
      <c r="O21" s="3"/>
    </row>
    <row r="22" spans="1:25" x14ac:dyDescent="0.35">
      <c r="B22" s="8"/>
      <c r="C22" s="8"/>
      <c r="D22" s="3">
        <f t="shared" si="8"/>
        <v>-0.39800000000000002</v>
      </c>
      <c r="E22" s="267">
        <v>-398</v>
      </c>
      <c r="F22" s="221"/>
      <c r="G22" s="221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25" x14ac:dyDescent="0.35">
      <c r="B23" s="8"/>
      <c r="C23" s="8"/>
      <c r="D23" s="3">
        <f t="shared" si="8"/>
        <v>0.60799999999999998</v>
      </c>
      <c r="E23" s="267">
        <v>608</v>
      </c>
      <c r="F23" s="221"/>
      <c r="G23" s="221"/>
      <c r="H23" s="3"/>
      <c r="K23" s="221"/>
      <c r="L23" s="221"/>
      <c r="N23" s="3"/>
      <c r="O23" s="3"/>
    </row>
    <row r="24" spans="1:25" x14ac:dyDescent="0.35">
      <c r="B24" s="8"/>
      <c r="C24" s="8"/>
      <c r="D24" s="3">
        <f t="shared" si="8"/>
        <v>0.28999999999999998</v>
      </c>
      <c r="E24" s="267">
        <v>290</v>
      </c>
      <c r="F24" s="221"/>
      <c r="G24" s="221"/>
      <c r="H24" s="3"/>
      <c r="K24" s="221"/>
      <c r="L24" s="221"/>
      <c r="N24" s="3"/>
      <c r="O24" s="3"/>
    </row>
    <row r="25" spans="1:25" x14ac:dyDescent="0.35">
      <c r="B25" s="8"/>
      <c r="C25" s="8"/>
      <c r="D25" s="3">
        <f t="shared" si="8"/>
        <v>-0.13700000000000001</v>
      </c>
      <c r="E25" s="267">
        <v>-137</v>
      </c>
      <c r="F25" s="221"/>
      <c r="G25" s="221"/>
      <c r="H25" s="3"/>
      <c r="K25" s="221"/>
      <c r="L25" s="221"/>
      <c r="N25" s="3"/>
      <c r="O25" s="3"/>
    </row>
    <row r="26" spans="1:25" x14ac:dyDescent="0.35">
      <c r="B26" s="8"/>
      <c r="C26" s="8"/>
      <c r="D26" s="3">
        <f t="shared" si="8"/>
        <v>-2.5379999999999998</v>
      </c>
      <c r="E26" s="267">
        <v>-2538</v>
      </c>
      <c r="F26" s="221"/>
      <c r="G26" s="221"/>
      <c r="H26" s="3"/>
      <c r="K26" s="221"/>
      <c r="L26" s="221"/>
      <c r="N26" s="3"/>
      <c r="O26" s="3"/>
    </row>
    <row r="27" spans="1:25" x14ac:dyDescent="0.35">
      <c r="B27" s="8"/>
      <c r="C27" s="8"/>
      <c r="D27" s="3">
        <f>E27/1000</f>
        <v>1.06</v>
      </c>
      <c r="E27" s="267">
        <v>1060</v>
      </c>
      <c r="F27" s="221"/>
      <c r="G27" s="221"/>
      <c r="H27" s="3"/>
      <c r="K27" s="221"/>
      <c r="L27" s="221"/>
      <c r="N27" s="3"/>
      <c r="O27" s="3"/>
    </row>
    <row r="28" spans="1:25" x14ac:dyDescent="0.35">
      <c r="D28" s="3">
        <f t="shared" si="8"/>
        <v>0.35699999999999998</v>
      </c>
      <c r="E28" s="267">
        <v>357</v>
      </c>
      <c r="F28" s="221"/>
      <c r="G28" s="221"/>
      <c r="H28" s="3"/>
      <c r="K28" s="221"/>
      <c r="L28" s="221"/>
      <c r="N28" s="3"/>
      <c r="O28" s="3"/>
    </row>
    <row r="29" spans="1:25" x14ac:dyDescent="0.35">
      <c r="B29" s="8"/>
      <c r="C29" s="8"/>
      <c r="D29" s="3">
        <f t="shared" si="8"/>
        <v>0.35299999999999998</v>
      </c>
      <c r="E29" s="267">
        <v>353</v>
      </c>
      <c r="F29" s="221"/>
    </row>
    <row r="30" spans="1:25" ht="18.75" thickBot="1" x14ac:dyDescent="0.4">
      <c r="B30" s="8"/>
      <c r="C30" s="8"/>
      <c r="E30" s="5"/>
    </row>
    <row r="31" spans="1:25" ht="90" x14ac:dyDescent="0.35">
      <c r="B31" s="10"/>
      <c r="C31" s="227" t="s">
        <v>149</v>
      </c>
      <c r="D31" s="227" t="s">
        <v>218</v>
      </c>
      <c r="E31" s="227" t="s">
        <v>217</v>
      </c>
      <c r="F31" s="227" t="s">
        <v>285</v>
      </c>
      <c r="G31" s="264" t="s">
        <v>42</v>
      </c>
      <c r="H31" s="11" t="s">
        <v>152</v>
      </c>
      <c r="I31" s="11" t="s">
        <v>37</v>
      </c>
      <c r="J31" s="12" t="s">
        <v>38</v>
      </c>
      <c r="K31" s="11" t="s">
        <v>39</v>
      </c>
      <c r="L31" s="11" t="s">
        <v>40</v>
      </c>
      <c r="M31" s="225" t="s">
        <v>150</v>
      </c>
      <c r="N31" s="226" t="s">
        <v>147</v>
      </c>
      <c r="P31" s="4"/>
      <c r="Q31" s="11" t="s">
        <v>152</v>
      </c>
      <c r="R31" s="11" t="s">
        <v>37</v>
      </c>
      <c r="S31" s="12" t="s">
        <v>38</v>
      </c>
      <c r="T31" s="11" t="s">
        <v>39</v>
      </c>
      <c r="U31" s="11" t="s">
        <v>40</v>
      </c>
      <c r="V31" s="226" t="s">
        <v>147</v>
      </c>
      <c r="W31" s="264" t="s">
        <v>42</v>
      </c>
      <c r="X31" s="4"/>
      <c r="Y31" s="552" t="s">
        <v>117</v>
      </c>
    </row>
    <row r="32" spans="1:25" x14ac:dyDescent="0.35">
      <c r="A32" s="72">
        <v>2022</v>
      </c>
      <c r="B32" s="8" t="s">
        <v>0</v>
      </c>
      <c r="C32" s="8">
        <f>D32</f>
        <v>0</v>
      </c>
      <c r="D32" s="553">
        <f t="array" ref="D32:D43">TRANSPOSE('ПБ V-1 (fin min)'!AL93:AW93)/1000</f>
        <v>0</v>
      </c>
      <c r="E32" s="5">
        <f>F32</f>
        <v>-1.762</v>
      </c>
      <c r="F32" s="5">
        <f t="array" ref="F32:F43">TRANSPOSE('ПБ V-1 (fin min)'!AL62:AW62)/1000</f>
        <v>-1.762</v>
      </c>
      <c r="G32" s="221">
        <f t="shared" ref="G32:G43" si="9">-W32/1000</f>
        <v>-0.79700000000000004</v>
      </c>
      <c r="H32" s="3">
        <f t="shared" ref="H32:H43" si="10">Q32/1000</f>
        <v>0.60899999999999999</v>
      </c>
      <c r="I32">
        <v>0</v>
      </c>
      <c r="J32" s="222">
        <v>0</v>
      </c>
      <c r="K32" s="221">
        <f t="shared" ref="K32:K43" si="11">-T32/1000</f>
        <v>0.16600000000000001</v>
      </c>
      <c r="L32" s="221">
        <f t="shared" ref="L32:L43" si="12">-U32/1000</f>
        <v>-1.8540000000000001</v>
      </c>
      <c r="M32" s="3">
        <f t="array" ref="M32:M43">TRANSPOSE('ПБ V-1 (fin min)'!AL23:AW23)/1000</f>
        <v>1.8859999999999999</v>
      </c>
      <c r="N32" s="3">
        <f t="shared" ref="N32:N43" si="13">V32/1000</f>
        <v>-0.501</v>
      </c>
      <c r="P32" s="316" t="s">
        <v>178</v>
      </c>
      <c r="Q32" s="265">
        <f t="array" ref="Q32:Q43">TRANSPOSE('ПБ V-1 (fin min)'!AL4:AW4)</f>
        <v>609</v>
      </c>
      <c r="R32" s="266"/>
      <c r="S32" s="266"/>
      <c r="T32" s="266">
        <f t="array" ref="T32:T43">TRANSPOSE('ПБ V-1 (fin min)'!AL24:AW24)</f>
        <v>-166</v>
      </c>
      <c r="U32" s="266">
        <f t="array" ref="U32:U43">TRANSPOSE('ПБ V-1 (fin min)'!AL32:AW32)</f>
        <v>1854</v>
      </c>
      <c r="V32" s="267">
        <f t="array" ref="V32:V43">TRANSPOSE('ПБ V-1 (fin min)'!AL58:AW58)</f>
        <v>-501</v>
      </c>
      <c r="W32" s="268">
        <f t="array" ref="W32:W43">TRANSPOSE('ПБ V-1 (fin min)'!AL36:AW36)</f>
        <v>797</v>
      </c>
      <c r="X32" s="315"/>
      <c r="Y32" s="551">
        <f t="array" ref="Y32:Y43">TRANSPOSE('ПБ V-1 (fin min)'!AL83:AW83)</f>
        <v>27.981270967741931</v>
      </c>
    </row>
    <row r="33" spans="1:26" x14ac:dyDescent="0.35">
      <c r="B33" s="8" t="s">
        <v>1</v>
      </c>
      <c r="C33" s="8">
        <f t="shared" ref="C33:C43" si="14">C32+D33</f>
        <v>0</v>
      </c>
      <c r="D33" s="553">
        <v>0</v>
      </c>
      <c r="E33" s="5">
        <f t="shared" ref="E33:E43" si="15">E32+F33</f>
        <v>-3.42</v>
      </c>
      <c r="F33" s="5">
        <v>-1.6579999999999999</v>
      </c>
      <c r="G33" s="221">
        <f t="shared" si="9"/>
        <v>-0.93100000000000005</v>
      </c>
      <c r="H33" s="3">
        <f t="shared" si="10"/>
        <v>2.1000000000000001E-2</v>
      </c>
      <c r="I33">
        <v>0</v>
      </c>
      <c r="J33" s="222">
        <v>0</v>
      </c>
      <c r="K33" s="221">
        <f t="shared" si="11"/>
        <v>-0.71899999999999997</v>
      </c>
      <c r="L33" s="221">
        <f t="shared" si="12"/>
        <v>-0.28799999999999998</v>
      </c>
      <c r="M33" s="3">
        <v>1.1040000000000001</v>
      </c>
      <c r="N33" s="3">
        <f t="shared" si="13"/>
        <v>-0.61599999999999999</v>
      </c>
      <c r="P33" s="316" t="s">
        <v>179</v>
      </c>
      <c r="Q33" s="265">
        <v>21</v>
      </c>
      <c r="R33" s="267"/>
      <c r="S33" s="266"/>
      <c r="T33" s="266">
        <v>719</v>
      </c>
      <c r="U33" s="266">
        <v>288</v>
      </c>
      <c r="V33" s="267">
        <v>-616</v>
      </c>
      <c r="W33" s="268">
        <v>931</v>
      </c>
      <c r="X33" s="9"/>
      <c r="Y33" s="551">
        <v>28.413664285714287</v>
      </c>
    </row>
    <row r="34" spans="1:26" x14ac:dyDescent="0.35">
      <c r="B34" s="8" t="s">
        <v>2</v>
      </c>
      <c r="C34" s="8">
        <f t="shared" si="14"/>
        <v>0</v>
      </c>
      <c r="D34" s="553">
        <v>0</v>
      </c>
      <c r="E34" s="5">
        <f t="shared" si="15"/>
        <v>-2.7409999999999997</v>
      </c>
      <c r="F34" s="5">
        <v>0.67900000000000005</v>
      </c>
      <c r="G34" s="221">
        <f t="shared" si="9"/>
        <v>-0.73099999999999998</v>
      </c>
      <c r="H34" s="3">
        <f t="shared" si="10"/>
        <v>1.387</v>
      </c>
      <c r="I34">
        <v>0</v>
      </c>
      <c r="J34" s="222">
        <v>0</v>
      </c>
      <c r="K34" s="221">
        <f t="shared" si="11"/>
        <v>-2.4E-2</v>
      </c>
      <c r="L34" s="221">
        <f t="shared" si="12"/>
        <v>-3.2589999999999999</v>
      </c>
      <c r="M34" s="3">
        <v>3.3490000000000002</v>
      </c>
      <c r="N34" s="3">
        <f t="shared" si="13"/>
        <v>2.64</v>
      </c>
      <c r="P34" s="316" t="s">
        <v>180</v>
      </c>
      <c r="Q34" s="265">
        <v>1387</v>
      </c>
      <c r="R34" s="267"/>
      <c r="S34" s="266"/>
      <c r="T34" s="266">
        <v>24</v>
      </c>
      <c r="U34" s="266">
        <v>3259</v>
      </c>
      <c r="V34" s="267">
        <v>2640</v>
      </c>
      <c r="W34" s="268">
        <v>731</v>
      </c>
      <c r="X34" s="9"/>
      <c r="Y34" s="551">
        <v>29.254900000000013</v>
      </c>
    </row>
    <row r="35" spans="1:26" x14ac:dyDescent="0.35">
      <c r="B35" s="8" t="s">
        <v>3</v>
      </c>
      <c r="C35" s="8">
        <f t="shared" si="14"/>
        <v>0</v>
      </c>
      <c r="D35" s="553">
        <v>0</v>
      </c>
      <c r="E35" s="5">
        <f t="shared" si="15"/>
        <v>-3.6079999999999997</v>
      </c>
      <c r="F35" s="5">
        <v>-0.86699999999999999</v>
      </c>
      <c r="G35" s="221">
        <f t="shared" si="9"/>
        <v>-0.84699999999999998</v>
      </c>
      <c r="H35" s="3">
        <f t="shared" si="10"/>
        <v>1.2030000000000001</v>
      </c>
      <c r="I35">
        <v>0</v>
      </c>
      <c r="J35" s="222">
        <v>0</v>
      </c>
      <c r="K35" s="221">
        <f t="shared" si="11"/>
        <v>3.2000000000000001E-2</v>
      </c>
      <c r="L35" s="221">
        <f t="shared" si="12"/>
        <v>-2.786</v>
      </c>
      <c r="M35" s="3">
        <v>2.8639999999999999</v>
      </c>
      <c r="N35" s="3">
        <f t="shared" si="13"/>
        <v>0.79100000000000004</v>
      </c>
      <c r="P35" s="316" t="s">
        <v>181</v>
      </c>
      <c r="Q35" s="265">
        <v>1203</v>
      </c>
      <c r="R35" s="267"/>
      <c r="S35" s="266"/>
      <c r="T35" s="266">
        <v>-32</v>
      </c>
      <c r="U35" s="266">
        <v>2786</v>
      </c>
      <c r="V35" s="267">
        <v>791</v>
      </c>
      <c r="W35" s="268">
        <v>847</v>
      </c>
      <c r="X35" s="9"/>
      <c r="Y35" s="551">
        <v>29.254900000000013</v>
      </c>
    </row>
    <row r="36" spans="1:26" x14ac:dyDescent="0.35">
      <c r="B36" s="8" t="s">
        <v>4</v>
      </c>
      <c r="C36" s="8">
        <f t="shared" si="14"/>
        <v>0</v>
      </c>
      <c r="D36" s="553">
        <v>0</v>
      </c>
      <c r="E36" s="5">
        <f t="shared" si="15"/>
        <v>-5.5289999999999999</v>
      </c>
      <c r="F36" s="5">
        <v>-1.921</v>
      </c>
      <c r="G36" s="221">
        <f t="shared" si="9"/>
        <v>-1.089</v>
      </c>
      <c r="H36" s="3">
        <f t="shared" si="10"/>
        <v>-0.20300000000000001</v>
      </c>
      <c r="I36">
        <v>0</v>
      </c>
      <c r="J36" s="222">
        <v>0</v>
      </c>
      <c r="K36" s="221">
        <f t="shared" si="11"/>
        <v>0.08</v>
      </c>
      <c r="L36" s="221">
        <f t="shared" si="12"/>
        <v>-2.5640000000000001</v>
      </c>
      <c r="M36" s="3">
        <v>2.677</v>
      </c>
      <c r="N36" s="3">
        <f t="shared" si="13"/>
        <v>0.95599999999999996</v>
      </c>
      <c r="P36" s="316" t="s">
        <v>182</v>
      </c>
      <c r="Q36" s="265">
        <v>-203</v>
      </c>
      <c r="R36" s="267"/>
      <c r="S36" s="266"/>
      <c r="T36" s="266">
        <v>-80</v>
      </c>
      <c r="U36" s="266">
        <v>2564</v>
      </c>
      <c r="V36" s="267">
        <v>956</v>
      </c>
      <c r="W36" s="268">
        <v>1089</v>
      </c>
      <c r="X36" s="9"/>
      <c r="Y36" s="551">
        <v>29.254900000000013</v>
      </c>
    </row>
    <row r="37" spans="1:26" x14ac:dyDescent="0.35">
      <c r="B37" s="8" t="s">
        <v>5</v>
      </c>
      <c r="C37" s="8">
        <f t="shared" si="14"/>
        <v>0</v>
      </c>
      <c r="D37" s="553">
        <v>0</v>
      </c>
      <c r="E37" s="5">
        <f t="shared" si="15"/>
        <v>-7.7490000000000006</v>
      </c>
      <c r="F37" s="5">
        <v>-2.2200000000000002</v>
      </c>
      <c r="G37" s="221">
        <f t="shared" si="9"/>
        <v>-0.746</v>
      </c>
      <c r="H37" s="3">
        <f t="shared" si="10"/>
        <v>-0.19800000000000001</v>
      </c>
      <c r="I37">
        <v>0</v>
      </c>
      <c r="J37" s="222">
        <v>0</v>
      </c>
      <c r="K37" s="221">
        <f t="shared" si="11"/>
        <v>0.17399999999999999</v>
      </c>
      <c r="L37" s="221">
        <f t="shared" si="12"/>
        <v>-4.0140000000000002</v>
      </c>
      <c r="M37" s="3">
        <v>3.762</v>
      </c>
      <c r="N37" s="3">
        <f t="shared" si="13"/>
        <v>1.73</v>
      </c>
      <c r="P37" s="316" t="s">
        <v>183</v>
      </c>
      <c r="Q37" s="266">
        <v>-198</v>
      </c>
      <c r="R37" s="267"/>
      <c r="S37" s="266"/>
      <c r="T37" s="266">
        <v>-174</v>
      </c>
      <c r="U37" s="266">
        <v>4014</v>
      </c>
      <c r="V37" s="267">
        <v>1730</v>
      </c>
      <c r="W37" s="268">
        <v>746</v>
      </c>
      <c r="X37" s="9"/>
      <c r="Y37" s="551">
        <v>29.254900000000013</v>
      </c>
    </row>
    <row r="38" spans="1:26" x14ac:dyDescent="0.35">
      <c r="B38" s="8" t="s">
        <v>6</v>
      </c>
      <c r="C38" s="8">
        <f t="shared" si="14"/>
        <v>0</v>
      </c>
      <c r="D38" s="553">
        <v>0</v>
      </c>
      <c r="E38" s="5">
        <f t="shared" si="15"/>
        <v>-8.048</v>
      </c>
      <c r="F38" s="5">
        <v>-0.29899999999999999</v>
      </c>
      <c r="G38" s="221">
        <f t="shared" si="9"/>
        <v>-0.77600000000000002</v>
      </c>
      <c r="H38" s="3">
        <f t="shared" si="10"/>
        <v>1.4059999999999999</v>
      </c>
      <c r="I38">
        <v>0</v>
      </c>
      <c r="J38" s="222">
        <v>0</v>
      </c>
      <c r="K38" s="221">
        <f t="shared" si="11"/>
        <v>0.15</v>
      </c>
      <c r="L38" s="221">
        <f t="shared" si="12"/>
        <v>-1.873</v>
      </c>
      <c r="M38" s="3">
        <v>1.532</v>
      </c>
      <c r="N38" s="3">
        <f t="shared" si="13"/>
        <v>-0.19600000000000001</v>
      </c>
      <c r="P38" s="316" t="s">
        <v>184</v>
      </c>
      <c r="Q38" s="266">
        <v>1406</v>
      </c>
      <c r="R38" s="267"/>
      <c r="S38" s="266"/>
      <c r="T38" s="266">
        <v>-150</v>
      </c>
      <c r="U38" s="266">
        <v>1873</v>
      </c>
      <c r="V38" s="267">
        <v>-196</v>
      </c>
      <c r="W38" s="268">
        <v>776</v>
      </c>
      <c r="X38" s="9"/>
      <c r="Y38" s="551">
        <v>31.850083870967769</v>
      </c>
    </row>
    <row r="39" spans="1:26" x14ac:dyDescent="0.35">
      <c r="B39" s="8" t="s">
        <v>7</v>
      </c>
      <c r="C39" s="8">
        <f t="shared" si="14"/>
        <v>0</v>
      </c>
      <c r="D39" s="553">
        <v>0</v>
      </c>
      <c r="E39" s="5">
        <f t="shared" si="15"/>
        <v>-4.9429999999999996</v>
      </c>
      <c r="F39" s="5">
        <v>3.105</v>
      </c>
      <c r="G39" s="221">
        <f t="shared" si="9"/>
        <v>-0.77100000000000002</v>
      </c>
      <c r="H39" s="3">
        <f t="shared" si="10"/>
        <v>1.948</v>
      </c>
      <c r="I39">
        <v>0</v>
      </c>
      <c r="J39" s="222">
        <v>0</v>
      </c>
      <c r="K39" s="221">
        <f t="shared" si="11"/>
        <v>5.5E-2</v>
      </c>
      <c r="L39" s="221">
        <f t="shared" si="12"/>
        <v>-0.44</v>
      </c>
      <c r="M39" s="3">
        <v>0.28199999999999997</v>
      </c>
      <c r="N39" s="3">
        <f t="shared" si="13"/>
        <v>1.4239999999999999</v>
      </c>
      <c r="P39" s="316" t="s">
        <v>185</v>
      </c>
      <c r="Q39" s="266">
        <v>1948</v>
      </c>
      <c r="R39" s="267"/>
      <c r="S39" s="266"/>
      <c r="T39" s="266">
        <v>-55</v>
      </c>
      <c r="U39" s="266">
        <v>440</v>
      </c>
      <c r="V39" s="267">
        <v>1424</v>
      </c>
      <c r="W39" s="268">
        <v>771</v>
      </c>
      <c r="X39" s="9"/>
      <c r="Y39" s="551">
        <v>36.568600000000032</v>
      </c>
    </row>
    <row r="40" spans="1:26" x14ac:dyDescent="0.35">
      <c r="B40" s="8" t="s">
        <v>8</v>
      </c>
      <c r="C40" s="8">
        <f t="shared" si="14"/>
        <v>0</v>
      </c>
      <c r="D40" s="553">
        <v>0</v>
      </c>
      <c r="E40" s="5">
        <f t="shared" si="15"/>
        <v>-6.3179999999999996</v>
      </c>
      <c r="F40" s="5">
        <v>-1.375</v>
      </c>
      <c r="G40" s="221">
        <f t="shared" si="9"/>
        <v>-1.087</v>
      </c>
      <c r="H40" s="3">
        <f t="shared" si="10"/>
        <v>1.6879999999999999</v>
      </c>
      <c r="I40">
        <v>0</v>
      </c>
      <c r="J40" s="222">
        <v>0</v>
      </c>
      <c r="K40" s="221">
        <f t="shared" si="11"/>
        <v>0.127</v>
      </c>
      <c r="L40" s="221">
        <f t="shared" si="12"/>
        <v>-2.9980000000000002</v>
      </c>
      <c r="M40" s="3">
        <v>2.8969999999999998</v>
      </c>
      <c r="N40" s="3">
        <f t="shared" si="13"/>
        <v>-0.17199999999999999</v>
      </c>
      <c r="P40" s="316" t="s">
        <v>186</v>
      </c>
      <c r="Q40" s="266">
        <v>1688</v>
      </c>
      <c r="R40" s="267"/>
      <c r="S40" s="266"/>
      <c r="T40" s="266">
        <v>-127</v>
      </c>
      <c r="U40" s="266">
        <v>2998</v>
      </c>
      <c r="V40" s="267">
        <v>-172</v>
      </c>
      <c r="W40" s="268">
        <v>1087</v>
      </c>
      <c r="X40" s="9"/>
      <c r="Y40" s="551">
        <v>36.568600000000032</v>
      </c>
    </row>
    <row r="41" spans="1:26" x14ac:dyDescent="0.35">
      <c r="B41" s="8" t="s">
        <v>9</v>
      </c>
      <c r="C41" s="8">
        <f t="shared" si="14"/>
        <v>0</v>
      </c>
      <c r="D41" s="553">
        <v>0</v>
      </c>
      <c r="E41" s="5">
        <f t="shared" si="15"/>
        <v>-5.0670000000000002</v>
      </c>
      <c r="F41" s="5">
        <v>1.2509999999999999</v>
      </c>
      <c r="G41" s="221">
        <f t="shared" si="9"/>
        <v>-0.83799999999999997</v>
      </c>
      <c r="H41" s="3">
        <f t="shared" si="10"/>
        <v>-0.53700000000000003</v>
      </c>
      <c r="I41">
        <v>0</v>
      </c>
      <c r="J41" s="222">
        <v>0</v>
      </c>
      <c r="K41" s="221">
        <f t="shared" si="11"/>
        <v>5.5E-2</v>
      </c>
      <c r="L41" s="221">
        <f t="shared" si="12"/>
        <v>-2.0579999999999998</v>
      </c>
      <c r="M41" s="3">
        <v>2.1150000000000002</v>
      </c>
      <c r="N41" s="3">
        <f t="shared" si="13"/>
        <v>3.9</v>
      </c>
      <c r="P41" s="316" t="s">
        <v>187</v>
      </c>
      <c r="Q41" s="266">
        <v>-537</v>
      </c>
      <c r="R41" s="267"/>
      <c r="S41" s="266"/>
      <c r="T41" s="268">
        <v>-55</v>
      </c>
      <c r="U41" s="266">
        <v>2058</v>
      </c>
      <c r="V41" s="267">
        <v>3900</v>
      </c>
      <c r="W41" s="268">
        <v>838</v>
      </c>
      <c r="X41" s="9"/>
      <c r="Y41" s="551">
        <v>36.568600000000032</v>
      </c>
    </row>
    <row r="42" spans="1:26" x14ac:dyDescent="0.35">
      <c r="B42" s="8" t="s">
        <v>10</v>
      </c>
      <c r="C42" s="8">
        <f t="shared" si="14"/>
        <v>0</v>
      </c>
      <c r="D42" s="553">
        <v>0</v>
      </c>
      <c r="E42" s="5">
        <f t="shared" si="15"/>
        <v>-2.6300000000000003</v>
      </c>
      <c r="F42" s="5">
        <v>2.4369999999999998</v>
      </c>
      <c r="G42" s="221">
        <f t="shared" si="9"/>
        <v>-0.628</v>
      </c>
      <c r="H42" s="3">
        <f t="shared" si="10"/>
        <v>0.375</v>
      </c>
      <c r="I42">
        <v>0</v>
      </c>
      <c r="J42" s="222">
        <v>0</v>
      </c>
      <c r="K42" s="221">
        <f t="shared" si="11"/>
        <v>2.8000000000000001E-2</v>
      </c>
      <c r="L42" s="221">
        <f t="shared" si="12"/>
        <v>-7.0000000000000007E-2</v>
      </c>
      <c r="M42" s="3">
        <v>0.45400000000000001</v>
      </c>
      <c r="N42" s="3">
        <f t="shared" si="13"/>
        <v>2.5019999999999998</v>
      </c>
      <c r="P42" s="316" t="s">
        <v>188</v>
      </c>
      <c r="Q42" s="266">
        <v>375</v>
      </c>
      <c r="R42" s="267"/>
      <c r="S42" s="266"/>
      <c r="T42" s="266">
        <v>-28</v>
      </c>
      <c r="U42" s="266">
        <v>70</v>
      </c>
      <c r="V42" s="267">
        <v>2502</v>
      </c>
      <c r="W42" s="268">
        <v>628</v>
      </c>
      <c r="X42" s="9"/>
      <c r="Y42" s="551">
        <v>36.568600000000032</v>
      </c>
    </row>
    <row r="43" spans="1:26" ht="18.75" thickBot="1" x14ac:dyDescent="0.4">
      <c r="B43" s="8" t="s">
        <v>11</v>
      </c>
      <c r="C43" s="8">
        <f t="shared" si="14"/>
        <v>0</v>
      </c>
      <c r="D43" s="554">
        <v>0</v>
      </c>
      <c r="E43" s="224">
        <f t="shared" si="15"/>
        <v>-2.2680000000000002</v>
      </c>
      <c r="F43" s="5">
        <v>0.36199999999999999</v>
      </c>
      <c r="G43" s="221">
        <f t="shared" si="9"/>
        <v>-0.83199999999999996</v>
      </c>
      <c r="H43" s="3">
        <f t="shared" si="10"/>
        <v>0.27300000000000002</v>
      </c>
      <c r="I43">
        <v>0</v>
      </c>
      <c r="J43" s="222">
        <v>0</v>
      </c>
      <c r="K43" s="221">
        <f t="shared" si="11"/>
        <v>8.8999999999999996E-2</v>
      </c>
      <c r="L43" s="221">
        <f t="shared" si="12"/>
        <v>-1.2010000000000001</v>
      </c>
      <c r="M43" s="3">
        <v>1.284</v>
      </c>
      <c r="N43" s="3">
        <f t="shared" si="13"/>
        <v>1.325</v>
      </c>
      <c r="P43" s="316" t="s">
        <v>189</v>
      </c>
      <c r="Q43" s="269">
        <v>273</v>
      </c>
      <c r="R43" s="267"/>
      <c r="S43" s="269"/>
      <c r="T43" s="269">
        <v>-89</v>
      </c>
      <c r="U43" s="269">
        <v>1201</v>
      </c>
      <c r="V43" s="270">
        <v>1325</v>
      </c>
      <c r="W43" s="268">
        <v>832</v>
      </c>
      <c r="X43" s="9"/>
      <c r="Y43" s="551">
        <v>36.568600000000032</v>
      </c>
    </row>
    <row r="44" spans="1:26" x14ac:dyDescent="0.35">
      <c r="B44" s="8"/>
      <c r="C44" s="8"/>
      <c r="E44" s="5"/>
    </row>
    <row r="45" spans="1:26" ht="18.75" thickBot="1" x14ac:dyDescent="0.4">
      <c r="B45" s="8"/>
      <c r="C45" s="8">
        <f>'ПБ V-1 (fin min)'!BW71/1000</f>
        <v>40.50788</v>
      </c>
      <c r="E45" s="5"/>
    </row>
    <row r="46" spans="1:26" ht="90" x14ac:dyDescent="0.35">
      <c r="A46" s="72">
        <v>2023</v>
      </c>
      <c r="B46" s="10"/>
      <c r="C46" s="227" t="s">
        <v>218</v>
      </c>
      <c r="D46" s="227" t="s">
        <v>218</v>
      </c>
      <c r="E46" s="227" t="s">
        <v>217</v>
      </c>
      <c r="F46" s="227" t="s">
        <v>285</v>
      </c>
      <c r="G46" s="264" t="s">
        <v>42</v>
      </c>
      <c r="H46" s="11" t="s">
        <v>152</v>
      </c>
      <c r="I46" s="11" t="s">
        <v>37</v>
      </c>
      <c r="J46" s="12" t="s">
        <v>38</v>
      </c>
      <c r="K46" s="11" t="s">
        <v>39</v>
      </c>
      <c r="L46" s="11" t="s">
        <v>40</v>
      </c>
      <c r="M46" s="225" t="s">
        <v>150</v>
      </c>
      <c r="N46" s="226" t="s">
        <v>147</v>
      </c>
      <c r="P46" s="4"/>
      <c r="Q46" s="11" t="s">
        <v>152</v>
      </c>
      <c r="R46" s="11" t="s">
        <v>37</v>
      </c>
      <c r="S46" s="12" t="s">
        <v>38</v>
      </c>
      <c r="T46" s="11" t="s">
        <v>39</v>
      </c>
      <c r="U46" s="11" t="s">
        <v>40</v>
      </c>
      <c r="V46" s="226" t="s">
        <v>147</v>
      </c>
      <c r="W46" s="264" t="s">
        <v>42</v>
      </c>
      <c r="X46" s="4"/>
      <c r="Y46" s="1284" t="str">
        <f>INDEX($AC10:$AE10,1,MATCH(Чарти!$B$1,$AC$3:$AE$3,0))</f>
        <v>Обменный курс</v>
      </c>
      <c r="Z46" s="1284" t="str">
        <f>INDEX($AC11:$AE11,1,MATCH(Чарти!$B$1,$AC$3:$AE$3,0))</f>
        <v>Обменный курс</v>
      </c>
    </row>
    <row r="47" spans="1:26" x14ac:dyDescent="0.35">
      <c r="B47" s="8" t="s">
        <v>0</v>
      </c>
      <c r="C47" s="8">
        <f>D47-C45</f>
        <v>-3.1840338510662036E-2</v>
      </c>
      <c r="D47" s="8" cm="1">
        <f t="array" ref="D47:D58">TRANSPOSE('ПБ V-1 (fin min)'!BJ71:BU71)/1000</f>
        <v>40.476039661489338</v>
      </c>
      <c r="E47" s="5">
        <f>F47</f>
        <v>-0.23299787369862485</v>
      </c>
      <c r="F47" s="5" cm="1">
        <f t="array" ref="F47:F58">TRANSPOSE('ПБ V-1 (fin min)'!BJ62:BU62)/1000</f>
        <v>-0.23299787369862485</v>
      </c>
      <c r="G47" s="221">
        <f t="shared" ref="G47:G58" si="16">-W47/1000</f>
        <v>-1.1000000000000001</v>
      </c>
      <c r="H47" s="3">
        <f t="shared" ref="H47:H58" si="17">Q47/1000</f>
        <v>-0.96890596745869528</v>
      </c>
      <c r="I47">
        <v>0</v>
      </c>
      <c r="J47" s="222">
        <v>0</v>
      </c>
      <c r="K47" s="221">
        <f t="shared" ref="K47:K58" si="18">-T47/1000</f>
        <v>0.39040861155940387</v>
      </c>
      <c r="L47" s="221">
        <f t="shared" ref="L47:L58" si="19">-U47/1000</f>
        <v>-1.2373064795869837</v>
      </c>
      <c r="M47" s="3" cm="1">
        <f t="array" ref="M47:M58">TRANSPOSE('ПБ V-1 (fin min)'!BJ23:BU23)/1000</f>
        <v>1.0426693844210224</v>
      </c>
      <c r="N47" s="3">
        <f t="shared" ref="N47:N58" si="20">V47/1000</f>
        <v>1.7785774781810928</v>
      </c>
      <c r="P47" s="316" t="s">
        <v>178</v>
      </c>
      <c r="Q47" s="265" cm="1">
        <f t="array" ref="Q47:Q58">TRANSPOSE('ПБ V-1 (fin min)'!BJ4:BU4)</f>
        <v>-968.90596745869527</v>
      </c>
      <c r="R47" s="266"/>
      <c r="S47" s="266"/>
      <c r="T47" s="266" cm="1">
        <f t="array" ref="T47:T58">TRANSPOSE('ПБ V-1 (fin min)'!BJ24:BU24)</f>
        <v>-390.40861155940388</v>
      </c>
      <c r="U47" s="266" cm="1">
        <f t="array" ref="U47:U58">TRANSPOSE('ПБ V-1 (fin min)'!BJ32:BU32)</f>
        <v>1237.3064795869836</v>
      </c>
      <c r="V47" s="267" cm="1">
        <f t="array" ref="V47:V58">TRANSPOSE('ПБ V-1 (fin min)'!BJ58:BU58)</f>
        <v>1778.5774781810928</v>
      </c>
      <c r="W47" s="268" cm="1">
        <f t="array" ref="W47:W58">TRANSPOSE('ПБ V-1 (fin min)'!BJ36:BU36)</f>
        <v>1100</v>
      </c>
      <c r="X47" s="315"/>
      <c r="Y47" s="551" cm="1">
        <f t="array" ref="Y47:Y58">TRANSPOSE('ПБ V-1 (fin min)'!BJ83:BU83)</f>
        <v>37.572233277496139</v>
      </c>
      <c r="Z47" s="551" cm="1">
        <f t="array" ref="Z47:Z58">TRANSPOSE('ПБ V-1 (fin min)'!BJ86:BU86)</f>
        <v>37.572233277496139</v>
      </c>
    </row>
    <row r="48" spans="1:26" x14ac:dyDescent="0.35">
      <c r="B48" s="8" t="s">
        <v>1</v>
      </c>
      <c r="C48" s="8">
        <f>(D48-D47)</f>
        <v>-0.36046392316639242</v>
      </c>
      <c r="D48" s="553">
        <v>40.115575738322946</v>
      </c>
      <c r="E48" s="5">
        <f t="shared" ref="E48:E58" si="21">E47+F48</f>
        <v>-0.90943770101763222</v>
      </c>
      <c r="F48" s="5">
        <v>-0.67643982731900731</v>
      </c>
      <c r="G48" s="221">
        <f t="shared" si="16"/>
        <v>-1</v>
      </c>
      <c r="H48" s="3">
        <f t="shared" si="17"/>
        <v>-1.0312846644640989</v>
      </c>
      <c r="I48">
        <v>0</v>
      </c>
      <c r="J48" s="222">
        <v>0</v>
      </c>
      <c r="K48" s="221">
        <f t="shared" si="18"/>
        <v>0.45038181749499046</v>
      </c>
      <c r="L48" s="221">
        <f t="shared" si="19"/>
        <v>-1.1565806186131455</v>
      </c>
      <c r="M48" s="3">
        <v>0.94665619524383815</v>
      </c>
      <c r="N48" s="3">
        <f t="shared" si="20"/>
        <v>1.3015010323889298</v>
      </c>
      <c r="P48" s="316" t="s">
        <v>179</v>
      </c>
      <c r="Q48" s="265">
        <v>-1031.284664464099</v>
      </c>
      <c r="R48" s="267"/>
      <c r="S48" s="266"/>
      <c r="T48" s="266">
        <v>-450.38181749499046</v>
      </c>
      <c r="U48" s="266">
        <v>1156.5806186131456</v>
      </c>
      <c r="V48" s="267">
        <v>1301.5010323889298</v>
      </c>
      <c r="W48" s="268">
        <v>1000</v>
      </c>
      <c r="X48" s="9"/>
      <c r="Y48" s="551">
        <v>38.27478587846511</v>
      </c>
      <c r="Z48" s="551">
        <v>38.27478587846511</v>
      </c>
    </row>
    <row r="49" spans="2:26" x14ac:dyDescent="0.35">
      <c r="B49" s="8" t="s">
        <v>2</v>
      </c>
      <c r="C49" s="8">
        <f t="shared" ref="C49:C58" si="22">(D49-D48)</f>
        <v>0.60015502338097804</v>
      </c>
      <c r="D49" s="553">
        <v>40.715730761703924</v>
      </c>
      <c r="E49" s="5">
        <f t="shared" si="21"/>
        <v>-0.67287181441355848</v>
      </c>
      <c r="F49" s="5">
        <v>0.23656588660407374</v>
      </c>
      <c r="G49" s="221">
        <f t="shared" si="16"/>
        <v>-1.1000000000000001</v>
      </c>
      <c r="H49" s="3">
        <f t="shared" si="17"/>
        <v>-1.1418543699472345</v>
      </c>
      <c r="I49">
        <v>0</v>
      </c>
      <c r="J49" s="222">
        <v>0</v>
      </c>
      <c r="K49" s="221">
        <f t="shared" si="18"/>
        <v>0.37969150639132032</v>
      </c>
      <c r="L49" s="221">
        <f t="shared" si="19"/>
        <v>-1.4567262875019658</v>
      </c>
      <c r="M49" s="3">
        <v>1.3122188160036325</v>
      </c>
      <c r="N49" s="3">
        <f t="shared" si="20"/>
        <v>2.6906390725549407</v>
      </c>
      <c r="P49" s="316" t="s">
        <v>180</v>
      </c>
      <c r="Q49" s="265">
        <v>-1141.8543699472345</v>
      </c>
      <c r="R49" s="267"/>
      <c r="S49" s="266"/>
      <c r="T49" s="266">
        <v>-379.69150639132033</v>
      </c>
      <c r="U49" s="266">
        <v>1456.7262875019658</v>
      </c>
      <c r="V49" s="267">
        <v>2690.6390725549409</v>
      </c>
      <c r="W49" s="268">
        <v>1100</v>
      </c>
      <c r="X49" s="9"/>
      <c r="Y49" s="551">
        <v>39.105806424374762</v>
      </c>
      <c r="Z49" s="551">
        <v>39.105806424374762</v>
      </c>
    </row>
    <row r="50" spans="2:26" x14ac:dyDescent="0.35">
      <c r="B50" s="8" t="s">
        <v>3</v>
      </c>
      <c r="C50" s="8">
        <f t="shared" si="22"/>
        <v>0.46962927834814394</v>
      </c>
      <c r="D50" s="553">
        <v>41.185360040052068</v>
      </c>
      <c r="E50" s="5">
        <f t="shared" si="21"/>
        <v>-0.31385101850839614</v>
      </c>
      <c r="F50" s="5">
        <v>0.35902079590516234</v>
      </c>
      <c r="G50" s="221">
        <f t="shared" si="16"/>
        <v>-0.9</v>
      </c>
      <c r="H50" s="3">
        <f t="shared" si="17"/>
        <v>-0.63527243472870487</v>
      </c>
      <c r="I50">
        <v>0</v>
      </c>
      <c r="J50" s="222">
        <v>0</v>
      </c>
      <c r="K50" s="221">
        <f t="shared" si="18"/>
        <v>0.41130420036547727</v>
      </c>
      <c r="L50" s="221">
        <f t="shared" si="19"/>
        <v>-0.61641473586097117</v>
      </c>
      <c r="M50" s="3">
        <v>0.39507903231262353</v>
      </c>
      <c r="N50" s="3">
        <f t="shared" si="20"/>
        <v>1.3893722629464909</v>
      </c>
      <c r="P50" s="316" t="s">
        <v>181</v>
      </c>
      <c r="Q50" s="265">
        <v>-635.27243472870487</v>
      </c>
      <c r="R50" s="267"/>
      <c r="S50" s="266"/>
      <c r="T50" s="266">
        <v>-411.30420036547724</v>
      </c>
      <c r="U50" s="266">
        <v>616.41473586097118</v>
      </c>
      <c r="V50" s="267">
        <v>1389.3722629464908</v>
      </c>
      <c r="W50" s="268">
        <v>900</v>
      </c>
      <c r="X50" s="9"/>
      <c r="Y50" s="551">
        <v>39.395705147134706</v>
      </c>
      <c r="Z50" s="551">
        <v>39.395705147134706</v>
      </c>
    </row>
    <row r="51" spans="2:26" x14ac:dyDescent="0.35">
      <c r="B51" s="8" t="s">
        <v>4</v>
      </c>
      <c r="C51" s="8">
        <f t="shared" si="22"/>
        <v>0.42363000878069101</v>
      </c>
      <c r="D51" s="553">
        <v>41.608990048832759</v>
      </c>
      <c r="E51" s="5">
        <f t="shared" si="21"/>
        <v>-3.1279244347333923E-2</v>
      </c>
      <c r="F51" s="5">
        <v>0.28257177416106222</v>
      </c>
      <c r="G51" s="221">
        <f t="shared" si="16"/>
        <v>-0.85</v>
      </c>
      <c r="H51" s="3">
        <f t="shared" si="17"/>
        <v>-0.94928253298539467</v>
      </c>
      <c r="I51">
        <v>0</v>
      </c>
      <c r="J51" s="222">
        <v>0</v>
      </c>
      <c r="K51" s="221">
        <f t="shared" si="18"/>
        <v>0.43749283299981889</v>
      </c>
      <c r="L51" s="221">
        <f t="shared" si="19"/>
        <v>-0.95734093903694417</v>
      </c>
      <c r="M51" s="3">
        <v>0.69006397758901572</v>
      </c>
      <c r="N51" s="3">
        <f t="shared" si="20"/>
        <v>1.9219182847354725</v>
      </c>
      <c r="P51" s="316" t="s">
        <v>182</v>
      </c>
      <c r="Q51" s="265">
        <v>-949.28253298539471</v>
      </c>
      <c r="R51" s="267"/>
      <c r="S51" s="266"/>
      <c r="T51" s="266">
        <v>-437.49283299981892</v>
      </c>
      <c r="U51" s="266">
        <v>957.34093903694418</v>
      </c>
      <c r="V51" s="267">
        <v>1921.9182847354725</v>
      </c>
      <c r="W51" s="268">
        <v>850</v>
      </c>
      <c r="X51" s="9"/>
      <c r="Y51" s="551">
        <v>39.781047044824604</v>
      </c>
      <c r="Z51" s="551">
        <v>39.781047044824604</v>
      </c>
    </row>
    <row r="52" spans="2:26" x14ac:dyDescent="0.35">
      <c r="B52" s="8" t="s">
        <v>5</v>
      </c>
      <c r="C52" s="8">
        <f t="shared" si="22"/>
        <v>1.7584696196182747</v>
      </c>
      <c r="D52" s="553">
        <v>43.367459668451033</v>
      </c>
      <c r="E52" s="5">
        <f t="shared" si="21"/>
        <v>1.5959256956356174</v>
      </c>
      <c r="F52" s="5">
        <v>1.6272049399829513</v>
      </c>
      <c r="G52" s="221">
        <f t="shared" si="16"/>
        <v>-0.85</v>
      </c>
      <c r="H52" s="3">
        <f t="shared" si="17"/>
        <v>-1.0379411330530135</v>
      </c>
      <c r="I52">
        <v>0</v>
      </c>
      <c r="J52" s="222">
        <v>0</v>
      </c>
      <c r="K52" s="221">
        <f t="shared" si="18"/>
        <v>0.41722480666124362</v>
      </c>
      <c r="L52" s="221">
        <f t="shared" si="19"/>
        <v>-0.62935855698177134</v>
      </c>
      <c r="M52" s="3">
        <v>0.40553427783507573</v>
      </c>
      <c r="N52" s="3">
        <f t="shared" si="20"/>
        <v>3.070680350871041</v>
      </c>
      <c r="P52" s="316" t="s">
        <v>183</v>
      </c>
      <c r="Q52" s="266">
        <v>-1037.9411330530136</v>
      </c>
      <c r="R52" s="267"/>
      <c r="S52" s="266"/>
      <c r="T52" s="266">
        <v>-417.22480666124363</v>
      </c>
      <c r="U52" s="266">
        <v>629.35855698177136</v>
      </c>
      <c r="V52" s="267">
        <v>3070.6803508710409</v>
      </c>
      <c r="W52" s="268">
        <v>850</v>
      </c>
      <c r="X52" s="9"/>
      <c r="Y52" s="551">
        <v>40.158399481375852</v>
      </c>
      <c r="Z52" s="551">
        <v>40.158399481375852</v>
      </c>
    </row>
    <row r="53" spans="2:26" x14ac:dyDescent="0.35">
      <c r="B53" s="8" t="s">
        <v>6</v>
      </c>
      <c r="C53" s="8">
        <f t="shared" si="22"/>
        <v>0.9796525865569663</v>
      </c>
      <c r="D53" s="553">
        <v>44.347112255008</v>
      </c>
      <c r="E53" s="5">
        <f t="shared" si="21"/>
        <v>2.4465730398381758</v>
      </c>
      <c r="F53" s="5">
        <v>0.8506473442025585</v>
      </c>
      <c r="G53" s="221">
        <f t="shared" si="16"/>
        <v>-0.8</v>
      </c>
      <c r="H53" s="3">
        <f t="shared" si="17"/>
        <v>-1.2752105313295232</v>
      </c>
      <c r="I53">
        <v>0</v>
      </c>
      <c r="J53" s="222">
        <v>0</v>
      </c>
      <c r="K53" s="221">
        <f t="shared" si="18"/>
        <v>0.47366053617996612</v>
      </c>
      <c r="L53" s="221">
        <f t="shared" si="19"/>
        <v>-0.38251041558621818</v>
      </c>
      <c r="M53" s="3">
        <v>0.12307613394045495</v>
      </c>
      <c r="N53" s="3">
        <f t="shared" si="20"/>
        <v>2.2489340094725367</v>
      </c>
      <c r="P53" s="316" t="s">
        <v>184</v>
      </c>
      <c r="Q53" s="266">
        <v>-1275.2105313295233</v>
      </c>
      <c r="R53" s="267"/>
      <c r="S53" s="266"/>
      <c r="T53" s="266">
        <v>-473.66053617996613</v>
      </c>
      <c r="U53" s="266">
        <v>382.51041558621819</v>
      </c>
      <c r="V53" s="267">
        <v>2248.9340094725367</v>
      </c>
      <c r="W53" s="268">
        <v>800</v>
      </c>
      <c r="X53" s="9"/>
      <c r="Y53" s="551">
        <v>40.515635176768157</v>
      </c>
      <c r="Z53" s="551">
        <v>40.515635176768157</v>
      </c>
    </row>
    <row r="54" spans="2:26" x14ac:dyDescent="0.35">
      <c r="B54" s="8" t="s">
        <v>7</v>
      </c>
      <c r="C54" s="8">
        <f t="shared" si="22"/>
        <v>1.6578326831319856</v>
      </c>
      <c r="D54" s="553">
        <v>46.004944938139985</v>
      </c>
      <c r="E54" s="5">
        <f t="shared" si="21"/>
        <v>4.0515026392101374</v>
      </c>
      <c r="F54" s="5">
        <v>1.6049295993719619</v>
      </c>
      <c r="G54" s="221">
        <f t="shared" si="16"/>
        <v>-0.7</v>
      </c>
      <c r="H54" s="3">
        <f t="shared" si="17"/>
        <v>-0.40897078984909263</v>
      </c>
      <c r="I54">
        <v>0</v>
      </c>
      <c r="J54" s="222">
        <v>0</v>
      </c>
      <c r="K54" s="221">
        <f t="shared" si="18"/>
        <v>0.50070413094416888</v>
      </c>
      <c r="L54" s="221">
        <f t="shared" si="19"/>
        <v>0.21885434017521949</v>
      </c>
      <c r="M54" s="3">
        <v>-0.53272729646689809</v>
      </c>
      <c r="N54" s="3">
        <f t="shared" si="20"/>
        <v>1.4811730927541564</v>
      </c>
      <c r="P54" s="316" t="s">
        <v>185</v>
      </c>
      <c r="Q54" s="266">
        <v>-408.97078984909263</v>
      </c>
      <c r="R54" s="267"/>
      <c r="S54" s="266"/>
      <c r="T54" s="266">
        <v>-500.70413094416892</v>
      </c>
      <c r="U54" s="266">
        <v>-218.85434017521948</v>
      </c>
      <c r="V54" s="267">
        <v>1481.1730927541564</v>
      </c>
      <c r="W54" s="268">
        <v>700</v>
      </c>
      <c r="X54" s="9"/>
      <c r="Y54" s="551">
        <v>40.64772687713463</v>
      </c>
      <c r="Z54" s="551">
        <v>40.64772687713463</v>
      </c>
    </row>
    <row r="55" spans="2:26" x14ac:dyDescent="0.35">
      <c r="B55" s="8" t="s">
        <v>8</v>
      </c>
      <c r="C55" s="8">
        <f t="shared" si="22"/>
        <v>2.0729500150886579</v>
      </c>
      <c r="D55" s="553">
        <v>48.077894953228643</v>
      </c>
      <c r="E55" s="5">
        <f t="shared" si="21"/>
        <v>6.0328816815498243</v>
      </c>
      <c r="F55" s="5">
        <v>1.9813790423396866</v>
      </c>
      <c r="G55" s="221">
        <f t="shared" si="16"/>
        <v>-0.7</v>
      </c>
      <c r="H55" s="3">
        <f t="shared" si="17"/>
        <v>-0.69992439374807192</v>
      </c>
      <c r="I55">
        <v>0</v>
      </c>
      <c r="J55" s="222">
        <v>0</v>
      </c>
      <c r="K55" s="221">
        <f t="shared" si="18"/>
        <v>0.51497107193273661</v>
      </c>
      <c r="L55" s="221">
        <f t="shared" si="19"/>
        <v>-0.20732538099151732</v>
      </c>
      <c r="M55" s="3">
        <v>-5.0323120586813902E-2</v>
      </c>
      <c r="N55" s="3">
        <f t="shared" si="20"/>
        <v>2.630980315500945</v>
      </c>
      <c r="P55" s="316" t="s">
        <v>186</v>
      </c>
      <c r="Q55" s="266">
        <v>-699.92439374807191</v>
      </c>
      <c r="R55" s="267"/>
      <c r="S55" s="266"/>
      <c r="T55" s="266">
        <v>-514.97107193273666</v>
      </c>
      <c r="U55" s="266">
        <v>207.32538099151731</v>
      </c>
      <c r="V55" s="267">
        <v>2630.9803155009449</v>
      </c>
      <c r="W55" s="268">
        <v>700</v>
      </c>
      <c r="X55" s="9"/>
      <c r="Y55" s="551">
        <v>40.86685760056217</v>
      </c>
      <c r="Z55" s="551">
        <v>40.86685760056217</v>
      </c>
    </row>
    <row r="56" spans="2:26" x14ac:dyDescent="0.35">
      <c r="B56" s="8" t="s">
        <v>9</v>
      </c>
      <c r="C56" s="8">
        <f t="shared" si="22"/>
        <v>1.2114631398842306</v>
      </c>
      <c r="D56" s="553">
        <v>49.289358093112874</v>
      </c>
      <c r="E56" s="5">
        <f t="shared" si="21"/>
        <v>7.1730761507491749</v>
      </c>
      <c r="F56" s="5">
        <v>1.1401944691993506</v>
      </c>
      <c r="G56" s="221">
        <f t="shared" si="16"/>
        <v>-0.75</v>
      </c>
      <c r="H56" s="3">
        <f t="shared" si="17"/>
        <v>-0.39959536917299576</v>
      </c>
      <c r="I56">
        <v>0</v>
      </c>
      <c r="J56" s="222">
        <v>0</v>
      </c>
      <c r="K56" s="221">
        <f t="shared" si="18"/>
        <v>0.25992592095411232</v>
      </c>
      <c r="L56" s="221">
        <f t="shared" si="19"/>
        <v>7.9818858813501037E-2</v>
      </c>
      <c r="M56" s="3">
        <v>-0.15604013729351013</v>
      </c>
      <c r="N56" s="3">
        <f t="shared" si="20"/>
        <v>1.3837497010788362</v>
      </c>
      <c r="P56" s="316" t="s">
        <v>187</v>
      </c>
      <c r="Q56" s="266">
        <v>-399.59536917299579</v>
      </c>
      <c r="R56" s="267"/>
      <c r="S56" s="266"/>
      <c r="T56" s="268">
        <v>-259.92592095411231</v>
      </c>
      <c r="U56" s="266">
        <v>-79.818858813501038</v>
      </c>
      <c r="V56" s="267">
        <v>1383.7497010788363</v>
      </c>
      <c r="W56" s="268">
        <v>750</v>
      </c>
      <c r="X56" s="9"/>
      <c r="Y56" s="551">
        <v>41.027007871865493</v>
      </c>
      <c r="Z56" s="551">
        <v>41.027007871865493</v>
      </c>
    </row>
    <row r="57" spans="2:26" x14ac:dyDescent="0.35">
      <c r="B57" s="8" t="s">
        <v>10</v>
      </c>
      <c r="C57" s="8">
        <f t="shared" si="22"/>
        <v>1.3552828105654129</v>
      </c>
      <c r="D57" s="553">
        <v>50.644640903678287</v>
      </c>
      <c r="E57" s="5">
        <f t="shared" si="21"/>
        <v>8.4505855482885064</v>
      </c>
      <c r="F57" s="5">
        <v>1.2775093975393312</v>
      </c>
      <c r="G57" s="221">
        <f t="shared" si="16"/>
        <v>-0.9</v>
      </c>
      <c r="H57" s="3">
        <f t="shared" si="17"/>
        <v>-0.2619028325420536</v>
      </c>
      <c r="I57">
        <v>0</v>
      </c>
      <c r="J57" s="222">
        <v>0</v>
      </c>
      <c r="K57" s="221">
        <f t="shared" si="18"/>
        <v>0.32496339575920202</v>
      </c>
      <c r="L57" s="221">
        <f t="shared" si="19"/>
        <v>-0.14644727924019946</v>
      </c>
      <c r="M57" s="3">
        <v>0.111747246161276</v>
      </c>
      <c r="N57" s="3">
        <f t="shared" si="20"/>
        <v>1.6511594762426609</v>
      </c>
      <c r="P57" s="316" t="s">
        <v>188</v>
      </c>
      <c r="Q57" s="266">
        <v>-261.9028325420536</v>
      </c>
      <c r="R57" s="267"/>
      <c r="S57" s="266"/>
      <c r="T57" s="266">
        <v>-324.963395759202</v>
      </c>
      <c r="U57" s="266">
        <v>146.44727924019946</v>
      </c>
      <c r="V57" s="267">
        <v>1651.159476242661</v>
      </c>
      <c r="W57" s="268">
        <v>900</v>
      </c>
      <c r="X57" s="9"/>
      <c r="Y57" s="551">
        <v>41.200074709472133</v>
      </c>
      <c r="Z57" s="551">
        <v>41.200074709472133</v>
      </c>
    </row>
    <row r="58" spans="2:26" ht="18.75" thickBot="1" x14ac:dyDescent="0.4">
      <c r="B58" s="8" t="s">
        <v>11</v>
      </c>
      <c r="C58" s="8">
        <f t="shared" si="22"/>
        <v>2.7986423722173868</v>
      </c>
      <c r="D58" s="554">
        <v>53.443283275895674</v>
      </c>
      <c r="E58" s="224">
        <f t="shared" si="21"/>
        <v>11.159546218581736</v>
      </c>
      <c r="F58" s="5">
        <v>2.7089606702932301</v>
      </c>
      <c r="G58" s="221">
        <f t="shared" si="16"/>
        <v>-0.9</v>
      </c>
      <c r="H58" s="3">
        <f t="shared" si="17"/>
        <v>-0.41598966648809665</v>
      </c>
      <c r="I58">
        <v>0</v>
      </c>
      <c r="J58" s="222">
        <v>0</v>
      </c>
      <c r="K58" s="221">
        <f t="shared" si="18"/>
        <v>0.36543656451051482</v>
      </c>
      <c r="L58" s="221">
        <f t="shared" si="19"/>
        <v>-0.39822744511698588</v>
      </c>
      <c r="M58" s="3">
        <v>0.1958261901767728</v>
      </c>
      <c r="N58" s="3">
        <f t="shared" si="20"/>
        <v>3.3207765269580998</v>
      </c>
      <c r="P58" s="316" t="s">
        <v>189</v>
      </c>
      <c r="Q58" s="269">
        <v>-415.98966648809665</v>
      </c>
      <c r="R58" s="267"/>
      <c r="S58" s="269"/>
      <c r="T58" s="269">
        <v>-365.43656451051481</v>
      </c>
      <c r="U58" s="269">
        <v>398.2274451169859</v>
      </c>
      <c r="V58" s="270">
        <v>3320.7765269580996</v>
      </c>
      <c r="W58" s="268">
        <v>900</v>
      </c>
      <c r="X58" s="9"/>
      <c r="Y58" s="551">
        <v>41.402614826192249</v>
      </c>
      <c r="Z58" s="551">
        <v>41.402614826192249</v>
      </c>
    </row>
    <row r="59" spans="2:26" x14ac:dyDescent="0.35">
      <c r="B59" s="8"/>
      <c r="C59" s="8"/>
      <c r="E59" s="5"/>
    </row>
    <row r="60" spans="2:26" x14ac:dyDescent="0.35">
      <c r="B60" s="8"/>
      <c r="C60" s="8">
        <f>'ПБ V-2 (fin plan)'!AV71</f>
        <v>26468.92800887896</v>
      </c>
      <c r="E60" s="5"/>
    </row>
    <row r="61" spans="2:26" x14ac:dyDescent="0.35">
      <c r="B61" s="8"/>
      <c r="C61" s="8"/>
      <c r="E61" s="5"/>
    </row>
    <row r="66" spans="1:17" x14ac:dyDescent="0.35">
      <c r="Q66" s="5"/>
    </row>
    <row r="69" spans="1:17" ht="23.25" x14ac:dyDescent="0.35">
      <c r="A69" s="76"/>
      <c r="B69" s="1443">
        <v>2020</v>
      </c>
      <c r="C69" s="1444"/>
      <c r="D69" s="1444"/>
      <c r="E69" s="1444"/>
      <c r="F69" s="1444"/>
      <c r="G69" s="1444"/>
      <c r="H69" s="1444"/>
      <c r="I69" s="1444"/>
      <c r="J69" s="1444"/>
      <c r="K69" s="1444"/>
      <c r="L69" s="1444"/>
      <c r="M69" s="1445"/>
    </row>
    <row r="70" spans="1:17" ht="23.25" x14ac:dyDescent="0.35">
      <c r="A70" s="77"/>
      <c r="B70" s="75" t="s">
        <v>0</v>
      </c>
      <c r="C70" s="75" t="s">
        <v>1</v>
      </c>
      <c r="D70" s="75" t="s">
        <v>2</v>
      </c>
      <c r="E70" s="75" t="s">
        <v>3</v>
      </c>
      <c r="F70" s="75" t="s">
        <v>4</v>
      </c>
      <c r="G70" s="75" t="s">
        <v>5</v>
      </c>
      <c r="H70" s="75" t="s">
        <v>6</v>
      </c>
      <c r="I70" s="75" t="s">
        <v>7</v>
      </c>
      <c r="J70" s="75" t="s">
        <v>8</v>
      </c>
      <c r="K70" s="75" t="s">
        <v>9</v>
      </c>
      <c r="L70" s="75" t="s">
        <v>10</v>
      </c>
      <c r="M70" s="78" t="s">
        <v>11</v>
      </c>
    </row>
    <row r="71" spans="1:17" ht="24" x14ac:dyDescent="0.45">
      <c r="A71" s="82" t="s">
        <v>284</v>
      </c>
      <c r="B71" s="74">
        <f>('ПБ V-1 (fin min)'!T36)/1000</f>
        <v>0.27900000000000003</v>
      </c>
      <c r="C71" s="74">
        <f>('ПБ V-1 (fin min)'!U36)/1000</f>
        <v>0.32500000000000001</v>
      </c>
      <c r="D71" s="74">
        <f>('ПБ V-1 (fin min)'!V36)/1000</f>
        <v>0.36099999999999999</v>
      </c>
      <c r="E71" s="74">
        <f>('ПБ V-1 (fin min)'!W36)/1000</f>
        <v>0.45200000000000001</v>
      </c>
      <c r="F71" s="74">
        <f>('ПБ V-1 (fin min)'!X36)/1000</f>
        <v>0.61599999999999999</v>
      </c>
      <c r="G71" s="74">
        <f>('ПБ V-1 (fin min)'!Y36)/1000</f>
        <v>0.55500000000000005</v>
      </c>
      <c r="H71" s="74">
        <f>('ПБ V-1 (fin min)'!Z36)/1000</f>
        <v>0.52300000000000002</v>
      </c>
      <c r="I71" s="74">
        <f>('ПБ V-1 (fin min)'!AA36)/1000</f>
        <v>0.56999999999999995</v>
      </c>
      <c r="J71" s="74">
        <f>('ПБ V-1 (fin min)'!AB36)/1000</f>
        <v>0.28999999999999998</v>
      </c>
      <c r="K71" s="74">
        <f>('ПБ V-1 (fin min)'!AC36)/1000</f>
        <v>0.16900000000000001</v>
      </c>
      <c r="L71" s="74">
        <f>('ПБ V-1 (fin min)'!AD36)/1000</f>
        <v>0.30599999999999999</v>
      </c>
      <c r="M71" s="74">
        <f>('ПБ V-1 (fin min)'!AE36)/1000</f>
        <v>0.19600000000000001</v>
      </c>
      <c r="N71" s="317"/>
      <c r="O71" s="90"/>
    </row>
    <row r="72" spans="1:17" ht="24" x14ac:dyDescent="0.45">
      <c r="A72" s="82" t="s">
        <v>36</v>
      </c>
      <c r="B72" s="74">
        <f>('ПБ V-1 (fin min)'!Z4)/1000</f>
        <v>0.16</v>
      </c>
      <c r="C72" s="74">
        <f>('ПБ V-1 (fin min)'!AA4)/1000</f>
        <v>9.4E-2</v>
      </c>
      <c r="D72" s="74">
        <f>('ПБ V-1 (fin min)'!AB4)/1000</f>
        <v>-0.82099999999999995</v>
      </c>
      <c r="E72" s="74">
        <f>('ПБ V-1 (fin min)'!AC4)/1000</f>
        <v>1.4E-2</v>
      </c>
      <c r="F72" s="74">
        <f>('ПБ V-1 (fin min)'!AD4)/1000</f>
        <v>0.315</v>
      </c>
      <c r="G72" s="74">
        <f>('ПБ V-1 (fin min)'!AE4)/1000</f>
        <v>-0.18099999999999999</v>
      </c>
      <c r="H72" s="74">
        <f>('ПБ V-1 (fin min)'!AF4)/1000</f>
        <v>-0.66200000000000003</v>
      </c>
      <c r="I72" s="74">
        <f>('ПБ V-1 (fin min)'!AG4)/1000</f>
        <v>-6.2E-2</v>
      </c>
      <c r="J72" s="74">
        <f>('ПБ V-1 (fin min)'!AH4)/1000</f>
        <v>-0.91</v>
      </c>
      <c r="K72" s="74">
        <f>('ПБ V-1 (fin min)'!AI4)/1000</f>
        <v>-2.4E-2</v>
      </c>
      <c r="L72" s="74">
        <f>('ПБ V-1 (fin min)'!AJ4)/1000</f>
        <v>-0.65400000000000003</v>
      </c>
      <c r="M72" s="74">
        <f>('ПБ V-1 (fin min)'!AK4)/1000</f>
        <v>-0.53700000000000003</v>
      </c>
      <c r="N72" s="317"/>
      <c r="O72" s="90"/>
    </row>
    <row r="73" spans="1:17" ht="24" x14ac:dyDescent="0.45">
      <c r="A73" s="82" t="s">
        <v>37</v>
      </c>
      <c r="B73" s="74">
        <f>('ПБ V-1 (fin min)'!Z45+'ПБ V-1 (fin min)'!Z48)/1000</f>
        <v>0.31231701204466733</v>
      </c>
      <c r="C73" s="74">
        <f>('ПБ V-1 (fin min)'!AA45+'ПБ V-1 (fin min)'!AA48)/1000</f>
        <v>0.73612144676079994</v>
      </c>
      <c r="D73" s="74">
        <f>('ПБ V-1 (fin min)'!AB45+'ПБ V-1 (fin min)'!AB48)/1000</f>
        <v>1.4251222736259557</v>
      </c>
      <c r="E73" s="74">
        <f>('ПБ V-1 (fin min)'!AC45+'ПБ V-1 (fin min)'!AC48)/1000</f>
        <v>0.55381380857035445</v>
      </c>
      <c r="F73" s="74">
        <f>('ПБ V-1 (fin min)'!AD45+'ПБ V-1 (fin min)'!AD48)/1000</f>
        <v>0.76144597429400485</v>
      </c>
      <c r="G73" s="74">
        <f>('ПБ V-1 (fin min)'!AE45+'ПБ V-1 (fin min)'!AE48)/1000</f>
        <v>1.2214559569902557</v>
      </c>
      <c r="H73" s="74">
        <f>('ПБ V-1 (fin min)'!AF45+'ПБ V-1 (fin min)'!AF48)/1000</f>
        <v>0.39693143922253055</v>
      </c>
      <c r="I73" s="74">
        <f>('ПБ V-1 (fin min)'!AG45+'ПБ V-1 (fin min)'!AG48)/1000</f>
        <v>0.25739857643179997</v>
      </c>
      <c r="J73" s="74">
        <f>('ПБ V-1 (fin min)'!AH45+'ПБ V-1 (fin min)'!AH48)/1000</f>
        <v>3.0462339929218865</v>
      </c>
      <c r="K73" s="74">
        <f>('ПБ V-1 (fin min)'!AI45+'ПБ V-1 (fin min)'!AI48)/1000</f>
        <v>0.98884819682503866</v>
      </c>
      <c r="L73" s="74">
        <f>('ПБ V-1 (fin min)'!AJ45+'ПБ V-1 (fin min)'!AJ48)/1000</f>
        <v>0.57597455300308842</v>
      </c>
      <c r="M73" s="74">
        <f>('ПБ V-1 (fin min)'!AK45+'ПБ V-1 (fin min)'!AK48)/1000</f>
        <v>0.83640190187894858</v>
      </c>
      <c r="N73" s="317"/>
      <c r="O73" s="90"/>
    </row>
    <row r="74" spans="1:17" ht="24" x14ac:dyDescent="0.45">
      <c r="A74" s="82" t="s">
        <v>38</v>
      </c>
      <c r="B74" s="74">
        <v>0.50298984900225296</v>
      </c>
      <c r="C74" s="74">
        <v>1.3232053791098599</v>
      </c>
      <c r="D74" s="74">
        <v>-0.28591382971590401</v>
      </c>
      <c r="E74" s="74">
        <v>0.3</v>
      </c>
      <c r="F74" s="74">
        <v>0.3</v>
      </c>
      <c r="G74" s="74">
        <v>0.3</v>
      </c>
      <c r="H74" s="74">
        <v>0</v>
      </c>
      <c r="I74" s="74">
        <v>0</v>
      </c>
      <c r="J74" s="74">
        <v>0</v>
      </c>
      <c r="K74" s="74">
        <v>0</v>
      </c>
      <c r="L74" s="74">
        <v>0</v>
      </c>
      <c r="M74" s="79">
        <v>0</v>
      </c>
      <c r="N74" s="317"/>
      <c r="O74" s="90"/>
    </row>
    <row r="75" spans="1:17" ht="24" x14ac:dyDescent="0.45">
      <c r="A75" s="82" t="s">
        <v>39</v>
      </c>
      <c r="B75" s="74">
        <v>0.2</v>
      </c>
      <c r="C75" s="74">
        <v>0.3</v>
      </c>
      <c r="D75" s="74">
        <v>0</v>
      </c>
      <c r="E75" s="88">
        <v>0</v>
      </c>
      <c r="F75" s="88">
        <v>0</v>
      </c>
      <c r="G75" s="88">
        <v>0</v>
      </c>
      <c r="H75" s="88">
        <v>0</v>
      </c>
      <c r="I75" s="88">
        <v>0</v>
      </c>
      <c r="J75" s="88">
        <v>0.25</v>
      </c>
      <c r="K75" s="88">
        <v>0.25</v>
      </c>
      <c r="L75" s="88">
        <v>0.25</v>
      </c>
      <c r="M75" s="89">
        <v>0.25</v>
      </c>
      <c r="N75" s="318"/>
      <c r="O75" s="90"/>
    </row>
    <row r="76" spans="1:17" ht="24" x14ac:dyDescent="0.45">
      <c r="A76" s="82" t="s">
        <v>40</v>
      </c>
      <c r="B76" s="74">
        <v>0</v>
      </c>
      <c r="C76" s="74">
        <v>-0.3</v>
      </c>
      <c r="D76" s="74">
        <v>0</v>
      </c>
      <c r="E76" s="74">
        <v>0</v>
      </c>
      <c r="F76" s="74">
        <v>0</v>
      </c>
      <c r="G76" s="74">
        <v>0</v>
      </c>
      <c r="H76" s="74">
        <v>0</v>
      </c>
      <c r="I76" s="74">
        <v>0</v>
      </c>
      <c r="J76" s="74">
        <v>0</v>
      </c>
      <c r="K76" s="74">
        <v>0</v>
      </c>
      <c r="L76" s="74">
        <v>0</v>
      </c>
      <c r="M76" s="79">
        <v>0</v>
      </c>
      <c r="N76" s="317"/>
      <c r="O76" s="90"/>
    </row>
    <row r="77" spans="1:17" ht="24" x14ac:dyDescent="0.45">
      <c r="A77" s="83" t="s">
        <v>82</v>
      </c>
      <c r="B77" s="74">
        <f>(B75+B76)</f>
        <v>0.2</v>
      </c>
      <c r="C77" s="74">
        <f t="shared" ref="C77:M77" si="23">(C75+C76)*$M$2</f>
        <v>0</v>
      </c>
      <c r="D77" s="88">
        <f t="shared" si="23"/>
        <v>0</v>
      </c>
      <c r="E77" s="88">
        <f t="shared" si="23"/>
        <v>0</v>
      </c>
      <c r="F77" s="88">
        <f t="shared" si="23"/>
        <v>0</v>
      </c>
      <c r="G77" s="88">
        <f t="shared" si="23"/>
        <v>0</v>
      </c>
      <c r="H77" s="88">
        <f t="shared" si="23"/>
        <v>0</v>
      </c>
      <c r="I77" s="88">
        <f t="shared" si="23"/>
        <v>0</v>
      </c>
      <c r="J77" s="88">
        <f t="shared" si="23"/>
        <v>0.25</v>
      </c>
      <c r="K77" s="88">
        <f t="shared" si="23"/>
        <v>0.25</v>
      </c>
      <c r="L77" s="88">
        <f t="shared" si="23"/>
        <v>0.25</v>
      </c>
      <c r="M77" s="89">
        <f t="shared" si="23"/>
        <v>0.25</v>
      </c>
      <c r="N77" s="318"/>
      <c r="O77" s="90"/>
    </row>
    <row r="78" spans="1:17" ht="24" x14ac:dyDescent="0.45">
      <c r="A78" s="82" t="s">
        <v>41</v>
      </c>
      <c r="B78" s="74">
        <v>1.1000000000000001</v>
      </c>
      <c r="C78" s="74">
        <v>0</v>
      </c>
      <c r="D78" s="74">
        <v>0</v>
      </c>
      <c r="E78" s="74">
        <v>0.33</v>
      </c>
      <c r="F78" s="74">
        <v>5.33</v>
      </c>
      <c r="G78" s="74">
        <v>0.33</v>
      </c>
      <c r="H78" s="74">
        <v>1</v>
      </c>
      <c r="I78" s="74">
        <v>0</v>
      </c>
      <c r="J78" s="74">
        <v>0</v>
      </c>
      <c r="K78" s="74">
        <v>0</v>
      </c>
      <c r="L78" s="74">
        <v>0</v>
      </c>
      <c r="M78" s="79">
        <v>0</v>
      </c>
      <c r="N78" s="317"/>
      <c r="O78" s="90"/>
    </row>
    <row r="79" spans="1:17" ht="66.75" customHeight="1" x14ac:dyDescent="0.35">
      <c r="A79" s="80" t="s">
        <v>35</v>
      </c>
      <c r="B79" s="84">
        <f t="shared" ref="B79:M79" si="24">SUM(B71:B78)-B75-B76</f>
        <v>2.5543068610469204</v>
      </c>
      <c r="C79" s="84">
        <f t="shared" si="24"/>
        <v>2.4783268258706599</v>
      </c>
      <c r="D79" s="84">
        <f t="shared" si="24"/>
        <v>0.67920844391005164</v>
      </c>
      <c r="E79" s="84">
        <f t="shared" si="24"/>
        <v>1.6498138085703546</v>
      </c>
      <c r="F79" s="84">
        <f t="shared" si="24"/>
        <v>7.3224459742940047</v>
      </c>
      <c r="G79" s="84">
        <f t="shared" si="24"/>
        <v>2.2254559569902557</v>
      </c>
      <c r="H79" s="84">
        <f t="shared" si="24"/>
        <v>1.2579314392225305</v>
      </c>
      <c r="I79" s="84">
        <f t="shared" si="24"/>
        <v>0.76539857643179998</v>
      </c>
      <c r="J79" s="84">
        <f t="shared" si="24"/>
        <v>2.6762339929218864</v>
      </c>
      <c r="K79" s="84">
        <f t="shared" si="24"/>
        <v>1.3838481968250387</v>
      </c>
      <c r="L79" s="84">
        <f t="shared" si="24"/>
        <v>0.47797455300308833</v>
      </c>
      <c r="M79" s="85">
        <f t="shared" si="24"/>
        <v>0.74540190187894861</v>
      </c>
      <c r="N79" s="319"/>
    </row>
    <row r="80" spans="1:17" ht="23.25" x14ac:dyDescent="0.35">
      <c r="A80" s="81" t="s">
        <v>83</v>
      </c>
      <c r="B80" s="86">
        <f>B79</f>
        <v>2.5543068610469204</v>
      </c>
      <c r="C80" s="86">
        <f t="shared" ref="C80:M80" si="25">B80+C79</f>
        <v>5.0326336869175803</v>
      </c>
      <c r="D80" s="86">
        <f t="shared" si="25"/>
        <v>5.7118421308276321</v>
      </c>
      <c r="E80" s="86">
        <f t="shared" si="25"/>
        <v>7.3616559393979868</v>
      </c>
      <c r="F80" s="86">
        <f t="shared" si="25"/>
        <v>14.684101913691991</v>
      </c>
      <c r="G80" s="86">
        <f t="shared" si="25"/>
        <v>16.909557870682246</v>
      </c>
      <c r="H80" s="86">
        <f t="shared" si="25"/>
        <v>18.167489309904777</v>
      </c>
      <c r="I80" s="86">
        <f t="shared" si="25"/>
        <v>18.932887886336577</v>
      </c>
      <c r="J80" s="86">
        <f t="shared" si="25"/>
        <v>21.609121879258463</v>
      </c>
      <c r="K80" s="86">
        <f t="shared" si="25"/>
        <v>22.992970076083502</v>
      </c>
      <c r="L80" s="86">
        <f t="shared" si="25"/>
        <v>23.470944629086588</v>
      </c>
      <c r="M80" s="87">
        <f t="shared" si="25"/>
        <v>24.216346530965538</v>
      </c>
      <c r="N80" s="319"/>
    </row>
    <row r="84" spans="1:40" x14ac:dyDescent="0.35">
      <c r="AB84" s="2">
        <v>2023</v>
      </c>
    </row>
    <row r="85" spans="1:40" ht="24" x14ac:dyDescent="0.35">
      <c r="A85" s="612" t="s">
        <v>240</v>
      </c>
      <c r="B85" s="612" t="s">
        <v>228</v>
      </c>
      <c r="C85" s="612" t="s">
        <v>229</v>
      </c>
      <c r="D85" s="612" t="s">
        <v>230</v>
      </c>
      <c r="E85" s="612" t="s">
        <v>231</v>
      </c>
      <c r="F85" s="612" t="s">
        <v>232</v>
      </c>
      <c r="G85" s="612" t="s">
        <v>233</v>
      </c>
      <c r="H85" s="612" t="s">
        <v>234</v>
      </c>
      <c r="I85" s="612" t="s">
        <v>235</v>
      </c>
      <c r="J85" s="612" t="s">
        <v>236</v>
      </c>
      <c r="K85" s="612" t="s">
        <v>237</v>
      </c>
      <c r="L85" s="612" t="s">
        <v>238</v>
      </c>
      <c r="M85" s="612" t="s">
        <v>239</v>
      </c>
      <c r="N85" s="612" t="s">
        <v>287</v>
      </c>
      <c r="O85" s="612" t="s">
        <v>228</v>
      </c>
      <c r="P85" s="612" t="s">
        <v>229</v>
      </c>
      <c r="Q85" s="612" t="s">
        <v>230</v>
      </c>
      <c r="R85" s="612" t="s">
        <v>231</v>
      </c>
      <c r="S85" s="612" t="s">
        <v>232</v>
      </c>
      <c r="T85" s="612" t="s">
        <v>233</v>
      </c>
      <c r="U85" s="612" t="s">
        <v>234</v>
      </c>
      <c r="V85" s="612" t="s">
        <v>235</v>
      </c>
      <c r="W85" s="612" t="s">
        <v>236</v>
      </c>
      <c r="X85" s="612" t="s">
        <v>237</v>
      </c>
      <c r="Y85" s="612" t="s">
        <v>238</v>
      </c>
      <c r="Z85" s="612" t="s">
        <v>239</v>
      </c>
      <c r="AA85" s="612" t="s">
        <v>287</v>
      </c>
      <c r="AB85" s="612" t="s">
        <v>228</v>
      </c>
      <c r="AC85" s="612" t="s">
        <v>229</v>
      </c>
      <c r="AD85" s="612" t="s">
        <v>230</v>
      </c>
      <c r="AE85" s="612" t="s">
        <v>231</v>
      </c>
      <c r="AF85" s="612" t="s">
        <v>232</v>
      </c>
      <c r="AG85" s="612" t="s">
        <v>233</v>
      </c>
      <c r="AH85" s="612" t="s">
        <v>234</v>
      </c>
      <c r="AI85" s="612" t="s">
        <v>235</v>
      </c>
      <c r="AJ85" s="612" t="s">
        <v>236</v>
      </c>
      <c r="AK85" s="612" t="s">
        <v>237</v>
      </c>
      <c r="AL85" s="612" t="s">
        <v>238</v>
      </c>
      <c r="AM85" s="612" t="s">
        <v>239</v>
      </c>
      <c r="AN85" s="612" t="s">
        <v>287</v>
      </c>
    </row>
    <row r="86" spans="1:40" ht="24" x14ac:dyDescent="0.35">
      <c r="A86" s="613" t="s">
        <v>241</v>
      </c>
      <c r="B86" s="615">
        <f t="array" ref="B86:M86">TRANSPOSE(H4:H15)</f>
        <v>0.16</v>
      </c>
      <c r="C86" s="615">
        <v>9.4E-2</v>
      </c>
      <c r="D86" s="615">
        <v>-0.82099999999999995</v>
      </c>
      <c r="E86" s="615">
        <v>1.4E-2</v>
      </c>
      <c r="F86" s="615">
        <v>0.315</v>
      </c>
      <c r="G86" s="615">
        <v>-0.18099999999999999</v>
      </c>
      <c r="H86" s="615">
        <v>-0.66200000000000003</v>
      </c>
      <c r="I86" s="615">
        <v>-6.2E-2</v>
      </c>
      <c r="J86" s="615">
        <v>-0.91</v>
      </c>
      <c r="K86" s="615">
        <v>-2.4E-2</v>
      </c>
      <c r="L86" s="615">
        <v>-0.65400000000000003</v>
      </c>
      <c r="M86" s="615">
        <v>-0.53700000000000003</v>
      </c>
      <c r="N86" s="615">
        <f>SUM(B86:M86)</f>
        <v>-3.2679999999999998</v>
      </c>
      <c r="O86" s="615">
        <f t="array" ref="O86:Z86">TRANSPOSE(H32:H43)</f>
        <v>0.60899999999999999</v>
      </c>
      <c r="P86" s="615">
        <v>2.1000000000000001E-2</v>
      </c>
      <c r="Q86" s="615">
        <v>1.387</v>
      </c>
      <c r="R86" s="615">
        <v>1.2030000000000001</v>
      </c>
      <c r="S86" s="615">
        <v>-0.20300000000000001</v>
      </c>
      <c r="T86" s="615">
        <v>-0.19800000000000001</v>
      </c>
      <c r="U86" s="615">
        <v>1.4059999999999999</v>
      </c>
      <c r="V86" s="615">
        <v>1.948</v>
      </c>
      <c r="W86" s="615">
        <v>1.6879999999999999</v>
      </c>
      <c r="X86" s="615">
        <v>-0.53700000000000003</v>
      </c>
      <c r="Y86" s="615">
        <v>0.375</v>
      </c>
      <c r="Z86" s="615">
        <v>0.27300000000000002</v>
      </c>
      <c r="AA86" s="615">
        <f>SUM(O86:Z86)</f>
        <v>7.9719999999999995</v>
      </c>
      <c r="AB86" s="615">
        <f t="array" ref="AB86:AM86">TRANSPOSE(H47:H58)</f>
        <v>-0.96890596745869528</v>
      </c>
      <c r="AC86" s="615">
        <v>-1.0312846644640989</v>
      </c>
      <c r="AD86" s="615">
        <v>-1.1418543699472345</v>
      </c>
      <c r="AE86" s="615">
        <v>-0.63527243472870487</v>
      </c>
      <c r="AF86" s="615">
        <v>-0.94928253298539467</v>
      </c>
      <c r="AG86" s="615">
        <v>-1.0379411330530135</v>
      </c>
      <c r="AH86" s="615">
        <v>-1.2752105313295232</v>
      </c>
      <c r="AI86" s="615">
        <v>-0.40897078984909263</v>
      </c>
      <c r="AJ86" s="615">
        <v>-0.69992439374807192</v>
      </c>
      <c r="AK86" s="615">
        <v>-0.39959536917299576</v>
      </c>
      <c r="AL86" s="615">
        <v>-0.2619028325420536</v>
      </c>
      <c r="AM86" s="615">
        <v>-0.41598966648809665</v>
      </c>
      <c r="AN86" s="615">
        <f t="shared" ref="AN86:AN91" si="26">SUM(AB86:AM86)</f>
        <v>-9.2261346857669757</v>
      </c>
    </row>
    <row r="87" spans="1:40" ht="24" x14ac:dyDescent="0.35">
      <c r="A87" s="614" t="s">
        <v>242</v>
      </c>
      <c r="B87" s="616">
        <f>-'ПБ V-1 (fin min)'!Z23/1000</f>
        <v>-0.71399999999999997</v>
      </c>
      <c r="C87" s="616">
        <f>-'ПБ V-1 (fin min)'!AA23/1000</f>
        <v>-0.27900000000000003</v>
      </c>
      <c r="D87" s="616">
        <f>-'ПБ V-1 (fin min)'!AB23/1000</f>
        <v>0.36</v>
      </c>
      <c r="E87" s="616">
        <f>-'ПБ V-1 (fin min)'!AC23/1000</f>
        <v>-0.33100000000000002</v>
      </c>
      <c r="F87" s="616">
        <f>-'ПБ V-1 (fin min)'!AD23/1000</f>
        <v>-0.78200000000000003</v>
      </c>
      <c r="G87" s="616">
        <f>-'ПБ V-1 (fin min)'!AE23/1000</f>
        <v>0</v>
      </c>
      <c r="H87" s="616">
        <f>-'ПБ V-1 (fin min)'!AF23/1000</f>
        <v>0.57399999999999995</v>
      </c>
      <c r="I87" s="616">
        <f>-'ПБ V-1 (fin min)'!AG23/1000</f>
        <v>0.27700000000000002</v>
      </c>
      <c r="J87" s="616">
        <f>-'ПБ V-1 (fin min)'!AH23/1000</f>
        <v>0.318</v>
      </c>
      <c r="K87" s="616">
        <f>-'ПБ V-1 (fin min)'!AI23/1000</f>
        <v>0.60799999999999998</v>
      </c>
      <c r="L87" s="616">
        <f>-'ПБ V-1 (fin min)'!AJ23/1000</f>
        <v>0.84799999999999998</v>
      </c>
      <c r="M87" s="616">
        <f>-'ПБ V-1 (fin min)'!AK23/1000</f>
        <v>0.433</v>
      </c>
      <c r="N87" s="616">
        <f>-'ПБ V-1 (fin min)'!CA23/1000</f>
        <v>5.5579999999999998</v>
      </c>
      <c r="O87" s="616">
        <f>-'ПБ V-1 (fin min)'!AL23/1000</f>
        <v>-1.8859999999999999</v>
      </c>
      <c r="P87" s="616">
        <f>-'ПБ V-1 (fin min)'!AM23/1000</f>
        <v>-1.1040000000000001</v>
      </c>
      <c r="Q87" s="616">
        <f>-'ПБ V-1 (fin min)'!AN23/1000</f>
        <v>-3.3490000000000002</v>
      </c>
      <c r="R87" s="616">
        <f>-'ПБ V-1 (fin min)'!AO23/1000</f>
        <v>-2.8639999999999999</v>
      </c>
      <c r="S87" s="616">
        <f>-'ПБ V-1 (fin min)'!AP23/1000</f>
        <v>-2.677</v>
      </c>
      <c r="T87" s="616">
        <f>-'ПБ V-1 (fin min)'!AQ23/1000</f>
        <v>-3.762</v>
      </c>
      <c r="U87" s="616">
        <f>-'ПБ V-1 (fin min)'!AR23/1000</f>
        <v>-1.532</v>
      </c>
      <c r="V87" s="616">
        <f>-'ПБ V-1 (fin min)'!AS23/1000</f>
        <v>-0.28199999999999997</v>
      </c>
      <c r="W87" s="616">
        <f>-'ПБ V-1 (fin min)'!AT23/1000</f>
        <v>-2.8969999999999998</v>
      </c>
      <c r="X87" s="616">
        <f>-'ПБ V-1 (fin min)'!AU23/1000</f>
        <v>-2.1150000000000002</v>
      </c>
      <c r="Y87" s="616">
        <f>-'ПБ V-1 (fin min)'!AV23/1000</f>
        <v>-0.45400000000000001</v>
      </c>
      <c r="Z87" s="616">
        <f>-'ПБ V-1 (fin min)'!AW23/1000</f>
        <v>-1.284</v>
      </c>
      <c r="AA87" s="616">
        <f>-'ПБ V-1 (fin min)'!CN23/1000</f>
        <v>0</v>
      </c>
      <c r="AB87" s="616">
        <f>-'ПБ V-2 (fin plan)'!AX23/1000</f>
        <v>-1.9104026106905594</v>
      </c>
      <c r="AC87" s="616">
        <f>-'ПБ V-2 (fin plan)'!AY23/1000</f>
        <v>-1.3960826106877524</v>
      </c>
      <c r="AD87" s="616">
        <f>-'ПБ V-2 (fin plan)'!AZ23/1000</f>
        <v>-3.3921693434526108</v>
      </c>
      <c r="AE87" s="616">
        <f>-'ПБ V-2 (fin plan)'!BA23/1000</f>
        <v>-0.82497427948921986</v>
      </c>
      <c r="AF87" s="616">
        <f>-'ПБ V-2 (fin plan)'!BB23/1000</f>
        <v>-0.7422601614205766</v>
      </c>
      <c r="AG87" s="616">
        <f>-'ПБ V-2 (fin plan)'!BC23/1000</f>
        <v>-2.9348838063936915</v>
      </c>
      <c r="AH87" s="616">
        <f>-'ПБ V-2 (fin plan)'!BD23/1000</f>
        <v>-0.62830311381777526</v>
      </c>
      <c r="AI87" s="616">
        <f>-'ПБ V-2 (fin plan)'!BE23/1000</f>
        <v>-0.89042635540227333</v>
      </c>
      <c r="AJ87" s="616">
        <f>-'ПБ V-2 (fin plan)'!BF23/1000</f>
        <v>-0.88142726992363252</v>
      </c>
      <c r="AK87" s="616">
        <f>-'ПБ V-2 (fin plan)'!BG23/1000</f>
        <v>-0.89040722270382122</v>
      </c>
      <c r="AL87" s="616">
        <f>-'ПБ V-2 (fin plan)'!BH23/1000</f>
        <v>-1.6501778611924196</v>
      </c>
      <c r="AM87" s="616">
        <f>-'ПБ V-2 (fin plan)'!BI23/1000</f>
        <v>-3.1061399012296769</v>
      </c>
      <c r="AN87" s="616">
        <f t="shared" si="26"/>
        <v>-19.24765453640401</v>
      </c>
    </row>
    <row r="88" spans="1:40" ht="24" x14ac:dyDescent="0.35">
      <c r="A88" s="614" t="s">
        <v>243</v>
      </c>
      <c r="B88" s="616">
        <f>'ПБ V-1 (fin min)'!Z58/1000</f>
        <v>0.33300000000000002</v>
      </c>
      <c r="C88" s="616">
        <f>'ПБ V-1 (fin min)'!AA58/1000</f>
        <v>0.159</v>
      </c>
      <c r="D88" s="616">
        <f>'ПБ V-1 (fin min)'!AB58/1000</f>
        <v>-0.25600000000000001</v>
      </c>
      <c r="E88" s="616">
        <f>'ПБ V-1 (fin min)'!AC58/1000</f>
        <v>1.0229999999999999</v>
      </c>
      <c r="F88" s="616">
        <f>'ПБ V-1 (fin min)'!AD58/1000</f>
        <v>6.4000000000000001E-2</v>
      </c>
      <c r="G88" s="616">
        <f>'ПБ V-1 (fin min)'!AE58/1000</f>
        <v>0.78800000000000003</v>
      </c>
      <c r="H88" s="616">
        <f>'ПБ V-1 (fin min)'!AF58/1000</f>
        <v>0.376</v>
      </c>
      <c r="I88" s="616">
        <f>'ПБ V-1 (fin min)'!AG58/1000</f>
        <v>-0.34899999999999998</v>
      </c>
      <c r="J88" s="616">
        <f>'ПБ V-1 (fin min)'!AH58/1000</f>
        <v>-1.9450000000000001</v>
      </c>
      <c r="K88" s="616">
        <f>'ПБ V-1 (fin min)'!AI58/1000</f>
        <v>0.47399999999999998</v>
      </c>
      <c r="L88" s="616">
        <f>'ПБ V-1 (fin min)'!AJ58/1000</f>
        <v>0.16200000000000001</v>
      </c>
      <c r="M88" s="616">
        <f>'ПБ V-1 (fin min)'!AK58/1000</f>
        <v>0.45600000000000002</v>
      </c>
      <c r="N88" s="616">
        <f>SUM(B88:M88)</f>
        <v>1.2849999999999999</v>
      </c>
      <c r="O88" s="616">
        <f>'ПБ V-1 (fin min)'!AL58/1000</f>
        <v>-0.501</v>
      </c>
      <c r="P88" s="616">
        <f>'ПБ V-1 (fin min)'!AM58/1000</f>
        <v>-0.61599999999999999</v>
      </c>
      <c r="Q88" s="616">
        <f>'ПБ V-1 (fin min)'!AN58/1000</f>
        <v>2.64</v>
      </c>
      <c r="R88" s="616">
        <f>'ПБ V-1 (fin min)'!AO58/1000</f>
        <v>0.79100000000000004</v>
      </c>
      <c r="S88" s="616">
        <f>'ПБ V-1 (fin min)'!AP58/1000</f>
        <v>0.95599999999999996</v>
      </c>
      <c r="T88" s="616">
        <f>'ПБ V-1 (fin min)'!AQ58/1000</f>
        <v>1.73</v>
      </c>
      <c r="U88" s="616">
        <f>'ПБ V-1 (fin min)'!AR58/1000</f>
        <v>-0.19600000000000001</v>
      </c>
      <c r="V88" s="616">
        <f>'ПБ V-1 (fin min)'!AS58/1000</f>
        <v>1.4239999999999999</v>
      </c>
      <c r="W88" s="616">
        <f>'ПБ V-1 (fin min)'!AT58/1000</f>
        <v>-0.17199999999999999</v>
      </c>
      <c r="X88" s="616">
        <f>'ПБ V-1 (fin min)'!AU58/1000</f>
        <v>3.9</v>
      </c>
      <c r="Y88" s="616">
        <f>'ПБ V-1 (fin min)'!AV58/1000</f>
        <v>2.5019999999999998</v>
      </c>
      <c r="Z88" s="616">
        <f>'ПБ V-1 (fin min)'!AW58/1000</f>
        <v>1.325</v>
      </c>
      <c r="AA88" s="616">
        <f>SUM(O88:Z88)</f>
        <v>13.782999999999998</v>
      </c>
      <c r="AB88" s="616">
        <f>'ПБ V-2 (fin plan)'!AX58/1000</f>
        <v>1.7717155000000002</v>
      </c>
      <c r="AC88" s="616">
        <f>'ПБ V-2 (fin plan)'!AY58/1000</f>
        <v>1.41659208743412</v>
      </c>
      <c r="AD88" s="616">
        <f>'ПБ V-2 (fin plan)'!AZ58/1000</f>
        <v>1.0272077021341199</v>
      </c>
      <c r="AE88" s="616">
        <f>'ПБ V-2 (fin plan)'!BA58/1000</f>
        <v>1.6178080239450332</v>
      </c>
      <c r="AF88" s="616">
        <f>'ПБ V-2 (fin plan)'!BB58/1000</f>
        <v>1.5681604839450334</v>
      </c>
      <c r="AG88" s="616">
        <f>'ПБ V-2 (fin plan)'!BC58/1000</f>
        <v>1.5997948040000001</v>
      </c>
      <c r="AH88" s="616">
        <f>'ПБ V-2 (fin plan)'!BD58/1000</f>
        <v>1.6043847879399269</v>
      </c>
      <c r="AI88" s="616">
        <f>'ПБ V-2 (fin plan)'!BE58/1000</f>
        <v>1.3971847879399271</v>
      </c>
      <c r="AJ88" s="616">
        <f>'ПБ V-2 (fin plan)'!BF58/1000</f>
        <v>0.85629570213411987</v>
      </c>
      <c r="AK88" s="616">
        <f>'ПБ V-2 (fin plan)'!BG58/1000</f>
        <v>1.7349505539341199</v>
      </c>
      <c r="AL88" s="616">
        <f>'ПБ V-2 (fin plan)'!BH58/1000</f>
        <v>1.4809789997146914</v>
      </c>
      <c r="AM88" s="616">
        <f>'ПБ V-2 (fin plan)'!BI58/1000</f>
        <v>1.9430124999999998</v>
      </c>
      <c r="AN88" s="616">
        <f t="shared" si="26"/>
        <v>18.018085933121089</v>
      </c>
    </row>
    <row r="89" spans="1:40" ht="62.85" customHeight="1" x14ac:dyDescent="0.35">
      <c r="A89" s="614" t="s">
        <v>286</v>
      </c>
      <c r="B89" s="616">
        <f>'ПБ V-1 (fin min)'!Z69/1000</f>
        <v>-0.26411701204466731</v>
      </c>
      <c r="C89" s="616">
        <f>'ПБ V-1 (fin min)'!AA69/1000</f>
        <v>-0.2794214467608</v>
      </c>
      <c r="D89" s="616">
        <f>'ПБ V-1 (fin min)'!AB69/1000</f>
        <v>-0.95112227362595569</v>
      </c>
      <c r="E89" s="616">
        <f>'ПБ V-1 (fin min)'!AC69/1000</f>
        <v>-0.43241380857035444</v>
      </c>
      <c r="F89" s="616">
        <f>'ПБ V-1 (fin min)'!AD69/1000</f>
        <v>-0.40774597429400478</v>
      </c>
      <c r="G89" s="616">
        <f>'ПБ V-1 (fin min)'!AE69/1000</f>
        <v>-0.49545595699025569</v>
      </c>
      <c r="H89" s="616">
        <f>'ПБ V-1 (fin min)'!AF69/1000</f>
        <v>-0.25693143922253059</v>
      </c>
      <c r="I89" s="616">
        <f>'ПБ V-1 (fin min)'!AG69/1000</f>
        <v>-0.12699857643179999</v>
      </c>
      <c r="J89" s="616">
        <f>'ПБ V-1 (fin min)'!AH69/1000</f>
        <v>-2.8293339929218866</v>
      </c>
      <c r="K89" s="616">
        <f>'ПБ V-1 (fin min)'!AI69/1000</f>
        <v>2.6651803174961238E-2</v>
      </c>
      <c r="L89" s="616">
        <f>'ПБ V-1 (fin min)'!AJ69/1000</f>
        <v>-0.32097455300308841</v>
      </c>
      <c r="M89" s="616">
        <f>'ПБ V-1 (fin min)'!AK69/1000</f>
        <v>2.1898098121051333E-2</v>
      </c>
      <c r="N89" s="616">
        <f>SUM(B89:M89)</f>
        <v>-6.3159651325693309</v>
      </c>
      <c r="O89" s="616">
        <f>'ПБ V-1 (fin min)'!AL69/1000</f>
        <v>0</v>
      </c>
      <c r="P89" s="616">
        <f>'ПБ V-1 (fin min)'!AM69/1000</f>
        <v>0</v>
      </c>
      <c r="Q89" s="616">
        <f>'ПБ V-1 (fin min)'!AN69/1000</f>
        <v>0</v>
      </c>
      <c r="R89" s="616">
        <f>'ПБ V-1 (fin min)'!AO69/1000</f>
        <v>0</v>
      </c>
      <c r="S89" s="616">
        <f>'ПБ V-1 (fin min)'!AP69/1000</f>
        <v>0</v>
      </c>
      <c r="T89" s="616">
        <f>'ПБ V-1 (fin min)'!AQ69/1000</f>
        <v>0</v>
      </c>
      <c r="U89" s="616">
        <f>'ПБ V-1 (fin min)'!AR69/1000</f>
        <v>0</v>
      </c>
      <c r="V89" s="616">
        <f>'ПБ V-1 (fin min)'!AS69/1000</f>
        <v>0</v>
      </c>
      <c r="W89" s="616">
        <f>'ПБ V-1 (fin min)'!AT69/1000</f>
        <v>0</v>
      </c>
      <c r="X89" s="616">
        <f>'ПБ V-1 (fin min)'!AU69/1000</f>
        <v>0</v>
      </c>
      <c r="Y89" s="616">
        <f>'ПБ V-1 (fin min)'!AV69/1000</f>
        <v>0</v>
      </c>
      <c r="Z89" s="616">
        <f>'ПБ V-1 (fin min)'!AW69/1000</f>
        <v>0</v>
      </c>
      <c r="AA89" s="616">
        <f>SUM(O89:Z89)</f>
        <v>0</v>
      </c>
      <c r="AB89" s="616">
        <f>'ПБ V-2 (fin plan)'!AX69/1000</f>
        <v>0</v>
      </c>
      <c r="AC89" s="616">
        <f>'ПБ V-2 (fin plan)'!AY69/1000</f>
        <v>0</v>
      </c>
      <c r="AD89" s="616">
        <f>'ПБ V-2 (fin plan)'!AZ69/1000</f>
        <v>0</v>
      </c>
      <c r="AE89" s="616">
        <f>'ПБ V-2 (fin plan)'!BA69/1000</f>
        <v>0</v>
      </c>
      <c r="AF89" s="616">
        <f>'ПБ V-2 (fin plan)'!BB69/1000</f>
        <v>0</v>
      </c>
      <c r="AG89" s="616">
        <f>'ПБ V-2 (fin plan)'!BC69/1000</f>
        <v>0</v>
      </c>
      <c r="AH89" s="616">
        <f>'ПБ V-2 (fin plan)'!BD69/1000</f>
        <v>0</v>
      </c>
      <c r="AI89" s="616">
        <f>'ПБ V-2 (fin plan)'!BE69/1000</f>
        <v>0</v>
      </c>
      <c r="AJ89" s="616">
        <f>'ПБ V-2 (fin plan)'!BF69/1000</f>
        <v>0</v>
      </c>
      <c r="AK89" s="616">
        <f>'ПБ V-2 (fin plan)'!BG69/1000</f>
        <v>0</v>
      </c>
      <c r="AL89" s="616">
        <f>'ПБ V-2 (fin plan)'!BH69/1000</f>
        <v>0</v>
      </c>
      <c r="AM89" s="616">
        <f>'ПБ V-2 (fin plan)'!BI69/1000</f>
        <v>0</v>
      </c>
      <c r="AN89" s="616">
        <f t="shared" si="26"/>
        <v>0</v>
      </c>
    </row>
    <row r="90" spans="1:40" ht="54" customHeight="1" x14ac:dyDescent="0.35">
      <c r="A90" s="614" t="s">
        <v>288</v>
      </c>
      <c r="B90" s="616">
        <f t="array" ref="B90:M90">TRANSPOSE(F4:F15)</f>
        <v>-0.219</v>
      </c>
      <c r="C90" s="616">
        <v>-2.4E-2</v>
      </c>
      <c r="D90" s="616">
        <v>-0.71499999999999997</v>
      </c>
      <c r="E90" s="616">
        <v>0.70699999999999996</v>
      </c>
      <c r="F90" s="616">
        <v>-0.39800000000000002</v>
      </c>
      <c r="G90" s="616">
        <v>0.60799999999999998</v>
      </c>
      <c r="H90" s="616">
        <v>0.28999999999999998</v>
      </c>
      <c r="I90" s="616">
        <v>-0.13700000000000001</v>
      </c>
      <c r="J90" s="616">
        <v>-2.5379999999999998</v>
      </c>
      <c r="K90" s="616">
        <v>1.06</v>
      </c>
      <c r="L90" s="616">
        <v>0.35699999999999998</v>
      </c>
      <c r="M90" s="616">
        <v>0.35299999999999998</v>
      </c>
      <c r="N90" s="616">
        <f>SUM(B90:M90)</f>
        <v>-0.65599999999999969</v>
      </c>
      <c r="O90" s="616">
        <f t="array" ref="O90:Z90">TRANSPOSE(F32:F43)</f>
        <v>-1.762</v>
      </c>
      <c r="P90" s="616">
        <v>-1.6579999999999999</v>
      </c>
      <c r="Q90" s="616">
        <v>0.67900000000000005</v>
      </c>
      <c r="R90" s="616">
        <v>-0.86699999999999999</v>
      </c>
      <c r="S90" s="616">
        <v>-1.921</v>
      </c>
      <c r="T90" s="616">
        <v>-2.2200000000000002</v>
      </c>
      <c r="U90" s="616">
        <v>-0.29899999999999999</v>
      </c>
      <c r="V90" s="616">
        <v>3.105</v>
      </c>
      <c r="W90" s="616">
        <v>-1.375</v>
      </c>
      <c r="X90" s="616">
        <v>1.2509999999999999</v>
      </c>
      <c r="Y90" s="616">
        <v>2.4369999999999998</v>
      </c>
      <c r="Z90" s="616">
        <v>0.36199999999999999</v>
      </c>
      <c r="AA90" s="616">
        <f>SUM(O90:Z90)</f>
        <v>-2.2680000000000002</v>
      </c>
      <c r="AB90" s="616">
        <f t="array" ref="AB90:AM90">TRANSPOSE(F47:F58)</f>
        <v>-0.23299787369862485</v>
      </c>
      <c r="AC90" s="616">
        <v>-0.67643982731900731</v>
      </c>
      <c r="AD90" s="616">
        <v>0.23656588660407374</v>
      </c>
      <c r="AE90" s="616">
        <v>0.35902079590516234</v>
      </c>
      <c r="AF90" s="616">
        <v>0.28257177416106222</v>
      </c>
      <c r="AG90" s="616">
        <v>1.6272049399829513</v>
      </c>
      <c r="AH90" s="616">
        <v>0.8506473442025585</v>
      </c>
      <c r="AI90" s="616">
        <v>1.6049295993719619</v>
      </c>
      <c r="AJ90" s="616">
        <v>1.9813790423396866</v>
      </c>
      <c r="AK90" s="616">
        <v>1.1401944691993506</v>
      </c>
      <c r="AL90" s="616">
        <v>1.2775093975393312</v>
      </c>
      <c r="AM90" s="616">
        <v>2.7089606702932301</v>
      </c>
      <c r="AN90" s="616">
        <f t="shared" si="26"/>
        <v>11.159546218581736</v>
      </c>
    </row>
    <row r="91" spans="1:40" ht="33.6" customHeight="1" x14ac:dyDescent="0.35">
      <c r="A91" s="614" t="s">
        <v>289</v>
      </c>
      <c r="B91" s="616">
        <f>'ПБ V-1 (fin min)'!Z93/1000</f>
        <v>-0.312</v>
      </c>
      <c r="C91" s="616">
        <f>'ПБ V-1 (fin min)'!AA93/1000</f>
        <v>-0.27800000000000002</v>
      </c>
      <c r="D91" s="616">
        <f>'ПБ V-1 (fin min)'!AB93/1000</f>
        <v>-1.508</v>
      </c>
      <c r="E91" s="616">
        <f>'ПБ V-1 (fin min)'!AC93/1000</f>
        <v>0.96499999999999997</v>
      </c>
      <c r="F91" s="616">
        <f>'ПБ V-1 (fin min)'!AD93/1000</f>
        <v>-0.16</v>
      </c>
      <c r="G91" s="616">
        <f>'ПБ V-1 (fin min)'!AE93/1000</f>
        <v>0.51770000000000072</v>
      </c>
      <c r="H91" s="616">
        <f>'ПБ V-1 (fin min)'!AF93/1000</f>
        <v>0.59329999999999927</v>
      </c>
      <c r="I91" s="616">
        <f>'ПБ V-1 (fin min)'!AG93/1000</f>
        <v>2.6629999999999998</v>
      </c>
      <c r="J91" s="616">
        <f>'ПБ V-1 (fin min)'!AH93/1000</f>
        <v>-2.9079999999999999</v>
      </c>
      <c r="K91" s="616">
        <f>'ПБ V-1 (fin min)'!AI93/1000</f>
        <v>0.94799999999999995</v>
      </c>
      <c r="L91" s="616">
        <f>'ПБ V-1 (fin min)'!AJ93/1000</f>
        <v>0.94399999999999995</v>
      </c>
      <c r="M91" s="616">
        <f>'ПБ V-1 (fin min)'!AK93/1000</f>
        <v>-0.1525</v>
      </c>
      <c r="N91" s="616">
        <f>SUM(B91:M91)</f>
        <v>1.3124999999999998</v>
      </c>
      <c r="O91" s="616">
        <f>'ПБ V-1 (fin min)'!AL93/1000</f>
        <v>0</v>
      </c>
      <c r="P91" s="616">
        <f>'ПБ V-1 (fin min)'!AM93/1000</f>
        <v>0</v>
      </c>
      <c r="Q91" s="616">
        <f>'ПБ V-1 (fin min)'!AN93/1000</f>
        <v>0</v>
      </c>
      <c r="R91" s="616">
        <f>'ПБ V-1 (fin min)'!AO93/1000</f>
        <v>0</v>
      </c>
      <c r="S91" s="616">
        <f>'ПБ V-1 (fin min)'!AP93/1000</f>
        <v>0</v>
      </c>
      <c r="T91" s="616">
        <f>'ПБ V-1 (fin min)'!AQ93/1000</f>
        <v>0</v>
      </c>
      <c r="U91" s="616">
        <f>'ПБ V-1 (fin min)'!AR93/1000</f>
        <v>0</v>
      </c>
      <c r="V91" s="616">
        <f>'ПБ V-1 (fin min)'!AS93/1000</f>
        <v>0</v>
      </c>
      <c r="W91" s="616">
        <f>'ПБ V-1 (fin min)'!AT93/1000</f>
        <v>0</v>
      </c>
      <c r="X91" s="616">
        <f>'ПБ V-1 (fin min)'!AU93/1000</f>
        <v>0</v>
      </c>
      <c r="Y91" s="616">
        <f>'ПБ V-1 (fin min)'!AV93/1000</f>
        <v>0</v>
      </c>
      <c r="Z91" s="616">
        <f>'ПБ V-1 (fin min)'!AW93/1000</f>
        <v>0</v>
      </c>
      <c r="AA91" s="616">
        <f>SUM(O91:Z91)</f>
        <v>0</v>
      </c>
      <c r="AB91" s="616">
        <f>'ПБ V-2 (fin plan)'!AX93/1000</f>
        <v>0</v>
      </c>
      <c r="AC91" s="616">
        <f>'ПБ V-2 (fin plan)'!AY93/1000</f>
        <v>0</v>
      </c>
      <c r="AD91" s="616">
        <f>'ПБ V-2 (fin plan)'!AZ93/1000</f>
        <v>0</v>
      </c>
      <c r="AE91" s="616">
        <f>'ПБ V-2 (fin plan)'!BA93/1000</f>
        <v>0</v>
      </c>
      <c r="AF91" s="616">
        <f>'ПБ V-2 (fin plan)'!BB93/1000</f>
        <v>0</v>
      </c>
      <c r="AG91" s="616">
        <f>'ПБ V-2 (fin plan)'!BC93/1000</f>
        <v>0</v>
      </c>
      <c r="AH91" s="616">
        <f>'ПБ V-2 (fin plan)'!BD93/1000</f>
        <v>0</v>
      </c>
      <c r="AI91" s="616">
        <f>'ПБ V-2 (fin plan)'!BE93/1000</f>
        <v>0</v>
      </c>
      <c r="AJ91" s="616">
        <f>'ПБ V-2 (fin plan)'!BF93/1000</f>
        <v>0</v>
      </c>
      <c r="AK91" s="616">
        <f>'ПБ V-2 (fin plan)'!BG93/1000</f>
        <v>0</v>
      </c>
      <c r="AL91" s="616">
        <f>'ПБ V-2 (fin plan)'!BH93/1000</f>
        <v>0</v>
      </c>
      <c r="AM91" s="616">
        <f>'ПБ V-2 (fin plan)'!BI93/1000</f>
        <v>0</v>
      </c>
      <c r="AN91" s="616">
        <f t="shared" si="26"/>
        <v>0</v>
      </c>
    </row>
    <row r="92" spans="1:40" ht="24" x14ac:dyDescent="0.35">
      <c r="A92" s="613" t="s">
        <v>245</v>
      </c>
      <c r="B92" s="615">
        <f t="array" ref="B92:M92">TRANSPOSE(C4:C15)</f>
        <v>-0.312</v>
      </c>
      <c r="C92" s="615">
        <v>-0.59000000000000008</v>
      </c>
      <c r="D92" s="615">
        <v>-2.0979999999999999</v>
      </c>
      <c r="E92" s="615">
        <v>-1.133</v>
      </c>
      <c r="F92" s="615">
        <v>-1.2929999999999999</v>
      </c>
      <c r="G92" s="615">
        <v>-0.77529999999999921</v>
      </c>
      <c r="H92" s="615">
        <v>-0.18199999999999994</v>
      </c>
      <c r="I92" s="615">
        <v>2.4809999999999999</v>
      </c>
      <c r="J92" s="615">
        <v>-0.42700000000000005</v>
      </c>
      <c r="K92" s="615">
        <v>0.52099999999999991</v>
      </c>
      <c r="L92" s="615">
        <v>1.986</v>
      </c>
      <c r="M92" s="615">
        <v>3.2984999999999998</v>
      </c>
      <c r="N92" s="616"/>
      <c r="O92" s="615">
        <f t="array" ref="O92:Z92">TRANSPOSE(C32:C43)</f>
        <v>0</v>
      </c>
      <c r="P92" s="615">
        <v>0</v>
      </c>
      <c r="Q92" s="615">
        <v>0</v>
      </c>
      <c r="R92" s="615">
        <v>0</v>
      </c>
      <c r="S92" s="615">
        <v>0</v>
      </c>
      <c r="T92" s="615">
        <v>0</v>
      </c>
      <c r="U92" s="615">
        <v>0</v>
      </c>
      <c r="V92" s="615">
        <v>0</v>
      </c>
      <c r="W92" s="615">
        <v>0</v>
      </c>
      <c r="X92" s="615">
        <v>0</v>
      </c>
      <c r="Y92" s="615">
        <v>0</v>
      </c>
      <c r="Z92" s="615">
        <v>0</v>
      </c>
      <c r="AA92" s="616"/>
      <c r="AB92" s="615">
        <f t="array" ref="AB92:AM92">TRANSPOSE(C47:C58)</f>
        <v>-3.1840338510662036E-2</v>
      </c>
      <c r="AC92" s="615">
        <v>-0.36046392316639242</v>
      </c>
      <c r="AD92" s="615">
        <v>0.60015502338097804</v>
      </c>
      <c r="AE92" s="615">
        <v>0.46962927834814394</v>
      </c>
      <c r="AF92" s="615">
        <v>0.42363000878069101</v>
      </c>
      <c r="AG92" s="615">
        <v>1.7584696196182747</v>
      </c>
      <c r="AH92" s="615">
        <v>0.9796525865569663</v>
      </c>
      <c r="AI92" s="615">
        <v>1.6578326831319856</v>
      </c>
      <c r="AJ92" s="615">
        <v>2.0729500150886579</v>
      </c>
      <c r="AK92" s="615">
        <v>1.2114631398842306</v>
      </c>
      <c r="AL92" s="615">
        <v>1.3552828105654129</v>
      </c>
      <c r="AM92" s="615">
        <v>2.7986423722173868</v>
      </c>
      <c r="AN92" s="616"/>
    </row>
    <row r="93" spans="1:40" x14ac:dyDescent="0.35">
      <c r="A93" s="2"/>
    </row>
    <row r="94" spans="1:40" x14ac:dyDescent="0.35">
      <c r="A94" s="2"/>
    </row>
    <row r="95" spans="1:40" x14ac:dyDescent="0.35">
      <c r="A95" s="2"/>
    </row>
    <row r="96" spans="1:40" x14ac:dyDescent="0.35">
      <c r="A96" s="2"/>
    </row>
    <row r="97" spans="1:40" ht="18.75" thickBot="1" x14ac:dyDescent="0.4">
      <c r="A97" s="2"/>
      <c r="B97" s="2">
        <v>2021</v>
      </c>
      <c r="O97" s="2">
        <v>2022</v>
      </c>
      <c r="AB97" s="2">
        <v>2023</v>
      </c>
    </row>
    <row r="98" spans="1:40" ht="24.75" thickBot="1" x14ac:dyDescent="0.4">
      <c r="A98" s="617" t="s">
        <v>254</v>
      </c>
      <c r="B98" s="618">
        <v>1</v>
      </c>
      <c r="C98" s="618">
        <v>2</v>
      </c>
      <c r="D98" s="618">
        <v>3</v>
      </c>
      <c r="E98" s="619">
        <v>4</v>
      </c>
      <c r="F98" s="618">
        <v>5</v>
      </c>
      <c r="G98" s="618">
        <v>6</v>
      </c>
      <c r="H98" s="618">
        <v>7</v>
      </c>
      <c r="I98" s="618">
        <v>8</v>
      </c>
      <c r="J98" s="618">
        <v>9</v>
      </c>
      <c r="K98" s="618">
        <v>10</v>
      </c>
      <c r="L98" s="618">
        <v>11</v>
      </c>
      <c r="M98" s="618">
        <v>12</v>
      </c>
      <c r="N98" s="632" t="s">
        <v>255</v>
      </c>
      <c r="O98" s="618">
        <v>1</v>
      </c>
      <c r="P98" s="618">
        <v>2</v>
      </c>
      <c r="Q98" s="618">
        <v>3</v>
      </c>
      <c r="R98" s="619">
        <v>4</v>
      </c>
      <c r="S98" s="618">
        <v>5</v>
      </c>
      <c r="T98" s="618">
        <v>6</v>
      </c>
      <c r="U98" s="618">
        <v>7</v>
      </c>
      <c r="V98" s="618">
        <v>8</v>
      </c>
      <c r="W98" s="618">
        <v>9</v>
      </c>
      <c r="X98" s="618">
        <v>10</v>
      </c>
      <c r="Y98" s="618">
        <v>11</v>
      </c>
      <c r="Z98" s="618">
        <v>12</v>
      </c>
      <c r="AA98" s="632" t="s">
        <v>255</v>
      </c>
      <c r="AB98" s="618">
        <v>1</v>
      </c>
      <c r="AC98" s="618">
        <v>2</v>
      </c>
      <c r="AD98" s="618">
        <v>3</v>
      </c>
      <c r="AE98" s="619">
        <v>4</v>
      </c>
      <c r="AF98" s="618">
        <v>5</v>
      </c>
      <c r="AG98" s="618">
        <v>6</v>
      </c>
      <c r="AH98" s="618">
        <v>7</v>
      </c>
      <c r="AI98" s="618">
        <v>8</v>
      </c>
      <c r="AJ98" s="618">
        <v>9</v>
      </c>
      <c r="AK98" s="618">
        <v>10</v>
      </c>
      <c r="AL98" s="618">
        <v>11</v>
      </c>
      <c r="AM98" s="618">
        <v>12</v>
      </c>
      <c r="AN98" s="632" t="s">
        <v>255</v>
      </c>
    </row>
    <row r="99" spans="1:40" ht="24.75" thickBot="1" x14ac:dyDescent="0.4">
      <c r="A99" s="620" t="s">
        <v>14</v>
      </c>
      <c r="B99" s="624">
        <f>'ПБ V-1 (fin min)'!Z45</f>
        <v>223.04911366733418</v>
      </c>
      <c r="C99" s="624">
        <f>'ПБ V-1 (fin min)'!AA45</f>
        <v>611.01126452139999</v>
      </c>
      <c r="D99" s="624">
        <f>'ПБ V-1 (fin min)'!AB45</f>
        <v>835.1464610214</v>
      </c>
      <c r="E99" s="624">
        <f>'ПБ V-1 (fin min)'!AC45</f>
        <v>413.25761551163623</v>
      </c>
      <c r="F99" s="624">
        <f>'ПБ V-1 (fin min)'!AD45</f>
        <v>610.15464745340478</v>
      </c>
      <c r="G99" s="624">
        <f>'ПБ V-1 (fin min)'!AE45</f>
        <v>1082.5139003398453</v>
      </c>
      <c r="H99" s="624">
        <f>'ПБ V-1 (fin min)'!AF45</f>
        <v>387.31471672253059</v>
      </c>
      <c r="I99" s="624">
        <f>'ПБ V-1 (fin min)'!AG45</f>
        <v>141.43826452139999</v>
      </c>
      <c r="J99" s="624">
        <f>'ПБ V-1 (fin min)'!AH45</f>
        <v>2484.4244610214</v>
      </c>
      <c r="K99" s="624">
        <f>'ПБ V-1 (fin min)'!AI45</f>
        <v>932.08863155143467</v>
      </c>
      <c r="L99" s="624">
        <f>'ПБ V-1 (fin min)'!AJ45</f>
        <v>376.56089952748846</v>
      </c>
      <c r="M99" s="624">
        <f>'ПБ V-1 (fin min)'!AK45</f>
        <v>780.66109759809422</v>
      </c>
      <c r="N99" s="624">
        <f t="shared" ref="N99:N112" si="27">SUM(B99:M99)</f>
        <v>8877.6210734573688</v>
      </c>
      <c r="O99" s="624">
        <f>'ПБ V-1 (fin min)'!AL45</f>
        <v>210.12870603870516</v>
      </c>
      <c r="P99" s="624">
        <f>'ПБ V-1 (fin min)'!AM45</f>
        <v>1007.2258913571011</v>
      </c>
      <c r="Q99" s="624">
        <f>'ПБ V-1 (fin min)'!AN45</f>
        <v>722.01341986</v>
      </c>
      <c r="R99" s="624">
        <f>'ПБ V-1 (fin min)'!AO45</f>
        <v>700.90778221426115</v>
      </c>
      <c r="S99" s="624">
        <f>'ПБ V-1 (fin min)'!AP45</f>
        <v>76.284796024597568</v>
      </c>
      <c r="T99" s="624">
        <f>'ПБ V-1 (fin min)'!AQ45</f>
        <v>832.36919319999993</v>
      </c>
      <c r="U99" s="624">
        <f>'ПБ V-1 (fin min)'!AR45</f>
        <v>618.56100000000004</v>
      </c>
      <c r="V99" s="624">
        <f>'ПБ V-1 (fin min)'!AS45</f>
        <v>139.88183285999997</v>
      </c>
      <c r="W99" s="624">
        <f>'ПБ V-1 (fin min)'!AT45</f>
        <v>624.6</v>
      </c>
      <c r="X99" s="624">
        <f>'ПБ V-1 (fin min)'!AU45</f>
        <v>635.3420000000001</v>
      </c>
      <c r="Y99" s="624">
        <f>'ПБ V-1 (fin min)'!AV45</f>
        <v>864.41679590905778</v>
      </c>
      <c r="Z99" s="624">
        <f>'ПБ V-1 (fin min)'!AW45</f>
        <v>999.53249999999991</v>
      </c>
      <c r="AA99" s="624">
        <f t="shared" ref="AA99:AA112" si="28">SUM(O99:Z99)</f>
        <v>7431.2639174637234</v>
      </c>
      <c r="AB99" s="624">
        <f>'ПБ V-2 (fin plan)'!AX45</f>
        <v>0</v>
      </c>
      <c r="AC99" s="624">
        <f>'ПБ V-2 (fin plan)'!AY45</f>
        <v>463.23231256587997</v>
      </c>
      <c r="AD99" s="624">
        <f>'ПБ V-2 (fin plan)'!AZ45</f>
        <v>732.12879786587996</v>
      </c>
      <c r="AE99" s="624">
        <f>'ПБ V-2 (fin plan)'!BA45</f>
        <v>272.54803105496683</v>
      </c>
      <c r="AF99" s="624">
        <f>'ПБ V-2 (fin plan)'!BB45</f>
        <v>272.54803105496683</v>
      </c>
      <c r="AG99" s="624">
        <f>'ПБ V-2 (fin plan)'!BC45</f>
        <v>391.81539199999997</v>
      </c>
      <c r="AH99" s="624">
        <f>'ПБ V-2 (fin plan)'!BD45</f>
        <v>352.61521206007313</v>
      </c>
      <c r="AI99" s="624">
        <f>'ПБ V-2 (fin plan)'!BE45</f>
        <v>352.61521206007313</v>
      </c>
      <c r="AJ99" s="624">
        <f>'ПБ V-2 (fin plan)'!BF45</f>
        <v>869.55429786588002</v>
      </c>
      <c r="AK99" s="624">
        <f>'ПБ V-2 (fin plan)'!BG45</f>
        <v>410.63244606588</v>
      </c>
      <c r="AL99" s="624">
        <f>'ПБ V-2 (fin plan)'!BH45</f>
        <v>337.60433361864153</v>
      </c>
      <c r="AM99" s="624">
        <f>'ПБ V-2 (fin plan)'!BI45</f>
        <v>406.98750000000001</v>
      </c>
      <c r="AN99" s="624">
        <f t="shared" ref="AN99:AN112" si="29">SUM(AB99:AM99)</f>
        <v>4862.2815662122412</v>
      </c>
    </row>
    <row r="100" spans="1:40" ht="24.75" thickBot="1" x14ac:dyDescent="0.4">
      <c r="A100" s="621" t="s">
        <v>15</v>
      </c>
      <c r="B100" s="625">
        <f>'ПБ V-1 (fin min)'!Z46</f>
        <v>35.709113667334179</v>
      </c>
      <c r="C100" s="625">
        <f>'ПБ V-1 (fin min)'!AA46</f>
        <v>141.43826452139999</v>
      </c>
      <c r="D100" s="625">
        <f>'ПБ V-1 (fin min)'!AB46</f>
        <v>509.9614610214</v>
      </c>
      <c r="E100" s="625">
        <f>'ПБ V-1 (fin min)'!AC46</f>
        <v>47.380615511636222</v>
      </c>
      <c r="F100" s="625">
        <f>'ПБ V-1 (fin min)'!AD46</f>
        <v>96.936247453404803</v>
      </c>
      <c r="G100" s="625">
        <f>'ПБ V-1 (fin min)'!AE46</f>
        <v>276.32790033984543</v>
      </c>
      <c r="H100" s="625">
        <f>'ПБ V-1 (fin min)'!AF46</f>
        <v>37.615716722530635</v>
      </c>
      <c r="I100" s="625">
        <f>'ПБ V-1 (fin min)'!AG46</f>
        <v>141.43826452139999</v>
      </c>
      <c r="J100" s="625">
        <f>'ПБ V-1 (fin min)'!AH46</f>
        <v>2484.4244610214</v>
      </c>
      <c r="K100" s="625">
        <f>'ПБ V-1 (fin min)'!AI46</f>
        <v>270.74063155143466</v>
      </c>
      <c r="L100" s="625">
        <f>'ПБ V-1 (fin min)'!AJ46</f>
        <v>119.72849952748851</v>
      </c>
      <c r="M100" s="625">
        <f>'ПБ V-1 (fin min)'!AK46</f>
        <v>208.10509759809429</v>
      </c>
      <c r="N100" s="626">
        <f t="shared" si="27"/>
        <v>4369.8062734573687</v>
      </c>
      <c r="O100" s="625">
        <f>'ПБ V-1 (fin min)'!AL46</f>
        <v>33.534706038705167</v>
      </c>
      <c r="P100" s="625">
        <f>'ПБ V-1 (fin min)'!AM46</f>
        <v>247.5693390571011</v>
      </c>
      <c r="Q100" s="625">
        <f>'ПБ V-1 (fin min)'!AN46</f>
        <v>681.84968286000003</v>
      </c>
      <c r="R100" s="625">
        <f>'ПБ V-1 (fin min)'!AO46</f>
        <v>296.91778221426114</v>
      </c>
      <c r="S100" s="625">
        <f>'ПБ V-1 (fin min)'!AP46</f>
        <v>76.284796024597568</v>
      </c>
      <c r="T100" s="625">
        <f>'ПБ V-1 (fin min)'!AQ46</f>
        <v>177.5</v>
      </c>
      <c r="U100" s="625">
        <f>'ПБ V-1 (fin min)'!AR46</f>
        <v>0</v>
      </c>
      <c r="V100" s="625">
        <f>'ПБ V-1 (fin min)'!AS46</f>
        <v>139.88183285999997</v>
      </c>
      <c r="W100" s="625">
        <f>'ПБ V-1 (fin min)'!AT46</f>
        <v>624.6</v>
      </c>
      <c r="X100" s="625">
        <f>'ПБ V-1 (fin min)'!AU46</f>
        <v>84.5</v>
      </c>
      <c r="Y100" s="625">
        <f>'ПБ V-1 (fin min)'!AV46</f>
        <v>864.41679590905778</v>
      </c>
      <c r="Z100" s="625">
        <f>'ПБ V-1 (fin min)'!AW46</f>
        <v>163.60749999999999</v>
      </c>
      <c r="AA100" s="626">
        <f t="shared" si="28"/>
        <v>3390.6624349637227</v>
      </c>
      <c r="AB100" s="625">
        <f>'ПБ V-2 (fin plan)'!AX46</f>
        <v>0</v>
      </c>
      <c r="AC100" s="625">
        <f>'ПБ V-2 (fin plan)'!AY46</f>
        <v>128.29331256588</v>
      </c>
      <c r="AD100" s="625">
        <f>'ПБ V-2 (fin plan)'!AZ46</f>
        <v>625.36179786588002</v>
      </c>
      <c r="AE100" s="625">
        <f>'ПБ V-2 (fin plan)'!BA46</f>
        <v>162.52203105496682</v>
      </c>
      <c r="AF100" s="625">
        <f>'ПБ V-2 (fin plan)'!BB46</f>
        <v>168.15303105496685</v>
      </c>
      <c r="AG100" s="625">
        <f>'ПБ V-2 (fin plan)'!BC46</f>
        <v>162.79499999999999</v>
      </c>
      <c r="AH100" s="625">
        <f>'ПБ V-2 (fin plan)'!BD46</f>
        <v>352.61521206007313</v>
      </c>
      <c r="AI100" s="625">
        <f>'ПБ V-2 (fin plan)'!BE46</f>
        <v>352.61521206007313</v>
      </c>
      <c r="AJ100" s="625">
        <f>'ПБ V-2 (fin plan)'!BF46</f>
        <v>869.55429786588002</v>
      </c>
      <c r="AK100" s="625">
        <f>'ПБ V-2 (fin plan)'!BG46</f>
        <v>79.666446065879995</v>
      </c>
      <c r="AL100" s="625">
        <f>'ПБ V-2 (fin plan)'!BH46</f>
        <v>337.60433361864153</v>
      </c>
      <c r="AM100" s="625">
        <f>'ПБ V-2 (fin plan)'!BI46</f>
        <v>406.98750000000001</v>
      </c>
      <c r="AN100" s="626">
        <f t="shared" si="29"/>
        <v>3646.1681742122419</v>
      </c>
    </row>
    <row r="101" spans="1:40" ht="24.75" thickBot="1" x14ac:dyDescent="0.4">
      <c r="A101" s="621" t="s">
        <v>16</v>
      </c>
      <c r="B101" s="625">
        <f>'ПБ V-1 (fin min)'!Z47</f>
        <v>187.34</v>
      </c>
      <c r="C101" s="625">
        <f>'ПБ V-1 (fin min)'!AA47</f>
        <v>469.57300000000004</v>
      </c>
      <c r="D101" s="625">
        <f>'ПБ V-1 (fin min)'!AB47</f>
        <v>325.185</v>
      </c>
      <c r="E101" s="625">
        <f>'ПБ V-1 (fin min)'!AC47</f>
        <v>365.87700000000001</v>
      </c>
      <c r="F101" s="625">
        <f>'ПБ V-1 (fin min)'!AD47</f>
        <v>513.21839999999997</v>
      </c>
      <c r="G101" s="625">
        <f>'ПБ V-1 (fin min)'!AE47</f>
        <v>806.18599999999992</v>
      </c>
      <c r="H101" s="625">
        <f>'ПБ V-1 (fin min)'!AF47</f>
        <v>349.69899999999996</v>
      </c>
      <c r="I101" s="625">
        <f>'ПБ V-1 (fin min)'!AG47</f>
        <v>0</v>
      </c>
      <c r="J101" s="625">
        <f>'ПБ V-1 (fin min)'!AH47</f>
        <v>0</v>
      </c>
      <c r="K101" s="625">
        <f>'ПБ V-1 (fin min)'!AI47</f>
        <v>661.34800000000007</v>
      </c>
      <c r="L101" s="625">
        <f>'ПБ V-1 (fin min)'!AJ47</f>
        <v>256.83239999999995</v>
      </c>
      <c r="M101" s="625">
        <f>'ПБ V-1 (fin min)'!AK47</f>
        <v>572.55599999999993</v>
      </c>
      <c r="N101" s="626">
        <f t="shared" si="27"/>
        <v>4507.8147999999992</v>
      </c>
      <c r="O101" s="625">
        <f>'ПБ V-1 (fin min)'!AL47</f>
        <v>176.59399999999999</v>
      </c>
      <c r="P101" s="625">
        <f>'ПБ V-1 (fin min)'!AM47</f>
        <v>759.65655229999993</v>
      </c>
      <c r="Q101" s="625">
        <f>'ПБ V-1 (fin min)'!AN47</f>
        <v>40.163736999999998</v>
      </c>
      <c r="R101" s="625">
        <f>'ПБ V-1 (fin min)'!AO47</f>
        <v>403.99</v>
      </c>
      <c r="S101" s="625">
        <f>'ПБ V-1 (fin min)'!AP47</f>
        <v>0</v>
      </c>
      <c r="T101" s="625">
        <f>'ПБ V-1 (fin min)'!AQ47</f>
        <v>654.86919319999993</v>
      </c>
      <c r="U101" s="625">
        <f>'ПБ V-1 (fin min)'!AR47</f>
        <v>618.56100000000004</v>
      </c>
      <c r="V101" s="625">
        <f>'ПБ V-1 (fin min)'!AS47</f>
        <v>0</v>
      </c>
      <c r="W101" s="625">
        <f>'ПБ V-1 (fin min)'!AT47</f>
        <v>0</v>
      </c>
      <c r="X101" s="625">
        <f>'ПБ V-1 (fin min)'!AU47</f>
        <v>550.8420000000001</v>
      </c>
      <c r="Y101" s="625">
        <f>'ПБ V-1 (fin min)'!AV47</f>
        <v>0</v>
      </c>
      <c r="Z101" s="625">
        <f>'ПБ V-1 (fin min)'!AW47</f>
        <v>835.92499999999995</v>
      </c>
      <c r="AA101" s="626">
        <f t="shared" si="28"/>
        <v>4040.6014825000002</v>
      </c>
      <c r="AB101" s="625">
        <f>'ПБ V-2 (fin plan)'!AX47</f>
        <v>0</v>
      </c>
      <c r="AC101" s="625">
        <f>'ПБ V-2 (fin plan)'!AY47</f>
        <v>334.93899999999996</v>
      </c>
      <c r="AD101" s="625">
        <f>'ПБ V-2 (fin plan)'!AZ47</f>
        <v>106.767</v>
      </c>
      <c r="AE101" s="625">
        <f>'ПБ V-2 (fin plan)'!BA47</f>
        <v>110.026</v>
      </c>
      <c r="AF101" s="625">
        <f>'ПБ V-2 (fin plan)'!BB47</f>
        <v>104.395</v>
      </c>
      <c r="AG101" s="625">
        <f>'ПБ V-2 (fin plan)'!BC47</f>
        <v>229.02039199999999</v>
      </c>
      <c r="AH101" s="625">
        <f>'ПБ V-2 (fin plan)'!BD47</f>
        <v>0</v>
      </c>
      <c r="AI101" s="625">
        <f>'ПБ V-2 (fin plan)'!BE47</f>
        <v>0</v>
      </c>
      <c r="AJ101" s="625">
        <f>'ПБ V-2 (fin plan)'!BF47</f>
        <v>0</v>
      </c>
      <c r="AK101" s="625">
        <f>'ПБ V-2 (fin plan)'!BG47</f>
        <v>330.96600000000001</v>
      </c>
      <c r="AL101" s="625">
        <f>'ПБ V-2 (fin plan)'!BH47</f>
        <v>0</v>
      </c>
      <c r="AM101" s="625">
        <f>'ПБ V-2 (fin plan)'!BI47</f>
        <v>0</v>
      </c>
      <c r="AN101" s="626">
        <f t="shared" si="29"/>
        <v>1216.113392</v>
      </c>
    </row>
    <row r="102" spans="1:40" ht="24.75" thickBot="1" x14ac:dyDescent="0.4">
      <c r="A102" s="620" t="s">
        <v>195</v>
      </c>
      <c r="B102" s="627">
        <f>'ПБ V-1 (fin min)'!Z48</f>
        <v>89.26789837733314</v>
      </c>
      <c r="C102" s="627">
        <f>'ПБ V-1 (fin min)'!AA48</f>
        <v>125.11018223939999</v>
      </c>
      <c r="D102" s="627">
        <f>'ПБ V-1 (fin min)'!AB48</f>
        <v>589.9758126045557</v>
      </c>
      <c r="E102" s="627">
        <f>'ПБ V-1 (fin min)'!AC48</f>
        <v>140.55619305871818</v>
      </c>
      <c r="F102" s="627">
        <f>'ПБ V-1 (fin min)'!AD48</f>
        <v>151.29132684059999</v>
      </c>
      <c r="G102" s="627">
        <f>'ПБ V-1 (fin min)'!AE48</f>
        <v>138.94205665041031</v>
      </c>
      <c r="H102" s="627">
        <f>'ПБ V-1 (fin min)'!AF48</f>
        <v>9.6167224999999998</v>
      </c>
      <c r="I102" s="627">
        <f>'ПБ V-1 (fin min)'!AG48</f>
        <v>115.96031191039999</v>
      </c>
      <c r="J102" s="627">
        <f>'ПБ V-1 (fin min)'!AH48</f>
        <v>561.80953190048638</v>
      </c>
      <c r="K102" s="627">
        <f>'ПБ V-1 (fin min)'!AI48</f>
        <v>56.759565273604089</v>
      </c>
      <c r="L102" s="627">
        <f>'ПБ V-1 (fin min)'!AJ48</f>
        <v>199.4136534756</v>
      </c>
      <c r="M102" s="627">
        <f>'ПБ V-1 (fin min)'!AK48</f>
        <v>55.740804280854405</v>
      </c>
      <c r="N102" s="624">
        <f t="shared" si="27"/>
        <v>2234.4440591119619</v>
      </c>
      <c r="O102" s="627">
        <f>'ПБ V-1 (fin min)'!AL48</f>
        <v>103.4733012800241</v>
      </c>
      <c r="P102" s="627">
        <f>'ПБ V-1 (fin min)'!AM48</f>
        <v>422.27478895684078</v>
      </c>
      <c r="Q102" s="627">
        <f>'ПБ V-1 (fin min)'!AN48</f>
        <v>539.42646335111874</v>
      </c>
      <c r="R102" s="627">
        <f>'ПБ V-1 (fin min)'!AO48</f>
        <v>140.05149260982276</v>
      </c>
      <c r="S102" s="627">
        <f>'ПБ V-1 (fin min)'!AP48</f>
        <v>254.19650890184795</v>
      </c>
      <c r="T102" s="627">
        <f>'ПБ V-1 (fin min)'!AQ48</f>
        <v>145.41261847993184</v>
      </c>
      <c r="U102" s="627">
        <f>'ПБ V-1 (fin min)'!AR48</f>
        <v>27.406576584851777</v>
      </c>
      <c r="V102" s="627">
        <f>'ПБ V-1 (fin min)'!AS48</f>
        <v>150.64421283673346</v>
      </c>
      <c r="W102" s="627">
        <f>'ПБ V-1 (fin min)'!AT48</f>
        <v>27.970392512548443</v>
      </c>
      <c r="X102" s="627">
        <f>'ПБ V-1 (fin min)'!AU48</f>
        <v>101.25858858957078</v>
      </c>
      <c r="Y102" s="627">
        <f>'ПБ V-1 (fin min)'!AV48</f>
        <v>146.28681702830599</v>
      </c>
      <c r="Z102" s="627">
        <f>'ПБ V-1 (fin min)'!AW48</f>
        <v>71.779938562155891</v>
      </c>
      <c r="AA102" s="624">
        <f t="shared" si="28"/>
        <v>2130.1816996937528</v>
      </c>
      <c r="AB102" s="627">
        <f>'ПБ V-2 (fin plan)'!AX48</f>
        <v>9.5120838813692696</v>
      </c>
      <c r="AC102" s="627">
        <f>'ПБ V-2 (fin plan)'!AY48</f>
        <v>172.51060258935379</v>
      </c>
      <c r="AD102" s="627">
        <f>'ПБ V-2 (fin plan)'!AZ48</f>
        <v>30.965943635850465</v>
      </c>
      <c r="AE102" s="627">
        <f>'ПБ V-2 (fin plan)'!BA48</f>
        <v>19.081118511019078</v>
      </c>
      <c r="AF102" s="627">
        <f>'ПБ V-2 (fin plan)'!BB48</f>
        <v>149.89617666478961</v>
      </c>
      <c r="AG102" s="627">
        <f>'ПБ V-2 (fin plan)'!BC48</f>
        <v>16.290055598270229</v>
      </c>
      <c r="AH102" s="627">
        <f>'ПБ V-2 (fin plan)'!BD48</f>
        <v>18.308896377459924</v>
      </c>
      <c r="AI102" s="627">
        <f>'ПБ V-2 (fin plan)'!BE48</f>
        <v>186.06472605975407</v>
      </c>
      <c r="AJ102" s="627">
        <f>'ПБ V-2 (fin plan)'!BF48</f>
        <v>7.6537825576916489</v>
      </c>
      <c r="AK102" s="627">
        <f>'ПБ V-2 (fin plan)'!BG48</f>
        <v>14.024055036719931</v>
      </c>
      <c r="AL102" s="627">
        <f>'ПБ V-2 (fin plan)'!BH48</f>
        <v>143.50840595503917</v>
      </c>
      <c r="AM102" s="627">
        <f>'ПБ V-2 (fin plan)'!BI48</f>
        <v>3.1258120216168881</v>
      </c>
      <c r="AN102" s="624">
        <f t="shared" si="29"/>
        <v>770.94165888893406</v>
      </c>
    </row>
    <row r="103" spans="1:40" ht="24.75" thickBot="1" x14ac:dyDescent="0.4">
      <c r="A103" s="621" t="s">
        <v>15</v>
      </c>
      <c r="B103" s="625">
        <f>'ПБ V-1 (fin min)'!Z49</f>
        <v>79.651175877333145</v>
      </c>
      <c r="C103" s="625">
        <f>'ПБ V-1 (fin min)'!AA49</f>
        <v>105.5193564894</v>
      </c>
      <c r="D103" s="625">
        <f>'ПБ V-1 (fin min)'!AB49</f>
        <v>589.9758126045557</v>
      </c>
      <c r="E103" s="625">
        <f>'ПБ V-1 (fin min)'!AC49</f>
        <v>114.90318290871818</v>
      </c>
      <c r="F103" s="625">
        <f>'ПБ V-1 (fin min)'!AD49</f>
        <v>142.44840570060001</v>
      </c>
      <c r="G103" s="625">
        <f>'ПБ V-1 (fin min)'!AE49</f>
        <v>97.08077815041031</v>
      </c>
      <c r="H103" s="625">
        <f>'ПБ V-1 (fin min)'!AF49</f>
        <v>0</v>
      </c>
      <c r="I103" s="625">
        <f>'ПБ V-1 (fin min)'!AG49</f>
        <v>97.674856010399992</v>
      </c>
      <c r="J103" s="625">
        <f>'ПБ V-1 (fin min)'!AH49</f>
        <v>559.72757540048633</v>
      </c>
      <c r="K103" s="625">
        <f>'ПБ V-1 (fin min)'!AI49</f>
        <v>33.147201773604088</v>
      </c>
      <c r="L103" s="625">
        <f>'ПБ V-1 (fin min)'!AJ49</f>
        <v>196.26745657559999</v>
      </c>
      <c r="M103" s="625">
        <f>'ПБ V-1 (fin min)'!AK49</f>
        <v>40.060314930854403</v>
      </c>
      <c r="N103" s="626">
        <f t="shared" si="27"/>
        <v>2056.4561164219622</v>
      </c>
      <c r="O103" s="625">
        <f>'ПБ V-1 (fin min)'!AL49</f>
        <v>74.878348745874405</v>
      </c>
      <c r="P103" s="625">
        <f>'ПБ V-1 (fin min)'!AM49</f>
        <v>366.82889715215902</v>
      </c>
      <c r="Q103" s="625">
        <f>'ПБ V-1 (fin min)'!AN49</f>
        <v>498.60429625</v>
      </c>
      <c r="R103" s="625">
        <f>'ПБ V-1 (fin min)'!AO49</f>
        <v>114.82079575075791</v>
      </c>
      <c r="S103" s="625">
        <f>'ПБ V-1 (fin min)'!AP49</f>
        <v>208.5561189</v>
      </c>
      <c r="T103" s="625">
        <f>'ПБ V-1 (fin min)'!AQ49</f>
        <v>111.44328079550172</v>
      </c>
      <c r="U103" s="625">
        <f>'ПБ V-1 (fin min)'!AR49</f>
        <v>5.1578728675661427</v>
      </c>
      <c r="V103" s="625">
        <f>'ПБ V-1 (fin min)'!AS49</f>
        <v>116.79096374</v>
      </c>
      <c r="W103" s="625">
        <f>'ПБ V-1 (fin min)'!AT49</f>
        <v>12.697376775268932</v>
      </c>
      <c r="X103" s="625">
        <f>'ПБ V-1 (fin min)'!AU49</f>
        <v>85.1</v>
      </c>
      <c r="Y103" s="625">
        <f>'ПБ V-1 (fin min)'!AV49</f>
        <v>113.67959293627999</v>
      </c>
      <c r="Z103" s="625">
        <f>'ПБ V-1 (fin min)'!AW49</f>
        <v>46.405501668401257</v>
      </c>
      <c r="AA103" s="626">
        <f t="shared" si="28"/>
        <v>1754.9630455818092</v>
      </c>
      <c r="AB103" s="625">
        <f>'ПБ V-2 (fin plan)'!AX49</f>
        <v>2.1046544993113674</v>
      </c>
      <c r="AC103" s="625">
        <f>'ПБ V-2 (fin plan)'!AY49</f>
        <v>154.43781942257937</v>
      </c>
      <c r="AD103" s="625">
        <f>'ПБ V-2 (fin plan)'!AZ49</f>
        <v>1.2578858056642648</v>
      </c>
      <c r="AE103" s="625">
        <f>'ПБ V-2 (fin plan)'!BA49</f>
        <v>5.1749227632870411</v>
      </c>
      <c r="AF103" s="625">
        <f>'ПБ V-2 (fin plan)'!BB49</f>
        <v>134.07165067382488</v>
      </c>
      <c r="AG103" s="625">
        <f>'ПБ V-2 (fin plan)'!BC49</f>
        <v>2.3394604634846035</v>
      </c>
      <c r="AH103" s="625">
        <f>'ПБ V-2 (fin plan)'!BD49</f>
        <v>3.6015633061890036</v>
      </c>
      <c r="AI103" s="625">
        <f>'ПБ V-2 (fin plan)'!BE49</f>
        <v>162.44420510751834</v>
      </c>
      <c r="AJ103" s="625">
        <f>'ПБ V-2 (fin plan)'!BF49</f>
        <v>0</v>
      </c>
      <c r="AK103" s="625">
        <f>'ПБ V-2 (fin plan)'!BG49</f>
        <v>5.2466514521641487</v>
      </c>
      <c r="AL103" s="625">
        <f>'ПБ V-2 (fin plan)'!BH49</f>
        <v>127.2388951466063</v>
      </c>
      <c r="AM103" s="625">
        <f>'ПБ V-2 (fin plan)'!BI49</f>
        <v>0</v>
      </c>
      <c r="AN103" s="626">
        <f t="shared" si="29"/>
        <v>597.91770864062937</v>
      </c>
    </row>
    <row r="104" spans="1:40" ht="24.75" thickBot="1" x14ac:dyDescent="0.4">
      <c r="A104" s="621" t="s">
        <v>16</v>
      </c>
      <c r="B104" s="625">
        <f>'ПБ V-1 (fin min)'!Z50</f>
        <v>9.6167224999999998</v>
      </c>
      <c r="C104" s="625">
        <f>'ПБ V-1 (fin min)'!AA50</f>
        <v>19.59082575</v>
      </c>
      <c r="D104" s="625">
        <f>'ПБ V-1 (fin min)'!AB50</f>
        <v>0</v>
      </c>
      <c r="E104" s="625">
        <f>'ПБ V-1 (fin min)'!AC50</f>
        <v>25.653010150000004</v>
      </c>
      <c r="F104" s="625">
        <f>'ПБ V-1 (fin min)'!AD50</f>
        <v>8.8429211400000014</v>
      </c>
      <c r="G104" s="625">
        <f>'ПБ V-1 (fin min)'!AE50</f>
        <v>41.861278500000004</v>
      </c>
      <c r="H104" s="625">
        <f>'ПБ V-1 (fin min)'!AF50</f>
        <v>9.6167224999999998</v>
      </c>
      <c r="I104" s="625">
        <f>'ПБ V-1 (fin min)'!AG50</f>
        <v>18.285455899999999</v>
      </c>
      <c r="J104" s="625">
        <f>'ПБ V-1 (fin min)'!AH50</f>
        <v>2.0819565</v>
      </c>
      <c r="K104" s="625">
        <f>'ПБ V-1 (fin min)'!AI50</f>
        <v>23.612363500000001</v>
      </c>
      <c r="L104" s="625">
        <f>'ПБ V-1 (fin min)'!AJ50</f>
        <v>3.1461969000000001</v>
      </c>
      <c r="M104" s="625">
        <f>'ПБ V-1 (fin min)'!AK50</f>
        <v>15.680489349999998</v>
      </c>
      <c r="N104" s="626">
        <f t="shared" si="27"/>
        <v>177.98794268999998</v>
      </c>
      <c r="O104" s="625">
        <f>'ПБ V-1 (fin min)'!AL50</f>
        <v>9.5933785</v>
      </c>
      <c r="P104" s="625">
        <f>'ПБ V-1 (fin min)'!AM50</f>
        <v>17.94453280375</v>
      </c>
      <c r="Q104" s="625">
        <f>'ПБ V-1 (fin min)'!AN50</f>
        <v>2.43338919875</v>
      </c>
      <c r="R104" s="625">
        <f>'ПБ V-1 (fin min)'!AO50</f>
        <v>14.5488135</v>
      </c>
      <c r="S104" s="625">
        <f>'ПБ V-1 (fin min)'!AP50</f>
        <v>0</v>
      </c>
      <c r="T104" s="625">
        <f>'ПБ V-1 (fin min)'!AQ50</f>
        <v>14.692706005000002</v>
      </c>
      <c r="U104" s="625">
        <f>'ПБ V-1 (fin min)'!AR50</f>
        <v>11.4433785</v>
      </c>
      <c r="V104" s="625">
        <f>'ПБ V-1 (fin min)'!AS50</f>
        <v>0</v>
      </c>
      <c r="W104" s="625">
        <f>'ПБ V-1 (fin min)'!AT50</f>
        <v>2.0819565</v>
      </c>
      <c r="X104" s="625">
        <f>'ПБ V-1 (fin min)'!AU50</f>
        <v>8.5814360000000001</v>
      </c>
      <c r="Y104" s="625">
        <f>'ПБ V-1 (fin min)'!AV50</f>
        <v>1.9313075</v>
      </c>
      <c r="Z104" s="625">
        <f>'ПБ V-1 (fin min)'!AW50</f>
        <v>16.6157115</v>
      </c>
      <c r="AA104" s="626">
        <f t="shared" si="28"/>
        <v>99.8666100075</v>
      </c>
      <c r="AB104" s="625">
        <f>'ПБ V-2 (fin plan)'!AX50</f>
        <v>3.48346336</v>
      </c>
      <c r="AC104" s="625">
        <f>'ПБ V-2 (fin plan)'!AY50</f>
        <v>6.5145635500000001</v>
      </c>
      <c r="AD104" s="625">
        <f>'ПБ V-2 (fin plan)'!AZ50</f>
        <v>2.0819565</v>
      </c>
      <c r="AE104" s="625">
        <f>'ПБ V-2 (fin plan)'!BA50</f>
        <v>8.489317999999999</v>
      </c>
      <c r="AF104" s="625">
        <f>'ПБ V-2 (fin plan)'!BB50</f>
        <v>1.9313075</v>
      </c>
      <c r="AG104" s="625">
        <f>'ПБ V-2 (fin plan)'!BC50</f>
        <v>3.9028069000000003</v>
      </c>
      <c r="AH104" s="625">
        <f>'ПБ V-2 (fin plan)'!BD50</f>
        <v>3.48346336</v>
      </c>
      <c r="AI104" s="625">
        <f>'ПБ V-2 (fin plan)'!BE50</f>
        <v>0</v>
      </c>
      <c r="AJ104" s="625">
        <f>'ПБ V-2 (fin plan)'!BF50</f>
        <v>0</v>
      </c>
      <c r="AK104" s="625">
        <f>'ПБ V-2 (fin plan)'!BG50</f>
        <v>6.4538369999999992</v>
      </c>
      <c r="AL104" s="625">
        <f>'ПБ V-2 (fin plan)'!BH50</f>
        <v>0</v>
      </c>
      <c r="AM104" s="625">
        <f>'ПБ V-2 (fin plan)'!BI50</f>
        <v>0</v>
      </c>
      <c r="AN104" s="626">
        <f t="shared" si="29"/>
        <v>36.34071617</v>
      </c>
    </row>
    <row r="105" spans="1:40" ht="24.75" thickBot="1" x14ac:dyDescent="0.4">
      <c r="A105" s="621" t="s">
        <v>332</v>
      </c>
      <c r="B105" s="625">
        <f>'ПБ V-1 (fin min)'!Z51</f>
        <v>0</v>
      </c>
      <c r="C105" s="625">
        <f>'ПБ V-1 (fin min)'!AA51</f>
        <v>0</v>
      </c>
      <c r="D105" s="625">
        <f>'ПБ V-1 (fin min)'!AB51</f>
        <v>0</v>
      </c>
      <c r="E105" s="625">
        <f>'ПБ V-1 (fin min)'!AC51</f>
        <v>0</v>
      </c>
      <c r="F105" s="625">
        <f>'ПБ V-1 (fin min)'!AD51</f>
        <v>0</v>
      </c>
      <c r="G105" s="625">
        <f>'ПБ V-1 (fin min)'!AE51</f>
        <v>0</v>
      </c>
      <c r="H105" s="625">
        <f>'ПБ V-1 (fin min)'!AF51</f>
        <v>0</v>
      </c>
      <c r="I105" s="625">
        <f>'ПБ V-1 (fin min)'!AG51</f>
        <v>0</v>
      </c>
      <c r="J105" s="625">
        <f>'ПБ V-1 (fin min)'!AH51</f>
        <v>0</v>
      </c>
      <c r="K105" s="625">
        <f>'ПБ V-1 (fin min)'!AI51</f>
        <v>0</v>
      </c>
      <c r="L105" s="625">
        <f>'ПБ V-1 (fin min)'!AJ51</f>
        <v>0</v>
      </c>
      <c r="M105" s="625">
        <f>'ПБ V-1 (fin min)'!AK51</f>
        <v>0</v>
      </c>
      <c r="N105" s="626">
        <f t="shared" si="27"/>
        <v>0</v>
      </c>
      <c r="O105" s="625">
        <f>'ПБ V-1 (fin min)'!AL51</f>
        <v>19.001574034149701</v>
      </c>
      <c r="P105" s="625">
        <f>'ПБ V-1 (fin min)'!AM51</f>
        <v>37.501359000931771</v>
      </c>
      <c r="Q105" s="625">
        <f>'ПБ V-1 (fin min)'!AN51</f>
        <v>38.388777902368737</v>
      </c>
      <c r="R105" s="625">
        <f>'ПБ V-1 (fin min)'!AO51</f>
        <v>10.681883359064836</v>
      </c>
      <c r="S105" s="625">
        <f>'ПБ V-1 (fin min)'!AP51</f>
        <v>45.640390001847948</v>
      </c>
      <c r="T105" s="625">
        <f>'ПБ V-1 (fin min)'!AQ51</f>
        <v>19.276631679430121</v>
      </c>
      <c r="U105" s="625">
        <f>'ПБ V-1 (fin min)'!AR51</f>
        <v>10.805325217285633</v>
      </c>
      <c r="V105" s="625">
        <f>'ПБ V-1 (fin min)'!AS51</f>
        <v>33.85324909673345</v>
      </c>
      <c r="W105" s="625">
        <f>'ПБ V-1 (fin min)'!AT51</f>
        <v>13.191059237279509</v>
      </c>
      <c r="X105" s="625">
        <f>'ПБ V-1 (fin min)'!AU51</f>
        <v>7.5771525895707832</v>
      </c>
      <c r="Y105" s="625">
        <f>'ПБ V-1 (fin min)'!AV51</f>
        <v>30.675916592025992</v>
      </c>
      <c r="Z105" s="625">
        <f>'ПБ V-1 (fin min)'!AW51</f>
        <v>8.7587253937546308</v>
      </c>
      <c r="AA105" s="626">
        <f t="shared" si="28"/>
        <v>275.35204410444311</v>
      </c>
      <c r="AB105" s="625">
        <f>'ПБ V-2 (fin plan)'!AX51</f>
        <v>3.9239660220579027</v>
      </c>
      <c r="AC105" s="625">
        <f>'ПБ V-2 (fin plan)'!AY51</f>
        <v>11.558219616774435</v>
      </c>
      <c r="AD105" s="625">
        <f>'ПБ V-2 (fin plan)'!AZ51</f>
        <v>27.626101330186199</v>
      </c>
      <c r="AE105" s="625">
        <f>'ПБ V-2 (fin plan)'!BA51</f>
        <v>5.4168777477320358</v>
      </c>
      <c r="AF105" s="625">
        <f>'ПБ V-2 (fin plan)'!BB51</f>
        <v>13.893218490964728</v>
      </c>
      <c r="AG105" s="625">
        <f>'ПБ V-2 (fin plan)'!BC51</f>
        <v>10.047788234785626</v>
      </c>
      <c r="AH105" s="625">
        <f>'ПБ V-2 (fin plan)'!BD51</f>
        <v>11.22386971127092</v>
      </c>
      <c r="AI105" s="625">
        <f>'ПБ V-2 (fin plan)'!BE51</f>
        <v>23.620520952235733</v>
      </c>
      <c r="AJ105" s="625">
        <f>'ПБ V-2 (fin plan)'!BF51</f>
        <v>7.6537825576916489</v>
      </c>
      <c r="AK105" s="625">
        <f>'ПБ V-2 (fin plan)'!BG51</f>
        <v>2.3235665845557834</v>
      </c>
      <c r="AL105" s="625">
        <f>'ПБ V-2 (fin plan)'!BH51</f>
        <v>16.269510808432859</v>
      </c>
      <c r="AM105" s="625">
        <f>'ПБ V-2 (fin plan)'!BI51</f>
        <v>3.1258120216168881</v>
      </c>
      <c r="AN105" s="626">
        <f t="shared" si="29"/>
        <v>136.68323407830476</v>
      </c>
    </row>
    <row r="106" spans="1:40" ht="24.75" thickBot="1" x14ac:dyDescent="0.4">
      <c r="A106" s="622" t="s">
        <v>169</v>
      </c>
      <c r="B106" s="628">
        <f>'ПБ V-1 (fin min)'!Z52</f>
        <v>48.2</v>
      </c>
      <c r="C106" s="628">
        <f>'ПБ V-1 (fin min)'!AA52</f>
        <v>456.7</v>
      </c>
      <c r="D106" s="628">
        <f>'ПБ V-1 (fin min)'!AB52</f>
        <v>474</v>
      </c>
      <c r="E106" s="628">
        <f>'ПБ V-1 (fin min)'!AC52</f>
        <v>121.4</v>
      </c>
      <c r="F106" s="628">
        <f>'ПБ V-1 (fin min)'!AD52</f>
        <v>353.7</v>
      </c>
      <c r="G106" s="628">
        <f>'ПБ V-1 (fin min)'!AE52</f>
        <v>726</v>
      </c>
      <c r="H106" s="628">
        <f>'ПБ V-1 (fin min)'!AF52</f>
        <v>140</v>
      </c>
      <c r="I106" s="628">
        <f>'ПБ V-1 (fin min)'!AG52</f>
        <v>130.4</v>
      </c>
      <c r="J106" s="628">
        <f>'ПБ V-1 (fin min)'!AH52</f>
        <v>216.9</v>
      </c>
      <c r="K106" s="628">
        <f>'ПБ V-1 (fin min)'!AI52</f>
        <v>1015.5</v>
      </c>
      <c r="L106" s="628">
        <f>'ПБ V-1 (fin min)'!AJ52</f>
        <v>255</v>
      </c>
      <c r="M106" s="628">
        <f>'ПБ V-1 (fin min)'!AK52</f>
        <v>858.3</v>
      </c>
      <c r="N106" s="624">
        <f t="shared" si="27"/>
        <v>4796.1000000000004</v>
      </c>
      <c r="O106" s="628">
        <f>'ПБ V-1 (fin min)'!AL52</f>
        <v>-165.03429396129485</v>
      </c>
      <c r="P106" s="628">
        <f>'ПБ V-1 (fin min)'!AM52</f>
        <v>-13.720860942898867</v>
      </c>
      <c r="Q106" s="628">
        <f>'ПБ V-1 (fin min)'!AN52</f>
        <v>3670.75568286</v>
      </c>
      <c r="R106" s="628">
        <f>'ПБ V-1 (fin min)'!AO52</f>
        <v>2306.6038922142611</v>
      </c>
      <c r="S106" s="628">
        <f>'ПБ V-1 (fin min)'!AP52</f>
        <v>1895.3068260245975</v>
      </c>
      <c r="T106" s="628">
        <f>'ПБ V-1 (fin min)'!AQ52</f>
        <v>3884.7</v>
      </c>
      <c r="U106" s="628">
        <f>'ПБ V-1 (fin min)'!AR52</f>
        <v>3557</v>
      </c>
      <c r="V106" s="628">
        <f>'ПБ V-1 (fin min)'!AS52</f>
        <v>4788.3999999999996</v>
      </c>
      <c r="W106" s="628">
        <f>'ПБ V-1 (fin min)'!AT52</f>
        <v>2837.3</v>
      </c>
      <c r="X106" s="628">
        <f>'ПБ V-1 (fin min)'!AU52</f>
        <v>4784.3459999999995</v>
      </c>
      <c r="Y106" s="628">
        <f>'ПБ V-1 (fin min)'!AV52</f>
        <v>5737.3762059090577</v>
      </c>
      <c r="Z106" s="628">
        <f>'ПБ V-1 (fin min)'!AW52</f>
        <v>4813.3074999999999</v>
      </c>
      <c r="AA106" s="624">
        <f t="shared" si="28"/>
        <v>38096.340952103725</v>
      </c>
      <c r="AB106" s="628">
        <f>'ПБ V-2 (fin plan)'!AX52</f>
        <v>2571.7155000000002</v>
      </c>
      <c r="AC106" s="628">
        <f>'ПБ V-2 (fin plan)'!AY52</f>
        <v>2679.8244</v>
      </c>
      <c r="AD106" s="628">
        <f>'ПБ V-2 (fin plan)'!AZ52</f>
        <v>2559.3364999999999</v>
      </c>
      <c r="AE106" s="628">
        <f>'ПБ V-2 (fin plan)'!BA52</f>
        <v>2690.3560550000002</v>
      </c>
      <c r="AF106" s="628">
        <f>'ПБ V-2 (fin plan)'!BB52</f>
        <v>2640.7085150000003</v>
      </c>
      <c r="AG106" s="628">
        <f>'ПБ V-2 (fin plan)'!BC52</f>
        <v>2791.6101960000001</v>
      </c>
      <c r="AH106" s="628">
        <f>'ПБ V-2 (fin plan)'!BD52</f>
        <v>2757</v>
      </c>
      <c r="AI106" s="628">
        <f>'ПБ V-2 (fin plan)'!BE52</f>
        <v>2549.8000000000002</v>
      </c>
      <c r="AJ106" s="628">
        <f>'ПБ V-2 (fin plan)'!BF52</f>
        <v>2525.85</v>
      </c>
      <c r="AK106" s="628">
        <f>'ПБ V-2 (fin plan)'!BG52</f>
        <v>2945.5830000000001</v>
      </c>
      <c r="AL106" s="628">
        <f>'ПБ V-2 (fin plan)'!BH52</f>
        <v>2618.583333333333</v>
      </c>
      <c r="AM106" s="628">
        <f>'ПБ V-2 (fin plan)'!BI52</f>
        <v>3150</v>
      </c>
      <c r="AN106" s="624">
        <f t="shared" si="29"/>
        <v>32480.367499333326</v>
      </c>
    </row>
    <row r="107" spans="1:40" ht="24.75" thickBot="1" x14ac:dyDescent="0.4">
      <c r="A107" s="1178" t="str">
        <f>'ПБ V-1 (fin min)'!A53</f>
        <v>Через валютные ОВГЗ, млн долл. США</v>
      </c>
      <c r="B107" s="629">
        <f>'ПБ V-1 (fin min)'!Z53</f>
        <v>48.2</v>
      </c>
      <c r="C107" s="629">
        <f>'ПБ V-1 (fin min)'!AA53</f>
        <v>456.7</v>
      </c>
      <c r="D107" s="629">
        <f>'ПБ V-1 (fin min)'!AB53</f>
        <v>474</v>
      </c>
      <c r="E107" s="629">
        <f>'ПБ V-1 (fin min)'!AC53</f>
        <v>121.4</v>
      </c>
      <c r="F107" s="629">
        <f>'ПБ V-1 (fin min)'!AD53</f>
        <v>353.7</v>
      </c>
      <c r="G107" s="629">
        <f>'ПБ V-1 (fin min)'!AE53</f>
        <v>726</v>
      </c>
      <c r="H107" s="629">
        <f>'ПБ V-1 (fin min)'!AF53</f>
        <v>140</v>
      </c>
      <c r="I107" s="629">
        <f>'ПБ V-1 (fin min)'!AG53</f>
        <v>130.4</v>
      </c>
      <c r="J107" s="629">
        <f>'ПБ V-1 (fin min)'!AH53</f>
        <v>216.9</v>
      </c>
      <c r="K107" s="629">
        <f>'ПБ V-1 (fin min)'!AI53</f>
        <v>432.2</v>
      </c>
      <c r="L107" s="629">
        <f>'ПБ V-1 (fin min)'!AJ53</f>
        <v>255</v>
      </c>
      <c r="M107" s="629">
        <f>'ПБ V-1 (fin min)'!AK53</f>
        <v>858.3</v>
      </c>
      <c r="N107" s="630">
        <f t="shared" si="27"/>
        <v>4212.8</v>
      </c>
      <c r="O107" s="629">
        <f>'ПБ V-1 (fin min)'!AL53</f>
        <v>143.43099999999998</v>
      </c>
      <c r="P107" s="629">
        <f>'ПБ V-1 (fin min)'!AM53</f>
        <v>24.709800000000001</v>
      </c>
      <c r="Q107" s="629">
        <f>'ПБ V-1 (fin min)'!AN53</f>
        <v>11.906000000000001</v>
      </c>
      <c r="R107" s="629">
        <f>'ПБ V-1 (fin min)'!AO53</f>
        <v>270.68610999999999</v>
      </c>
      <c r="S107" s="629">
        <f>'ПБ V-1 (fin min)'!AP53</f>
        <v>177.02203</v>
      </c>
      <c r="T107" s="629">
        <f>'ПБ V-1 (fin min)'!AQ53</f>
        <v>354.2</v>
      </c>
      <c r="U107" s="629">
        <f>'ПБ V-1 (fin min)'!AR53</f>
        <v>514</v>
      </c>
      <c r="V107" s="629">
        <f>'ПБ V-1 (fin min)'!AS53</f>
        <v>99.6</v>
      </c>
      <c r="W107" s="629">
        <f>'ПБ V-1 (fin min)'!AT53</f>
        <v>51.7</v>
      </c>
      <c r="X107" s="629">
        <f>'ПБ V-1 (fin min)'!AU53</f>
        <v>424.846</v>
      </c>
      <c r="Y107" s="629">
        <f>'ПБ V-1 (fin min)'!AV53</f>
        <v>433.95940999999999</v>
      </c>
      <c r="Z107" s="629">
        <f>'ПБ V-1 (fin min)'!AW53</f>
        <v>540.70000000000005</v>
      </c>
      <c r="AA107" s="630">
        <f t="shared" si="28"/>
        <v>3046.7603499999996</v>
      </c>
      <c r="AB107" s="629">
        <f>'ПБ V-2 (fin plan)'!AX53</f>
        <v>71.715499999999992</v>
      </c>
      <c r="AC107" s="629">
        <f>'ПБ V-2 (fin plan)'!AY53</f>
        <v>179.82439999999997</v>
      </c>
      <c r="AD107" s="629">
        <f>'ПБ V-2 (fin plan)'!AZ53</f>
        <v>59.336500000000001</v>
      </c>
      <c r="AE107" s="629">
        <f>'ПБ V-2 (fin plan)'!BA53</f>
        <v>190.356055</v>
      </c>
      <c r="AF107" s="629">
        <f>'ПБ V-2 (fin plan)'!BB53</f>
        <v>140.70851500000001</v>
      </c>
      <c r="AG107" s="629">
        <f>'ПБ V-2 (fin plan)'!BC53</f>
        <v>291.61019599999997</v>
      </c>
      <c r="AH107" s="629">
        <f>'ПБ V-2 (fin plan)'!BD53</f>
        <v>257</v>
      </c>
      <c r="AI107" s="629">
        <f>'ПБ V-2 (fin plan)'!BE53</f>
        <v>49.8</v>
      </c>
      <c r="AJ107" s="629">
        <f>'ПБ V-2 (fin plan)'!BF53</f>
        <v>25.85</v>
      </c>
      <c r="AK107" s="629">
        <f>'ПБ V-2 (fin plan)'!BG53</f>
        <v>445.58300000000003</v>
      </c>
      <c r="AL107" s="629">
        <f>'ПБ V-2 (fin plan)'!BH53</f>
        <v>118.58333333333333</v>
      </c>
      <c r="AM107" s="629">
        <f>'ПБ V-2 (fin plan)'!BI53</f>
        <v>650</v>
      </c>
      <c r="AN107" s="630">
        <f t="shared" si="29"/>
        <v>2480.3674993333334</v>
      </c>
    </row>
    <row r="108" spans="1:40" ht="24.75" thickBot="1" x14ac:dyDescent="0.4">
      <c r="A108" s="1178" t="str">
        <f>'ПБ V-1 (fin min)'!A54</f>
        <v>Внешнее финансирование (МВФ, Еврокомиссия и другие)</v>
      </c>
      <c r="B108" s="631">
        <f>'ПБ V-1 (fin min)'!Z54</f>
        <v>0</v>
      </c>
      <c r="C108" s="631">
        <f>'ПБ V-1 (fin min)'!AA54</f>
        <v>0</v>
      </c>
      <c r="D108" s="631">
        <f>'ПБ V-1 (fin min)'!AB54</f>
        <v>0</v>
      </c>
      <c r="E108" s="631">
        <f>'ПБ V-1 (fin min)'!AC54</f>
        <v>0</v>
      </c>
      <c r="F108" s="631">
        <f>'ПБ V-1 (fin min)'!AD54</f>
        <v>0</v>
      </c>
      <c r="G108" s="631">
        <f>'ПБ V-1 (fin min)'!AE54</f>
        <v>0</v>
      </c>
      <c r="H108" s="631">
        <f>'ПБ V-1 (fin min)'!AF54</f>
        <v>0</v>
      </c>
      <c r="I108" s="631">
        <f>'ПБ V-1 (fin min)'!AG54</f>
        <v>0</v>
      </c>
      <c r="J108" s="631">
        <f>'ПБ V-1 (fin min)'!AH54</f>
        <v>0</v>
      </c>
      <c r="K108" s="631">
        <f>'ПБ V-1 (fin min)'!AI54</f>
        <v>583.29999999999995</v>
      </c>
      <c r="L108" s="631">
        <f>'ПБ V-1 (fin min)'!AJ54</f>
        <v>0</v>
      </c>
      <c r="M108" s="631">
        <f>'ПБ V-1 (fin min)'!AK54</f>
        <v>0</v>
      </c>
      <c r="N108" s="626">
        <f t="shared" si="27"/>
        <v>583.29999999999995</v>
      </c>
      <c r="O108" s="631">
        <f>'ПБ V-1 (fin min)'!AL54</f>
        <v>-465.46529396129483</v>
      </c>
      <c r="P108" s="631">
        <f>'ПБ V-1 (fin min)'!AM54</f>
        <v>-357.4306609428989</v>
      </c>
      <c r="Q108" s="631">
        <f>'ПБ V-1 (fin min)'!AN54</f>
        <v>3333.84968286</v>
      </c>
      <c r="R108" s="631">
        <f>'ПБ V-1 (fin min)'!AO54</f>
        <v>1077.917782214261</v>
      </c>
      <c r="S108" s="631">
        <f>'ПБ V-1 (fin min)'!AP54</f>
        <v>944.28479602459754</v>
      </c>
      <c r="T108" s="631">
        <f>'ПБ V-1 (fin min)'!AQ54</f>
        <v>1990.5</v>
      </c>
      <c r="U108" s="631">
        <f>'ПБ V-1 (fin min)'!AR54</f>
        <v>-39</v>
      </c>
      <c r="V108" s="631">
        <f>'ПБ V-1 (fin min)'!AS54</f>
        <v>1511.88183286</v>
      </c>
      <c r="W108" s="631">
        <f>'ПБ V-1 (fin min)'!AT54</f>
        <v>457.6</v>
      </c>
      <c r="X108" s="631">
        <f>'ПБ V-1 (fin min)'!AU54</f>
        <v>4001.5</v>
      </c>
      <c r="Y108" s="631">
        <f>'ПБ V-1 (fin min)'!AV54</f>
        <v>3403.4167959090578</v>
      </c>
      <c r="Z108" s="631">
        <f>'ПБ V-1 (fin min)'!AW54</f>
        <v>1589.6075000000001</v>
      </c>
      <c r="AA108" s="626">
        <f t="shared" si="28"/>
        <v>17448.66243496372</v>
      </c>
      <c r="AB108" s="629">
        <f>'ПБ V-2 (fin plan)'!AX54</f>
        <v>1700</v>
      </c>
      <c r="AC108" s="629">
        <f>'ПБ V-2 (fin plan)'!AY54</f>
        <v>1700</v>
      </c>
      <c r="AD108" s="629">
        <f>'ПБ V-2 (fin plan)'!AZ54</f>
        <v>1700</v>
      </c>
      <c r="AE108" s="629">
        <f>'ПБ V-2 (fin plan)'!BA54</f>
        <v>1700</v>
      </c>
      <c r="AF108" s="629">
        <f>'ПБ V-2 (fin plan)'!BB54</f>
        <v>1700</v>
      </c>
      <c r="AG108" s="629">
        <f>'ПБ V-2 (fin plan)'!BC54</f>
        <v>1700</v>
      </c>
      <c r="AH108" s="629">
        <f>'ПБ V-2 (fin plan)'!BD54</f>
        <v>1700</v>
      </c>
      <c r="AI108" s="629">
        <f>'ПБ V-2 (fin plan)'!BE54</f>
        <v>1700</v>
      </c>
      <c r="AJ108" s="629">
        <f>'ПБ V-2 (fin plan)'!BF54</f>
        <v>1700</v>
      </c>
      <c r="AK108" s="629">
        <f>'ПБ V-2 (fin plan)'!BG54</f>
        <v>1700</v>
      </c>
      <c r="AL108" s="629">
        <f>'ПБ V-2 (fin plan)'!BH54</f>
        <v>1700</v>
      </c>
      <c r="AM108" s="629">
        <f>'ПБ V-2 (fin plan)'!BI54</f>
        <v>1700</v>
      </c>
      <c r="AN108" s="626">
        <f t="shared" si="29"/>
        <v>20400</v>
      </c>
    </row>
    <row r="109" spans="1:40" ht="24.75" thickBot="1" x14ac:dyDescent="0.4">
      <c r="A109" s="1178" t="str">
        <f>'ПБ V-1 (fin min)'!A55</f>
        <v>Гранты (из вторичных доходов CAB)</v>
      </c>
      <c r="B109" s="631">
        <f>'ПБ V-1 (fin min)'!Z55</f>
        <v>0</v>
      </c>
      <c r="C109" s="631">
        <f>'ПБ V-1 (fin min)'!AA55</f>
        <v>0</v>
      </c>
      <c r="D109" s="631">
        <f>'ПБ V-1 (fin min)'!AB55</f>
        <v>0</v>
      </c>
      <c r="E109" s="631">
        <f>'ПБ V-1 (fin min)'!AC55</f>
        <v>0</v>
      </c>
      <c r="F109" s="631">
        <f>'ПБ V-1 (fin min)'!AD55</f>
        <v>0</v>
      </c>
      <c r="G109" s="631">
        <f>'ПБ V-1 (fin min)'!AE55</f>
        <v>0</v>
      </c>
      <c r="H109" s="631">
        <f>'ПБ V-1 (fin min)'!AF55</f>
        <v>0</v>
      </c>
      <c r="I109" s="631">
        <f>'ПБ V-1 (fin min)'!AG55</f>
        <v>0</v>
      </c>
      <c r="J109" s="631">
        <f>'ПБ V-1 (fin min)'!AH55</f>
        <v>0</v>
      </c>
      <c r="K109" s="631">
        <f>'ПБ V-1 (fin min)'!AI55</f>
        <v>0</v>
      </c>
      <c r="L109" s="631">
        <f>'ПБ V-1 (fin min)'!AJ55</f>
        <v>0</v>
      </c>
      <c r="M109" s="631">
        <f>'ПБ V-1 (fin min)'!AK55</f>
        <v>0</v>
      </c>
      <c r="N109" s="626">
        <f t="shared" si="27"/>
        <v>0</v>
      </c>
      <c r="O109" s="631">
        <f>'ПБ V-1 (fin min)'!AL55</f>
        <v>157</v>
      </c>
      <c r="P109" s="631">
        <f>'ПБ V-1 (fin min)'!AM55</f>
        <v>319</v>
      </c>
      <c r="Q109" s="631">
        <f>'ПБ V-1 (fin min)'!AN55</f>
        <v>325</v>
      </c>
      <c r="R109" s="631">
        <f>'ПБ V-1 (fin min)'!AO55</f>
        <v>958</v>
      </c>
      <c r="S109" s="631">
        <f>'ПБ V-1 (fin min)'!AP55</f>
        <v>774</v>
      </c>
      <c r="T109" s="631">
        <f>'ПБ V-1 (fin min)'!AQ55</f>
        <v>1540</v>
      </c>
      <c r="U109" s="631">
        <f>'ПБ V-1 (fin min)'!AR55</f>
        <v>3082</v>
      </c>
      <c r="V109" s="631">
        <f>'ПБ V-1 (fin min)'!AS55</f>
        <v>3353</v>
      </c>
      <c r="W109" s="631">
        <f>'ПБ V-1 (fin min)'!AT55</f>
        <v>2328</v>
      </c>
      <c r="X109" s="631">
        <f>'ПБ V-1 (fin min)'!AU55</f>
        <v>358</v>
      </c>
      <c r="Y109" s="631">
        <f>'ПБ V-1 (fin min)'!AV55</f>
        <v>1900</v>
      </c>
      <c r="Z109" s="631">
        <f>'ПБ V-1 (fin min)'!AW55</f>
        <v>2683</v>
      </c>
      <c r="AA109" s="626">
        <f t="shared" si="28"/>
        <v>17777</v>
      </c>
      <c r="AB109" s="629">
        <f>'ПБ V-2 (fin plan)'!AX55</f>
        <v>800</v>
      </c>
      <c r="AC109" s="629">
        <f>'ПБ V-2 (fin plan)'!AY55</f>
        <v>800</v>
      </c>
      <c r="AD109" s="629">
        <f>'ПБ V-2 (fin plan)'!AZ55</f>
        <v>800</v>
      </c>
      <c r="AE109" s="629">
        <f>'ПБ V-2 (fin plan)'!BA55</f>
        <v>800</v>
      </c>
      <c r="AF109" s="629">
        <f>'ПБ V-2 (fin plan)'!BB55</f>
        <v>800</v>
      </c>
      <c r="AG109" s="629">
        <f>'ПБ V-2 (fin plan)'!BC55</f>
        <v>800</v>
      </c>
      <c r="AH109" s="629">
        <f>'ПБ V-2 (fin plan)'!BD55</f>
        <v>800</v>
      </c>
      <c r="AI109" s="629">
        <f>'ПБ V-2 (fin plan)'!BE55</f>
        <v>800</v>
      </c>
      <c r="AJ109" s="629">
        <f>'ПБ V-2 (fin plan)'!BF55</f>
        <v>800</v>
      </c>
      <c r="AK109" s="629">
        <f>'ПБ V-2 (fin plan)'!BG55</f>
        <v>800</v>
      </c>
      <c r="AL109" s="629">
        <f>'ПБ V-2 (fin plan)'!BH55</f>
        <v>800</v>
      </c>
      <c r="AM109" s="629">
        <f>'ПБ V-2 (fin plan)'!BI55</f>
        <v>800</v>
      </c>
      <c r="AN109" s="626">
        <f t="shared" si="29"/>
        <v>9600</v>
      </c>
    </row>
    <row r="110" spans="1:40" ht="48.75" thickBot="1" x14ac:dyDescent="0.4">
      <c r="A110" s="1178" t="str">
        <f>'ПБ V-1 (fin min)'!A56</f>
        <v xml:space="preserve">Другие операции, в том числе: выход нерезидентов из ОВГЗ (грн), закрытые операции, погрешности в учете </v>
      </c>
      <c r="B110" s="631">
        <f>'ПБ V-1 (fin min)'!Z56</f>
        <v>0</v>
      </c>
      <c r="C110" s="631">
        <f>'ПБ V-1 (fin min)'!AA56</f>
        <v>0</v>
      </c>
      <c r="D110" s="631">
        <f>'ПБ V-1 (fin min)'!AB56</f>
        <v>0</v>
      </c>
      <c r="E110" s="631">
        <f>'ПБ V-1 (fin min)'!AC56</f>
        <v>0</v>
      </c>
      <c r="F110" s="631">
        <f>'ПБ V-1 (fin min)'!AD56</f>
        <v>0</v>
      </c>
      <c r="G110" s="631">
        <f>'ПБ V-1 (fin min)'!AE56</f>
        <v>0</v>
      </c>
      <c r="H110" s="631">
        <f>'ПБ V-1 (fin min)'!AF56</f>
        <v>0</v>
      </c>
      <c r="I110" s="631">
        <f>'ПБ V-1 (fin min)'!AG56</f>
        <v>0</v>
      </c>
      <c r="J110" s="631">
        <f>'ПБ V-1 (fin min)'!AH56</f>
        <v>0</v>
      </c>
      <c r="K110" s="631">
        <f>'ПБ V-1 (fin min)'!AI56</f>
        <v>0</v>
      </c>
      <c r="L110" s="631">
        <f>'ПБ V-1 (fin min)'!AJ56</f>
        <v>0</v>
      </c>
      <c r="M110" s="631">
        <f>'ПБ V-1 (fin min)'!AK56</f>
        <v>0</v>
      </c>
      <c r="N110" s="626">
        <f t="shared" si="27"/>
        <v>0</v>
      </c>
      <c r="O110" s="631">
        <f>'ПБ V-1 (fin min)'!AL56</f>
        <v>134.6363012800241</v>
      </c>
      <c r="P110" s="631">
        <f>'ПБ V-1 (fin min)'!AM56</f>
        <v>1146.2215412568407</v>
      </c>
      <c r="Q110" s="631">
        <f>'ПБ V-1 (fin min)'!AN56</f>
        <v>555.68420035111876</v>
      </c>
      <c r="R110" s="631">
        <f>'ПБ V-1 (fin min)'!AO56</f>
        <v>283.35538260982298</v>
      </c>
      <c r="S110" s="631">
        <f>'ПБ V-1 (fin min)'!AP56</f>
        <v>165.17447890184803</v>
      </c>
      <c r="T110" s="631">
        <f>'ПБ V-1 (fin min)'!AQ56</f>
        <v>363.08181167993234</v>
      </c>
      <c r="U110" s="631">
        <f>'ПБ V-1 (fin min)'!AR56</f>
        <v>-25.03242341514806</v>
      </c>
      <c r="V110" s="631">
        <f>'ПБ V-1 (fin min)'!AS56</f>
        <v>279.12604569673385</v>
      </c>
      <c r="W110" s="631">
        <f>'ПБ V-1 (fin min)'!AT56</f>
        <v>-28.729607487451631</v>
      </c>
      <c r="X110" s="631">
        <f>'ПБ V-1 (fin min)'!AU56</f>
        <v>210.25458858957199</v>
      </c>
      <c r="Y110" s="631">
        <f>'ПБ V-1 (fin min)'!AV56</f>
        <v>-324.67259297169312</v>
      </c>
      <c r="Z110" s="631">
        <f>'ПБ V-1 (fin min)'!AW56</f>
        <v>266.00493856215598</v>
      </c>
      <c r="AA110" s="626">
        <f t="shared" si="28"/>
        <v>3025.104665053756</v>
      </c>
      <c r="AB110" s="629">
        <f>'ПБ V-2 (fin plan)'!AX56</f>
        <v>0</v>
      </c>
      <c r="AC110" s="629">
        <f>'ПБ V-2 (fin plan)'!AY56</f>
        <v>0</v>
      </c>
      <c r="AD110" s="629">
        <f>'ПБ V-2 (fin plan)'!AZ56</f>
        <v>0</v>
      </c>
      <c r="AE110" s="629">
        <f>'ПБ V-2 (fin plan)'!BA56</f>
        <v>0</v>
      </c>
      <c r="AF110" s="629">
        <f>'ПБ V-2 (fin plan)'!BB56</f>
        <v>0</v>
      </c>
      <c r="AG110" s="629">
        <f>'ПБ V-2 (fin plan)'!BC56</f>
        <v>0</v>
      </c>
      <c r="AH110" s="629">
        <f>'ПБ V-2 (fin plan)'!BD56</f>
        <v>0</v>
      </c>
      <c r="AI110" s="629">
        <f>'ПБ V-2 (fin plan)'!BE56</f>
        <v>0</v>
      </c>
      <c r="AJ110" s="629">
        <f>'ПБ V-2 (fin plan)'!BF56</f>
        <v>0</v>
      </c>
      <c r="AK110" s="629">
        <f>'ПБ V-2 (fin plan)'!BG56</f>
        <v>0</v>
      </c>
      <c r="AL110" s="629">
        <f>'ПБ V-2 (fin plan)'!BH56</f>
        <v>0</v>
      </c>
      <c r="AM110" s="629">
        <f>'ПБ V-2 (fin plan)'!BI56</f>
        <v>0</v>
      </c>
      <c r="AN110" s="626">
        <f t="shared" si="29"/>
        <v>0</v>
      </c>
    </row>
    <row r="111" spans="1:40" ht="30.6" customHeight="1" thickBot="1" x14ac:dyDescent="0.4">
      <c r="A111" s="623" t="s">
        <v>256</v>
      </c>
      <c r="B111" s="628">
        <f>'ПБ V-1 (fin min)'!Z58</f>
        <v>333</v>
      </c>
      <c r="C111" s="628">
        <f>'ПБ V-1 (fin min)'!AA58</f>
        <v>159</v>
      </c>
      <c r="D111" s="628">
        <f>'ПБ V-1 (fin min)'!AB58</f>
        <v>-256</v>
      </c>
      <c r="E111" s="628">
        <f>'ПБ V-1 (fin min)'!AC58</f>
        <v>1023</v>
      </c>
      <c r="F111" s="628">
        <f>'ПБ V-1 (fin min)'!AD58</f>
        <v>64</v>
      </c>
      <c r="G111" s="628">
        <f>'ПБ V-1 (fin min)'!AE58</f>
        <v>788</v>
      </c>
      <c r="H111" s="628">
        <f>'ПБ V-1 (fin min)'!AF58</f>
        <v>376</v>
      </c>
      <c r="I111" s="628">
        <f>'ПБ V-1 (fin min)'!AG58</f>
        <v>-349</v>
      </c>
      <c r="J111" s="628">
        <f>'ПБ V-1 (fin min)'!AH58</f>
        <v>-1945</v>
      </c>
      <c r="K111" s="628">
        <f>'ПБ V-1 (fin min)'!AI58</f>
        <v>474</v>
      </c>
      <c r="L111" s="628">
        <f>'ПБ V-1 (fin min)'!AJ58</f>
        <v>162</v>
      </c>
      <c r="M111" s="628">
        <f>'ПБ V-1 (fin min)'!AK58</f>
        <v>456</v>
      </c>
      <c r="N111" s="624">
        <f t="shared" si="27"/>
        <v>1285</v>
      </c>
      <c r="O111" s="628">
        <f>'ПБ V-1 (fin min)'!AL58</f>
        <v>-501</v>
      </c>
      <c r="P111" s="628">
        <f>'ПБ V-1 (fin min)'!AM58</f>
        <v>-616</v>
      </c>
      <c r="Q111" s="628">
        <f>'ПБ V-1 (fin min)'!AN58</f>
        <v>2640</v>
      </c>
      <c r="R111" s="628">
        <f>'ПБ V-1 (fin min)'!AO58</f>
        <v>791</v>
      </c>
      <c r="S111" s="628">
        <f>'ПБ V-1 (fin min)'!AP58</f>
        <v>956</v>
      </c>
      <c r="T111" s="628">
        <f>'ПБ V-1 (fin min)'!AQ58</f>
        <v>1730</v>
      </c>
      <c r="U111" s="628">
        <f>'ПБ V-1 (fin min)'!AR58</f>
        <v>-196</v>
      </c>
      <c r="V111" s="628">
        <f>'ПБ V-1 (fin min)'!AS58</f>
        <v>1424</v>
      </c>
      <c r="W111" s="628">
        <f>'ПБ V-1 (fin min)'!AT58</f>
        <v>-172</v>
      </c>
      <c r="X111" s="628">
        <f>'ПБ V-1 (fin min)'!AU58</f>
        <v>3900</v>
      </c>
      <c r="Y111" s="628">
        <f>'ПБ V-1 (fin min)'!AV58</f>
        <v>2502</v>
      </c>
      <c r="Z111" s="628">
        <f>'ПБ V-1 (fin min)'!AW58</f>
        <v>1325</v>
      </c>
      <c r="AA111" s="624">
        <f t="shared" si="28"/>
        <v>13783</v>
      </c>
      <c r="AB111" s="628">
        <f>'ПБ V-2 (fin plan)'!AX58</f>
        <v>1771.7155000000002</v>
      </c>
      <c r="AC111" s="628">
        <f>'ПБ V-2 (fin plan)'!AY58</f>
        <v>1416.59208743412</v>
      </c>
      <c r="AD111" s="628">
        <f>'ПБ V-2 (fin plan)'!AZ58</f>
        <v>1027.2077021341199</v>
      </c>
      <c r="AE111" s="628">
        <f>'ПБ V-2 (fin plan)'!BA58</f>
        <v>1617.8080239450333</v>
      </c>
      <c r="AF111" s="628">
        <f>'ПБ V-2 (fin plan)'!BB58</f>
        <v>1568.1604839450333</v>
      </c>
      <c r="AG111" s="628">
        <f>'ПБ V-2 (fin plan)'!BC58</f>
        <v>1599.7948040000001</v>
      </c>
      <c r="AH111" s="628">
        <f>'ПБ V-2 (fin plan)'!BD58</f>
        <v>1604.3847879399268</v>
      </c>
      <c r="AI111" s="628">
        <f>'ПБ V-2 (fin plan)'!BE58</f>
        <v>1397.184787939927</v>
      </c>
      <c r="AJ111" s="628">
        <f>'ПБ V-2 (fin plan)'!BF58</f>
        <v>856.29570213411989</v>
      </c>
      <c r="AK111" s="628">
        <f>'ПБ V-2 (fin plan)'!BG58</f>
        <v>1734.9505539341199</v>
      </c>
      <c r="AL111" s="628">
        <f>'ПБ V-2 (fin plan)'!BH58</f>
        <v>1480.9789997146913</v>
      </c>
      <c r="AM111" s="628">
        <f>'ПБ V-2 (fin plan)'!BI58</f>
        <v>1943.0124999999998</v>
      </c>
      <c r="AN111" s="624">
        <f t="shared" si="29"/>
        <v>18018.085933121092</v>
      </c>
    </row>
    <row r="112" spans="1:40" ht="24.6" customHeight="1" thickBot="1" x14ac:dyDescent="0.4">
      <c r="A112" s="623" t="s">
        <v>257</v>
      </c>
      <c r="B112" s="628">
        <f>'ПБ V-1 (fin min)'!Z69</f>
        <v>-264.11701204466732</v>
      </c>
      <c r="C112" s="628">
        <f>'ПБ V-1 (fin min)'!AA69</f>
        <v>-279.42144676079999</v>
      </c>
      <c r="D112" s="628">
        <f>'ПБ V-1 (fin min)'!AB69</f>
        <v>-951.1222736259557</v>
      </c>
      <c r="E112" s="628">
        <f>'ПБ V-1 (fin min)'!AC69</f>
        <v>-432.41380857035443</v>
      </c>
      <c r="F112" s="628">
        <f>'ПБ V-1 (fin min)'!AD69</f>
        <v>-407.74597429400478</v>
      </c>
      <c r="G112" s="628">
        <f>'ПБ V-1 (fin min)'!AE69</f>
        <v>-495.45595699025569</v>
      </c>
      <c r="H112" s="628">
        <f>'ПБ V-1 (fin min)'!AF69</f>
        <v>-256.93143922253057</v>
      </c>
      <c r="I112" s="628">
        <f>'ПБ V-1 (fin min)'!AG69</f>
        <v>-126.99857643179998</v>
      </c>
      <c r="J112" s="628">
        <f>'ПБ V-1 (fin min)'!AH69</f>
        <v>-2829.3339929218864</v>
      </c>
      <c r="K112" s="628">
        <f>'ПБ V-1 (fin min)'!AI69</f>
        <v>26.651803174961238</v>
      </c>
      <c r="L112" s="628">
        <f>'ПБ V-1 (fin min)'!AJ69</f>
        <v>-320.97455300308843</v>
      </c>
      <c r="M112" s="628">
        <f>'ПБ V-1 (fin min)'!AK69</f>
        <v>21.898098121051333</v>
      </c>
      <c r="N112" s="624">
        <f t="shared" si="27"/>
        <v>-6315.9651325693312</v>
      </c>
      <c r="O112" s="628">
        <f>'ПБ V-1 (fin min)'!AL69</f>
        <v>0</v>
      </c>
      <c r="P112" s="628">
        <f>'ПБ V-1 (fin min)'!AM69</f>
        <v>0</v>
      </c>
      <c r="Q112" s="628">
        <f>'ПБ V-1 (fin min)'!AN69</f>
        <v>0</v>
      </c>
      <c r="R112" s="628">
        <f>'ПБ V-1 (fin min)'!AO69</f>
        <v>0</v>
      </c>
      <c r="S112" s="628">
        <f>'ПБ V-1 (fin min)'!AP69</f>
        <v>0</v>
      </c>
      <c r="T112" s="628">
        <f>'ПБ V-1 (fin min)'!AQ69</f>
        <v>0</v>
      </c>
      <c r="U112" s="628">
        <f>'ПБ V-1 (fin min)'!AR69</f>
        <v>0</v>
      </c>
      <c r="V112" s="628">
        <f>'ПБ V-1 (fin min)'!AS69</f>
        <v>0</v>
      </c>
      <c r="W112" s="628">
        <f>'ПБ V-1 (fin min)'!AT69</f>
        <v>0</v>
      </c>
      <c r="X112" s="628">
        <f>'ПБ V-1 (fin min)'!AU69</f>
        <v>0</v>
      </c>
      <c r="Y112" s="628">
        <f>'ПБ V-1 (fin min)'!AV69</f>
        <v>0</v>
      </c>
      <c r="Z112" s="628">
        <f>'ПБ V-1 (fin min)'!AW69</f>
        <v>0</v>
      </c>
      <c r="AA112" s="624">
        <f t="shared" si="28"/>
        <v>0</v>
      </c>
      <c r="AB112" s="628">
        <f>'ПБ V-2 (fin plan)'!AX69</f>
        <v>0</v>
      </c>
      <c r="AC112" s="628">
        <f>'ПБ V-2 (fin plan)'!AY69</f>
        <v>0</v>
      </c>
      <c r="AD112" s="628">
        <f>'ПБ V-2 (fin plan)'!AZ69</f>
        <v>0</v>
      </c>
      <c r="AE112" s="628">
        <f>'ПБ V-2 (fin plan)'!BA69</f>
        <v>0</v>
      </c>
      <c r="AF112" s="628">
        <f>'ПБ V-2 (fin plan)'!BB69</f>
        <v>0</v>
      </c>
      <c r="AG112" s="628">
        <f>'ПБ V-2 (fin plan)'!BC69</f>
        <v>0</v>
      </c>
      <c r="AH112" s="628">
        <f>'ПБ V-2 (fin plan)'!BD69</f>
        <v>0</v>
      </c>
      <c r="AI112" s="628">
        <f>'ПБ V-2 (fin plan)'!BE69</f>
        <v>0</v>
      </c>
      <c r="AJ112" s="628">
        <f>'ПБ V-2 (fin plan)'!BF69</f>
        <v>0</v>
      </c>
      <c r="AK112" s="628">
        <f>'ПБ V-2 (fin plan)'!BG69</f>
        <v>0</v>
      </c>
      <c r="AL112" s="628">
        <f>'ПБ V-2 (fin plan)'!BH69</f>
        <v>0</v>
      </c>
      <c r="AM112" s="628">
        <f>'ПБ V-2 (fin plan)'!BI69</f>
        <v>0</v>
      </c>
      <c r="AN112" s="624">
        <f t="shared" si="29"/>
        <v>0</v>
      </c>
    </row>
    <row r="116" spans="1:40" ht="18.75" thickBot="1" x14ac:dyDescent="0.4"/>
    <row r="117" spans="1:40" ht="28.5" thickBot="1" x14ac:dyDescent="0.4">
      <c r="A117" s="972"/>
      <c r="B117" s="1449">
        <v>2021</v>
      </c>
      <c r="C117" s="1450"/>
      <c r="D117" s="1450"/>
      <c r="E117" s="1450"/>
      <c r="F117" s="1450"/>
      <c r="G117" s="1450"/>
      <c r="H117" s="1450"/>
      <c r="I117" s="1450"/>
      <c r="J117" s="1450"/>
      <c r="K117" s="1450"/>
      <c r="L117" s="1450"/>
      <c r="M117" s="1450"/>
      <c r="N117" s="1451"/>
      <c r="O117" s="1449">
        <v>2022</v>
      </c>
      <c r="P117" s="1450"/>
      <c r="Q117" s="1450"/>
      <c r="R117" s="1450"/>
      <c r="S117" s="1450"/>
      <c r="T117" s="1450"/>
      <c r="U117" s="1450"/>
      <c r="V117" s="1450"/>
      <c r="W117" s="1450"/>
      <c r="X117" s="1450"/>
      <c r="Y117" s="1450"/>
      <c r="Z117" s="1450"/>
      <c r="AA117" s="1451"/>
      <c r="AB117" s="1449">
        <v>2022</v>
      </c>
      <c r="AC117" s="1450"/>
      <c r="AD117" s="1450"/>
      <c r="AE117" s="1450"/>
      <c r="AF117" s="1450"/>
      <c r="AG117" s="1450"/>
      <c r="AH117" s="1450"/>
      <c r="AI117" s="1450"/>
      <c r="AJ117" s="1450"/>
      <c r="AK117" s="1450"/>
      <c r="AL117" s="1450"/>
      <c r="AM117" s="1450"/>
      <c r="AN117" s="1451"/>
    </row>
    <row r="118" spans="1:40" ht="28.5" thickBot="1" x14ac:dyDescent="0.4">
      <c r="A118" s="973" t="s">
        <v>290</v>
      </c>
      <c r="B118" s="974" t="s">
        <v>228</v>
      </c>
      <c r="C118" s="974" t="s">
        <v>229</v>
      </c>
      <c r="D118" s="974" t="s">
        <v>230</v>
      </c>
      <c r="E118" s="974" t="s">
        <v>231</v>
      </c>
      <c r="F118" s="974" t="s">
        <v>232</v>
      </c>
      <c r="G118" s="974" t="s">
        <v>233</v>
      </c>
      <c r="H118" s="974" t="s">
        <v>234</v>
      </c>
      <c r="I118" s="974" t="s">
        <v>235</v>
      </c>
      <c r="J118" s="974" t="s">
        <v>236</v>
      </c>
      <c r="K118" s="974" t="s">
        <v>237</v>
      </c>
      <c r="L118" s="974" t="s">
        <v>238</v>
      </c>
      <c r="M118" s="974" t="s">
        <v>239</v>
      </c>
      <c r="N118" s="975" t="s">
        <v>255</v>
      </c>
      <c r="O118" s="974" t="s">
        <v>228</v>
      </c>
      <c r="P118" s="974" t="s">
        <v>229</v>
      </c>
      <c r="Q118" s="974" t="s">
        <v>230</v>
      </c>
      <c r="R118" s="974" t="s">
        <v>231</v>
      </c>
      <c r="S118" s="974" t="s">
        <v>232</v>
      </c>
      <c r="T118" s="974" t="s">
        <v>233</v>
      </c>
      <c r="U118" s="974" t="s">
        <v>234</v>
      </c>
      <c r="V118" s="974" t="s">
        <v>235</v>
      </c>
      <c r="W118" s="974" t="s">
        <v>236</v>
      </c>
      <c r="X118" s="974" t="s">
        <v>237</v>
      </c>
      <c r="Y118" s="974" t="s">
        <v>238</v>
      </c>
      <c r="Z118" s="974" t="s">
        <v>239</v>
      </c>
      <c r="AA118" s="975" t="s">
        <v>255</v>
      </c>
      <c r="AB118" s="974" t="s">
        <v>228</v>
      </c>
      <c r="AC118" s="974" t="s">
        <v>229</v>
      </c>
      <c r="AD118" s="974" t="s">
        <v>230</v>
      </c>
      <c r="AE118" s="974" t="s">
        <v>231</v>
      </c>
      <c r="AF118" s="974" t="s">
        <v>232</v>
      </c>
      <c r="AG118" s="974" t="s">
        <v>233</v>
      </c>
      <c r="AH118" s="974" t="s">
        <v>234</v>
      </c>
      <c r="AI118" s="974" t="s">
        <v>235</v>
      </c>
      <c r="AJ118" s="974" t="s">
        <v>236</v>
      </c>
      <c r="AK118" s="974" t="s">
        <v>237</v>
      </c>
      <c r="AL118" s="974" t="s">
        <v>238</v>
      </c>
      <c r="AM118" s="974" t="s">
        <v>239</v>
      </c>
      <c r="AN118" s="975" t="s">
        <v>255</v>
      </c>
    </row>
    <row r="119" spans="1:40" ht="28.5" thickBot="1" x14ac:dyDescent="0.4">
      <c r="A119" s="976" t="s">
        <v>291</v>
      </c>
      <c r="B119" s="977">
        <f>'ПБ V-1 (fin min)'!Z63</f>
        <v>-489.17432775000003</v>
      </c>
      <c r="C119" s="977">
        <f>'ПБ V-1 (fin min)'!AA63</f>
        <v>-157.90361742499999</v>
      </c>
      <c r="D119" s="977">
        <f>'ПБ V-1 (fin min)'!AB63</f>
        <v>-578.28149999999994</v>
      </c>
      <c r="E119" s="977">
        <f>'ПБ V-1 (fin min)'!AC63</f>
        <v>-136.53699898500003</v>
      </c>
      <c r="F119" s="977">
        <f>'ПБ V-1 (fin min)'!AD63</f>
        <v>-440.56386788599997</v>
      </c>
      <c r="G119" s="977">
        <f>'ПБ V-1 (fin min)'!AE63</f>
        <v>-50.595272150000014</v>
      </c>
      <c r="H119" s="977">
        <f>'ПБ V-1 (fin min)'!AF63</f>
        <v>-9.6684277500000064</v>
      </c>
      <c r="I119" s="977">
        <f>'ПБ V-1 (fin min)'!AG63</f>
        <v>64.188545590000004</v>
      </c>
      <c r="J119" s="977">
        <f>'ПБ V-1 (fin min)'!AH63</f>
        <v>-380.64792729999999</v>
      </c>
      <c r="K119" s="977">
        <f>'ПБ V-1 (fin min)'!AI63</f>
        <v>842.75207269999999</v>
      </c>
      <c r="L119" s="977">
        <f>'ПБ V-1 (fin min)'!AJ63</f>
        <v>341.9</v>
      </c>
      <c r="M119" s="977">
        <f>'ПБ V-1 (fin min)'!AK63</f>
        <v>-112.41270213000001</v>
      </c>
      <c r="N119" s="978">
        <f>SUM(B119:M119)</f>
        <v>-1106.944023086</v>
      </c>
      <c r="O119" s="977">
        <f>'ПБ V-1 (fin min)'!AL63</f>
        <v>-1439.5230864499999</v>
      </c>
      <c r="P119" s="977">
        <f>'ПБ V-1 (fin min)'!AM63</f>
        <v>-1130.9108714896252</v>
      </c>
      <c r="Q119" s="977">
        <f>'ПБ V-1 (fin min)'!AN63</f>
        <v>0</v>
      </c>
      <c r="R119" s="977">
        <f>'ПБ V-1 (fin min)'!AO63</f>
        <v>0</v>
      </c>
      <c r="S119" s="977">
        <f>'ПБ V-1 (fin min)'!AP63</f>
        <v>0</v>
      </c>
      <c r="T119" s="977">
        <f>'ПБ V-1 (fin min)'!AQ63</f>
        <v>0</v>
      </c>
      <c r="U119" s="977">
        <f>'ПБ V-1 (fin min)'!AR63</f>
        <v>0</v>
      </c>
      <c r="V119" s="977">
        <f>'ПБ V-1 (fin min)'!AS63</f>
        <v>0</v>
      </c>
      <c r="W119" s="977">
        <f>'ПБ V-1 (fin min)'!AT63</f>
        <v>0</v>
      </c>
      <c r="X119" s="977">
        <f>'ПБ V-1 (fin min)'!AU63</f>
        <v>0</v>
      </c>
      <c r="Y119" s="977">
        <f>'ПБ V-1 (fin min)'!AV63</f>
        <v>0</v>
      </c>
      <c r="Z119" s="977">
        <f>'ПБ V-1 (fin min)'!AW63</f>
        <v>0</v>
      </c>
      <c r="AA119" s="978">
        <f>SUM(O119:Z119)</f>
        <v>-2570.4339579396251</v>
      </c>
      <c r="AB119" s="977">
        <f>'ПБ V-2 (fin plan)'!AX63</f>
        <v>0</v>
      </c>
      <c r="AC119" s="977">
        <f>'ПБ V-2 (fin plan)'!AY63</f>
        <v>0</v>
      </c>
      <c r="AD119" s="977">
        <f>'ПБ V-2 (fin plan)'!AZ63</f>
        <v>0</v>
      </c>
      <c r="AE119" s="977">
        <f>'ПБ V-2 (fin plan)'!BA63</f>
        <v>0</v>
      </c>
      <c r="AF119" s="977">
        <f>'ПБ V-2 (fin plan)'!BB63</f>
        <v>0</v>
      </c>
      <c r="AG119" s="977">
        <f>'ПБ V-2 (fin plan)'!BC63</f>
        <v>0</v>
      </c>
      <c r="AH119" s="977">
        <f>'ПБ V-2 (fin plan)'!BD63</f>
        <v>0</v>
      </c>
      <c r="AI119" s="977">
        <f>'ПБ V-2 (fin plan)'!BE63</f>
        <v>0</v>
      </c>
      <c r="AJ119" s="977">
        <f>'ПБ V-2 (fin plan)'!BF63</f>
        <v>0</v>
      </c>
      <c r="AK119" s="977">
        <f>'ПБ V-2 (fin plan)'!BG63</f>
        <v>0</v>
      </c>
      <c r="AL119" s="977">
        <f>'ПБ V-2 (fin plan)'!BH63</f>
        <v>0</v>
      </c>
      <c r="AM119" s="977">
        <f>'ПБ V-2 (fin plan)'!BI63</f>
        <v>0</v>
      </c>
      <c r="AN119" s="978">
        <f>SUM(AB119:AM119)</f>
        <v>0</v>
      </c>
    </row>
    <row r="120" spans="1:40" ht="28.5" thickBot="1" x14ac:dyDescent="0.4">
      <c r="A120" s="976" t="s">
        <v>292</v>
      </c>
      <c r="B120" s="977">
        <f>'ПБ V-1 (fin min)'!Z79</f>
        <v>-312</v>
      </c>
      <c r="C120" s="977">
        <f>'ПБ V-1 (fin min)'!AA79</f>
        <v>-278</v>
      </c>
      <c r="D120" s="977">
        <f>'ПБ V-1 (fin min)'!AB79</f>
        <v>-1508</v>
      </c>
      <c r="E120" s="977">
        <f>'ПБ V-1 (fin min)'!AC79</f>
        <v>965</v>
      </c>
      <c r="F120" s="977">
        <f>'ПБ V-1 (fin min)'!AD79</f>
        <v>-160</v>
      </c>
      <c r="G120" s="977">
        <f>'ПБ V-1 (fin min)'!AE79</f>
        <v>517.70000000000073</v>
      </c>
      <c r="H120" s="977">
        <f>'ПБ V-1 (fin min)'!AF79</f>
        <v>593.29999999999927</v>
      </c>
      <c r="I120" s="977">
        <f>'ПБ V-1 (fin min)'!AG79</f>
        <v>2663</v>
      </c>
      <c r="J120" s="977">
        <f>'ПБ V-1 (fin min)'!AH79</f>
        <v>-2908</v>
      </c>
      <c r="K120" s="977">
        <f>'ПБ V-1 (fin min)'!AI79</f>
        <v>948</v>
      </c>
      <c r="L120" s="977">
        <f>'ПБ V-1 (fin min)'!AJ79</f>
        <v>1465</v>
      </c>
      <c r="M120" s="977">
        <f>'ПБ V-1 (fin min)'!AK79</f>
        <v>1312.5</v>
      </c>
      <c r="N120" s="978">
        <f>SUM(B120:M120)</f>
        <v>3298.5</v>
      </c>
      <c r="O120" s="977">
        <f>'ПБ V-1 (fin min)'!AL79</f>
        <v>-1762</v>
      </c>
      <c r="P120" s="977">
        <f>'ПБ V-1 (fin min)'!AM79</f>
        <v>-1658</v>
      </c>
      <c r="Q120" s="977">
        <f>'ПБ V-1 (fin min)'!AN79</f>
        <v>679</v>
      </c>
      <c r="R120" s="977">
        <f>'ПБ V-1 (fin min)'!AO79</f>
        <v>-867</v>
      </c>
      <c r="S120" s="977">
        <f>'ПБ V-1 (fin min)'!AP79</f>
        <v>-1921</v>
      </c>
      <c r="T120" s="977">
        <f>'ПБ V-1 (fin min)'!AQ79</f>
        <v>-2220</v>
      </c>
      <c r="U120" s="977">
        <f>'ПБ V-1 (fin min)'!AR79</f>
        <v>-299</v>
      </c>
      <c r="V120" s="977">
        <f>'ПБ V-1 (fin min)'!AS79</f>
        <v>3105</v>
      </c>
      <c r="W120" s="977">
        <f>'ПБ V-1 (fin min)'!AT79</f>
        <v>-1375</v>
      </c>
      <c r="X120" s="977">
        <f>'ПБ V-1 (fin min)'!AU79</f>
        <v>1251</v>
      </c>
      <c r="Y120" s="977">
        <f>'ПБ V-1 (fin min)'!AV79</f>
        <v>2437</v>
      </c>
      <c r="Z120" s="977">
        <f>'ПБ V-1 (fin min)'!AW79</f>
        <v>362</v>
      </c>
      <c r="AA120" s="978">
        <f>SUM(O120:Z120)</f>
        <v>-2268</v>
      </c>
      <c r="AB120" s="977">
        <f>'ПБ V-2 (fin plan)'!AX79</f>
        <v>0</v>
      </c>
      <c r="AC120" s="977">
        <f>'ПБ V-2 (fin plan)'!AY79</f>
        <v>0</v>
      </c>
      <c r="AD120" s="977">
        <f>'ПБ V-2 (fin plan)'!AZ79</f>
        <v>0</v>
      </c>
      <c r="AE120" s="977">
        <f>'ПБ V-2 (fin plan)'!BA79</f>
        <v>0</v>
      </c>
      <c r="AF120" s="977">
        <f>'ПБ V-2 (fin plan)'!BB79</f>
        <v>0</v>
      </c>
      <c r="AG120" s="977">
        <f>'ПБ V-2 (fin plan)'!BC79</f>
        <v>0</v>
      </c>
      <c r="AH120" s="977">
        <f>'ПБ V-2 (fin plan)'!BD79</f>
        <v>0</v>
      </c>
      <c r="AI120" s="977">
        <f>'ПБ V-2 (fin plan)'!BE79</f>
        <v>0</v>
      </c>
      <c r="AJ120" s="977">
        <f>'ПБ V-2 (fin plan)'!BF79</f>
        <v>0</v>
      </c>
      <c r="AK120" s="977">
        <f>'ПБ V-2 (fin plan)'!BG79</f>
        <v>0</v>
      </c>
      <c r="AL120" s="977">
        <f>'ПБ V-2 (fin plan)'!BH79</f>
        <v>0</v>
      </c>
      <c r="AM120" s="977">
        <f>'ПБ V-2 (fin plan)'!BI79</f>
        <v>0</v>
      </c>
      <c r="AN120" s="978">
        <f>SUM(AB120:AM120)</f>
        <v>0</v>
      </c>
    </row>
    <row r="121" spans="1:40" ht="28.5" thickBot="1" x14ac:dyDescent="0.4">
      <c r="A121" s="976" t="s">
        <v>293</v>
      </c>
      <c r="B121" s="977">
        <f>B120</f>
        <v>-312</v>
      </c>
      <c r="C121" s="979">
        <f t="shared" ref="C121:M121" si="30">C120+B121</f>
        <v>-590</v>
      </c>
      <c r="D121" s="979">
        <f t="shared" si="30"/>
        <v>-2098</v>
      </c>
      <c r="E121" s="979">
        <f t="shared" si="30"/>
        <v>-1133</v>
      </c>
      <c r="F121" s="979">
        <f t="shared" si="30"/>
        <v>-1293</v>
      </c>
      <c r="G121" s="979">
        <f t="shared" si="30"/>
        <v>-775.29999999999927</v>
      </c>
      <c r="H121" s="979">
        <f t="shared" si="30"/>
        <v>-182</v>
      </c>
      <c r="I121" s="979">
        <f t="shared" si="30"/>
        <v>2481</v>
      </c>
      <c r="J121" s="979">
        <f t="shared" si="30"/>
        <v>-427</v>
      </c>
      <c r="K121" s="979">
        <f t="shared" si="30"/>
        <v>521</v>
      </c>
      <c r="L121" s="979">
        <f t="shared" si="30"/>
        <v>1986</v>
      </c>
      <c r="M121" s="979">
        <f t="shared" si="30"/>
        <v>3298.5</v>
      </c>
      <c r="N121" s="978"/>
      <c r="O121" s="977">
        <f>O120</f>
        <v>-1762</v>
      </c>
      <c r="P121" s="979">
        <f t="shared" ref="P121:Z121" si="31">P120+O121</f>
        <v>-3420</v>
      </c>
      <c r="Q121" s="979">
        <f t="shared" si="31"/>
        <v>-2741</v>
      </c>
      <c r="R121" s="979">
        <f t="shared" si="31"/>
        <v>-3608</v>
      </c>
      <c r="S121" s="979">
        <f t="shared" si="31"/>
        <v>-5529</v>
      </c>
      <c r="T121" s="979">
        <f t="shared" si="31"/>
        <v>-7749</v>
      </c>
      <c r="U121" s="979">
        <f t="shared" si="31"/>
        <v>-8048</v>
      </c>
      <c r="V121" s="979">
        <f t="shared" si="31"/>
        <v>-4943</v>
      </c>
      <c r="W121" s="979">
        <f t="shared" si="31"/>
        <v>-6318</v>
      </c>
      <c r="X121" s="979">
        <f t="shared" si="31"/>
        <v>-5067</v>
      </c>
      <c r="Y121" s="979">
        <f t="shared" si="31"/>
        <v>-2630</v>
      </c>
      <c r="Z121" s="979">
        <f t="shared" si="31"/>
        <v>-2268</v>
      </c>
      <c r="AA121" s="978"/>
      <c r="AB121" s="977">
        <f>AB120</f>
        <v>0</v>
      </c>
      <c r="AC121" s="979">
        <f t="shared" ref="AC121:AM121" si="32">AC120+AB121</f>
        <v>0</v>
      </c>
      <c r="AD121" s="979">
        <f t="shared" si="32"/>
        <v>0</v>
      </c>
      <c r="AE121" s="979">
        <f t="shared" si="32"/>
        <v>0</v>
      </c>
      <c r="AF121" s="979">
        <f t="shared" si="32"/>
        <v>0</v>
      </c>
      <c r="AG121" s="979">
        <f t="shared" si="32"/>
        <v>0</v>
      </c>
      <c r="AH121" s="979">
        <f t="shared" si="32"/>
        <v>0</v>
      </c>
      <c r="AI121" s="979">
        <f t="shared" si="32"/>
        <v>0</v>
      </c>
      <c r="AJ121" s="979">
        <f t="shared" si="32"/>
        <v>0</v>
      </c>
      <c r="AK121" s="979">
        <f t="shared" si="32"/>
        <v>0</v>
      </c>
      <c r="AL121" s="979">
        <f t="shared" si="32"/>
        <v>0</v>
      </c>
      <c r="AM121" s="979">
        <f t="shared" si="32"/>
        <v>0</v>
      </c>
      <c r="AN121" s="978"/>
    </row>
    <row r="122" spans="1:40" ht="28.5" thickBot="1" x14ac:dyDescent="0.4">
      <c r="A122" s="976" t="s">
        <v>294</v>
      </c>
      <c r="B122" s="980">
        <f>'ПБ V-1 (fin min)'!Z71/1000</f>
        <v>28.821000000000002</v>
      </c>
      <c r="C122" s="980">
        <f>'ПБ V-1 (fin min)'!AA71/1000</f>
        <v>28.542999999999999</v>
      </c>
      <c r="D122" s="980">
        <f>'ПБ V-1 (fin min)'!AB71/1000</f>
        <v>27.035</v>
      </c>
      <c r="E122" s="980">
        <f>'ПБ V-1 (fin min)'!AC71/1000</f>
        <v>28</v>
      </c>
      <c r="F122" s="980">
        <f>'ПБ V-1 (fin min)'!AD71/1000</f>
        <v>27.84</v>
      </c>
      <c r="G122" s="980">
        <f>'ПБ V-1 (fin min)'!AE71/1000</f>
        <v>28.357700000000001</v>
      </c>
      <c r="H122" s="980">
        <f>'ПБ V-1 (fin min)'!AF71/1000</f>
        <v>28.951000000000001</v>
      </c>
      <c r="I122" s="980">
        <f>'ПБ V-1 (fin min)'!AG71/1000</f>
        <v>31.614000000000001</v>
      </c>
      <c r="J122" s="980">
        <f>'ПБ V-1 (fin min)'!AH71/1000</f>
        <v>28.706</v>
      </c>
      <c r="K122" s="980">
        <f>'ПБ V-1 (fin min)'!AI71/1000</f>
        <v>29.654</v>
      </c>
      <c r="L122" s="980">
        <f>'ПБ V-1 (fin min)'!AJ71/1000</f>
        <v>30.597999999999999</v>
      </c>
      <c r="M122" s="980">
        <f>'ПБ V-1 (fin min)'!AK71/1000</f>
        <v>30.445499999999999</v>
      </c>
      <c r="N122" s="978"/>
      <c r="O122" s="980">
        <f>'ПБ V-1 (fin min)'!AL71/1000</f>
        <v>29.086959999999998</v>
      </c>
      <c r="P122" s="980">
        <f>'ПБ V-1 (fin min)'!AM71/1000</f>
        <v>27.552859999999999</v>
      </c>
      <c r="Q122" s="980">
        <f>'ПБ V-1 (fin min)'!AN71/1000</f>
        <v>28.10745</v>
      </c>
      <c r="R122" s="980">
        <f>'ПБ V-1 (fin min)'!AO71/1000</f>
        <v>26.945</v>
      </c>
      <c r="S122" s="980">
        <f>'ПБ V-1 (fin min)'!AP71/1000</f>
        <v>25.102</v>
      </c>
      <c r="T122" s="980">
        <f>'ПБ V-1 (fin min)'!AQ71/1000</f>
        <v>22.802</v>
      </c>
      <c r="U122" s="980">
        <f>'ПБ V-1 (fin min)'!AR71/1000</f>
        <v>22.387</v>
      </c>
      <c r="V122" s="980">
        <f>'ПБ V-1 (fin min)'!AS71/1000</f>
        <v>25.439</v>
      </c>
      <c r="W122" s="980">
        <f>'ПБ V-1 (fin min)'!AT71/1000</f>
        <v>23.931999999999999</v>
      </c>
      <c r="X122" s="980">
        <f>'ПБ V-1 (fin min)'!AU71/1000</f>
        <v>25.245999999999999</v>
      </c>
      <c r="Y122" s="980">
        <f>'ПБ V-1 (fin min)'!AV71/1000</f>
        <v>27.954999999999998</v>
      </c>
      <c r="Z122" s="980">
        <f>'ПБ V-1 (fin min)'!AW71/1000</f>
        <v>28.494</v>
      </c>
      <c r="AA122" s="978"/>
      <c r="AB122" s="980">
        <f>'ПБ V-2 (fin plan)'!AX71/1000</f>
        <v>26.125971021214703</v>
      </c>
      <c r="AC122" s="980">
        <f>'ПБ V-2 (fin plan)'!AY71/1000</f>
        <v>25.801802874122014</v>
      </c>
      <c r="AD122" s="980">
        <f>'ПБ V-2 (fin plan)'!AZ71/1000</f>
        <v>22.785980266788499</v>
      </c>
      <c r="AE122" s="980">
        <f>'ПБ V-2 (fin plan)'!BA71/1000</f>
        <v>23.513180478436546</v>
      </c>
      <c r="AF122" s="980">
        <f>'ПБ V-2 (fin plan)'!BB71/1000</f>
        <v>24.56667333817996</v>
      </c>
      <c r="AG122" s="980">
        <f>'ПБ V-2 (fin plan)'!BC71/1000</f>
        <v>23.346130643873217</v>
      </c>
      <c r="AH122" s="980">
        <f>'ПБ V-2 (fin plan)'!BD71/1000</f>
        <v>24.175707906366682</v>
      </c>
      <c r="AI122" s="980">
        <f>'ПБ V-2 (fin plan)'!BE71/1000</f>
        <v>25.563845531992438</v>
      </c>
      <c r="AJ122" s="980">
        <f>'ПБ V-2 (fin plan)'!BF71/1000</f>
        <v>26.086705229849571</v>
      </c>
      <c r="AK122" s="980">
        <f>'ПБ V-2 (fin plan)'!BG71/1000</f>
        <v>27.349722126993019</v>
      </c>
      <c r="AL122" s="980">
        <f>'ПБ V-2 (fin plan)'!BH71/1000</f>
        <v>27.383026459550162</v>
      </c>
      <c r="AM122" s="980">
        <f>'ПБ V-2 (fin plan)'!BI71/1000</f>
        <v>26.700917343271925</v>
      </c>
      <c r="AN122" s="978"/>
    </row>
    <row r="126" spans="1:40" x14ac:dyDescent="0.35">
      <c r="B126" s="2" t="s">
        <v>228</v>
      </c>
    </row>
    <row r="127" spans="1:40" x14ac:dyDescent="0.35">
      <c r="A127" s="72" t="s">
        <v>241</v>
      </c>
      <c r="B127" s="9" t="str">
        <f>'ПБ V-1 (fin min)'!A4</f>
        <v>A. Рахунок поточних операцій</v>
      </c>
    </row>
    <row r="128" spans="1:40" x14ac:dyDescent="0.35">
      <c r="A128" s="72" t="s">
        <v>242</v>
      </c>
      <c r="B128" s="9" t="str">
        <f>'ПБ V-1 (fin min)'!A23</f>
        <v xml:space="preserve">Виключно приватний сектор </v>
      </c>
    </row>
    <row r="129" spans="1:2" x14ac:dyDescent="0.35">
      <c r="A129" s="72" t="s">
        <v>243</v>
      </c>
      <c r="B129" s="9" t="str">
        <f>'ПБ V-1 (fin min)'!A58</f>
        <v>Общее сальдо операций госсектора (погашения/привлечения) с учетом МВФ</v>
      </c>
    </row>
    <row r="130" spans="1:2" x14ac:dyDescent="0.35">
      <c r="A130" s="72" t="s">
        <v>286</v>
      </c>
      <c r="B130" s="2" t="str">
        <f>'ПБ V-1 (fin min)'!A69</f>
        <v>Чистые государственные привлечения (за вычетом расходов на обслуживание госдолга)</v>
      </c>
    </row>
    <row r="131" spans="1:2" x14ac:dyDescent="0.35">
      <c r="A131" s="72" t="s">
        <v>288</v>
      </c>
      <c r="B131" s="9" t="str">
        <f>'ПБ V-1 (fin min)'!A62</f>
        <v>D. Суммарный приток валюты (= A+B-C)</v>
      </c>
    </row>
    <row r="132" spans="1:2" x14ac:dyDescent="0.35">
      <c r="A132" s="72" t="s">
        <v>289</v>
      </c>
      <c r="B132" s="2" t="str">
        <f>'ПБ V-1 (fin min)'!A93</f>
        <v>Динамика резервов</v>
      </c>
    </row>
    <row r="133" spans="1:2" x14ac:dyDescent="0.35">
      <c r="A133" s="72" t="s">
        <v>245</v>
      </c>
    </row>
    <row r="138" spans="1:2" x14ac:dyDescent="0.35">
      <c r="B138" s="2">
        <v>2021</v>
      </c>
    </row>
    <row r="139" spans="1:2" x14ac:dyDescent="0.35">
      <c r="B139" s="2">
        <v>1</v>
      </c>
    </row>
    <row r="140" spans="1:2" x14ac:dyDescent="0.35">
      <c r="A140" s="72" t="s">
        <v>14</v>
      </c>
      <c r="B140" s="9" t="str">
        <f>'ПБ V-1 (fin min)'!A45</f>
        <v>Погашения</v>
      </c>
    </row>
    <row r="141" spans="1:2" x14ac:dyDescent="0.35">
      <c r="A141" s="72" t="s">
        <v>15</v>
      </c>
      <c r="B141" s="9" t="str">
        <f>'ПБ V-1 (fin min)'!A46</f>
        <v>По внешнему государственному долгу</v>
      </c>
    </row>
    <row r="142" spans="1:2" x14ac:dyDescent="0.35">
      <c r="A142" s="72" t="s">
        <v>16</v>
      </c>
      <c r="B142" s="9" t="str">
        <f>'ПБ V-1 (fin min)'!A47</f>
        <v>По валютным ОВГЗ</v>
      </c>
    </row>
    <row r="143" spans="1:2" x14ac:dyDescent="0.35">
      <c r="A143" s="72" t="s">
        <v>195</v>
      </c>
      <c r="B143" s="9" t="str">
        <f>'ПБ V-1 (fin min)'!A48</f>
        <v>Обслуживание</v>
      </c>
    </row>
    <row r="144" spans="1:2" x14ac:dyDescent="0.35">
      <c r="A144" s="72" t="s">
        <v>15</v>
      </c>
      <c r="B144" s="9" t="str">
        <f>'ПБ V-1 (fin min)'!A49</f>
        <v>По внешнему государственному долгу</v>
      </c>
    </row>
    <row r="145" spans="1:3" x14ac:dyDescent="0.35">
      <c r="A145" s="72" t="s">
        <v>16</v>
      </c>
      <c r="B145" s="9" t="str">
        <f>'ПБ V-1 (fin min)'!A50</f>
        <v>По валютным ОВГЗ</v>
      </c>
    </row>
    <row r="146" spans="1:3" x14ac:dyDescent="0.35">
      <c r="A146" s="72" t="s">
        <v>208</v>
      </c>
      <c r="B146" s="9" t="str">
        <f>'ПБ V-1 (fin min)'!A51</f>
        <v>Валютный эквивалент купонов нерезидентам по ОВДП (грн)</v>
      </c>
    </row>
    <row r="147" spans="1:3" x14ac:dyDescent="0.35">
      <c r="A147" s="72" t="s">
        <v>169</v>
      </c>
      <c r="B147" s="9" t="str">
        <f>'ПБ V-1 (fin min)'!A52</f>
        <v>Привлечения</v>
      </c>
    </row>
    <row r="148" spans="1:3" x14ac:dyDescent="0.35">
      <c r="A148" s="72" t="s">
        <v>18</v>
      </c>
      <c r="B148" s="9" t="str">
        <f>'ПБ V-1 (fin min)'!A53</f>
        <v>Через валютные ОВГЗ, млн долл. США</v>
      </c>
      <c r="C148" s="9" t="str">
        <f>'ПБ V-1 (fin min)'!A53</f>
        <v>Через валютные ОВГЗ, млн долл. США</v>
      </c>
    </row>
    <row r="149" spans="1:3" x14ac:dyDescent="0.35">
      <c r="A149" s="72" t="s">
        <v>209</v>
      </c>
      <c r="B149" s="9" t="str">
        <f>'ПБ V-1 (fin min)'!A56</f>
        <v xml:space="preserve">Другие операции, в том числе: выход нерезидентов из ОВГЗ (грн), закрытые операции, погрешности в учете </v>
      </c>
      <c r="C149" s="9" t="str">
        <f>'ПБ V-1 (fin min)'!A54</f>
        <v>Внешнее финансирование (МВФ, Еврокомиссия и другие)</v>
      </c>
    </row>
    <row r="150" spans="1:3" x14ac:dyDescent="0.35">
      <c r="A150" s="72" t="s">
        <v>213</v>
      </c>
      <c r="C150" s="9" t="str">
        <f>'ПБ V-1 (fin min)'!A55</f>
        <v>Гранты (из вторичных доходов CAB)</v>
      </c>
    </row>
    <row r="151" spans="1:3" x14ac:dyDescent="0.35">
      <c r="A151" s="72" t="s">
        <v>19</v>
      </c>
      <c r="B151" s="9" t="str">
        <f>'ПБ V-1 (fin min)'!A54</f>
        <v>Внешнее финансирование (МВФ, Еврокомиссия и другие)</v>
      </c>
      <c r="C151" s="9" t="str">
        <f>'ПБ V-1 (fin min)'!A56</f>
        <v xml:space="preserve">Другие операции, в том числе: выход нерезидентов из ОВГЗ (грн), закрытые операции, погрешности в учете </v>
      </c>
    </row>
    <row r="152" spans="1:3" x14ac:dyDescent="0.35">
      <c r="A152" s="72" t="s">
        <v>20</v>
      </c>
      <c r="C152" s="9"/>
    </row>
    <row r="153" spans="1:3" x14ac:dyDescent="0.35">
      <c r="A153" s="72" t="s">
        <v>249</v>
      </c>
      <c r="B153" s="9" t="str">
        <f>'ПБ V-1 (fin min)'!A55</f>
        <v>Гранты (из вторичных доходов CAB)</v>
      </c>
      <c r="C153" s="9"/>
    </row>
    <row r="154" spans="1:3" x14ac:dyDescent="0.35">
      <c r="A154" s="72" t="s">
        <v>256</v>
      </c>
      <c r="B154" s="9" t="str">
        <f>'ПБ V-1 (fin min)'!A58</f>
        <v>Общее сальдо операций госсектора (погашения/привлечения) с учетом МВФ</v>
      </c>
    </row>
    <row r="155" spans="1:3" x14ac:dyDescent="0.35">
      <c r="A155" s="72" t="s">
        <v>257</v>
      </c>
    </row>
    <row r="159" spans="1:3" x14ac:dyDescent="0.35">
      <c r="A159" s="72" t="s">
        <v>291</v>
      </c>
      <c r="B159" s="9" t="str">
        <f>'ПБ V-1 (fin min)'!A63</f>
        <v xml:space="preserve">Сальдо давления на открытый рынок </v>
      </c>
    </row>
    <row r="160" spans="1:3" x14ac:dyDescent="0.35">
      <c r="A160" s="72" t="s">
        <v>292</v>
      </c>
      <c r="B160" s="2" t="str">
        <f>'ПБ V-1 (fin min)'!A79</f>
        <v>Сальдо резервов</v>
      </c>
    </row>
    <row r="161" spans="1:2" x14ac:dyDescent="0.35">
      <c r="A161" s="72" t="s">
        <v>293</v>
      </c>
      <c r="B161" s="1176"/>
    </row>
    <row r="162" spans="1:2" x14ac:dyDescent="0.35">
      <c r="A162" s="72" t="s">
        <v>294</v>
      </c>
    </row>
  </sheetData>
  <mergeCells count="4">
    <mergeCell ref="B69:M69"/>
    <mergeCell ref="B117:N117"/>
    <mergeCell ref="O117:AA117"/>
    <mergeCell ref="AB117:AN117"/>
  </mergeCells>
  <pageMargins left="0.7" right="0.7" top="0.75" bottom="0.75" header="0.3" footer="0.3"/>
  <pageSetup paperSize="9" orientation="portrait" horizontalDpi="4294967295" verticalDpi="4294967295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7"/>
  </sheetPr>
  <dimension ref="A1:GV175"/>
  <sheetViews>
    <sheetView zoomScale="55" zoomScaleNormal="55" workbookViewId="0">
      <pane xSplit="25" ySplit="2" topLeftCell="AV29" activePane="bottomRight" state="frozen"/>
      <selection activeCell="V47" sqref="V47"/>
      <selection pane="topRight" activeCell="V47" sqref="V47"/>
      <selection pane="bottomLeft" activeCell="V47" sqref="V47"/>
      <selection pane="bottomRight" activeCell="BI93" sqref="BI93:BV96"/>
    </sheetView>
  </sheetViews>
  <sheetFormatPr defaultRowHeight="18" zeroHeight="1" outlineLevelCol="1" x14ac:dyDescent="0.35"/>
  <cols>
    <col min="1" max="1" width="47.59765625" style="61" customWidth="1"/>
    <col min="2" max="5" width="8.69921875" style="61" hidden="1" customWidth="1" outlineLevel="1"/>
    <col min="6" max="12" width="12.09765625" hidden="1" customWidth="1" outlineLevel="1"/>
    <col min="13" max="13" width="33" hidden="1" customWidth="1" outlineLevel="1"/>
    <col min="14" max="14" width="12.69921875" hidden="1" customWidth="1" outlineLevel="1" collapsed="1"/>
    <col min="15" max="23" width="10" hidden="1" customWidth="1" outlineLevel="1"/>
    <col min="24" max="24" width="12" hidden="1" customWidth="1" outlineLevel="1"/>
    <col min="25" max="25" width="16.09765625" hidden="1" customWidth="1" outlineLevel="1"/>
    <col min="26" max="26" width="14.5" style="391" customWidth="1" collapsed="1"/>
    <col min="27" max="27" width="16" customWidth="1"/>
    <col min="28" max="28" width="11.3984375" customWidth="1"/>
    <col min="29" max="29" width="12" customWidth="1"/>
    <col min="30" max="30" width="13.3984375" customWidth="1"/>
    <col min="31" max="33" width="11.3984375" customWidth="1"/>
    <col min="34" max="34" width="11.69921875" customWidth="1"/>
    <col min="35" max="36" width="12" customWidth="1"/>
    <col min="37" max="37" width="12.69921875" customWidth="1"/>
    <col min="38" max="38" width="9.19921875" customWidth="1"/>
    <col min="39" max="39" width="7.8984375" customWidth="1"/>
    <col min="40" max="40" width="9.09765625" customWidth="1"/>
    <col min="41" max="41" width="7.8984375" customWidth="1"/>
    <col min="42" max="43" width="8.3984375" customWidth="1"/>
    <col min="44" max="44" width="8.59765625" customWidth="1"/>
    <col min="45" max="45" width="8.8984375" customWidth="1"/>
    <col min="46" max="46" width="9.09765625" bestFit="1" customWidth="1"/>
    <col min="47" max="48" width="9.5" bestFit="1" customWidth="1"/>
    <col min="49" max="49" width="11.8984375" customWidth="1"/>
    <col min="50" max="74" width="9.5" customWidth="1"/>
    <col min="75" max="75" width="14.69921875" customWidth="1"/>
    <col min="76" max="78" width="15.09765625" customWidth="1"/>
    <col min="79" max="79" width="11.69921875" style="894" customWidth="1"/>
    <col min="80" max="80" width="12.69921875" style="94" customWidth="1"/>
    <col min="81" max="81" width="11.796875" customWidth="1"/>
    <col min="82" max="82" width="22.5" customWidth="1"/>
  </cols>
  <sheetData>
    <row r="1" spans="1:204" ht="42.6" customHeight="1" x14ac:dyDescent="0.35">
      <c r="A1" s="811" t="s">
        <v>130</v>
      </c>
      <c r="B1" s="1455">
        <v>2019</v>
      </c>
      <c r="C1" s="1455"/>
      <c r="D1" s="1455"/>
      <c r="E1" s="1455"/>
      <c r="F1" s="1455"/>
      <c r="G1" s="1455"/>
      <c r="H1" s="1455"/>
      <c r="I1" s="1455"/>
      <c r="J1" s="1455"/>
      <c r="K1" s="1455"/>
      <c r="L1" s="1455"/>
      <c r="M1" s="1455"/>
      <c r="N1" s="1456">
        <v>2020</v>
      </c>
      <c r="O1" s="1456"/>
      <c r="P1" s="1456"/>
      <c r="Q1" s="1456"/>
      <c r="R1" s="1456"/>
      <c r="S1" s="1456"/>
      <c r="T1" s="1456"/>
      <c r="U1" s="1456"/>
      <c r="V1" s="1456"/>
      <c r="W1" s="1456"/>
      <c r="X1" s="1456"/>
      <c r="Y1" s="1456"/>
      <c r="Z1" s="1456">
        <v>2021</v>
      </c>
      <c r="AA1" s="1456"/>
      <c r="AB1" s="1456"/>
      <c r="AC1" s="1456"/>
      <c r="AD1" s="1456"/>
      <c r="AE1" s="1456"/>
      <c r="AF1" s="1456"/>
      <c r="AG1" s="1456"/>
      <c r="AH1" s="1456"/>
      <c r="AI1" s="1456"/>
      <c r="AJ1" s="1456"/>
      <c r="AK1" s="1457"/>
      <c r="AL1" s="1458">
        <v>2022</v>
      </c>
      <c r="AM1" s="1456"/>
      <c r="AN1" s="1456"/>
      <c r="AO1" s="1456"/>
      <c r="AP1" s="1456"/>
      <c r="AQ1" s="1456"/>
      <c r="AR1" s="1456"/>
      <c r="AS1" s="1456"/>
      <c r="AT1" s="1456"/>
      <c r="AU1" s="1456"/>
      <c r="AV1" s="1456"/>
      <c r="AW1" s="1459"/>
      <c r="AX1" s="1460">
        <v>2023</v>
      </c>
      <c r="AY1" s="1460"/>
      <c r="AZ1" s="1460"/>
      <c r="BA1" s="1460"/>
      <c r="BB1" s="1460"/>
      <c r="BC1" s="1460"/>
      <c r="BD1" s="1460"/>
      <c r="BE1" s="1460"/>
      <c r="BF1" s="1460"/>
      <c r="BG1" s="1460"/>
      <c r="BH1" s="1460"/>
      <c r="BI1" s="1460"/>
      <c r="BJ1" s="1460">
        <v>2024</v>
      </c>
      <c r="BK1" s="1460"/>
      <c r="BL1" s="1460"/>
      <c r="BM1" s="1460"/>
      <c r="BN1" s="1460"/>
      <c r="BO1" s="1460"/>
      <c r="BP1" s="1460"/>
      <c r="BQ1" s="1460"/>
      <c r="BR1" s="1460"/>
      <c r="BS1" s="1460"/>
      <c r="BT1" s="1460"/>
      <c r="BU1" s="1460"/>
      <c r="BV1" s="1350"/>
      <c r="BW1" s="1159"/>
      <c r="BX1" s="1159"/>
      <c r="BY1" s="1179"/>
      <c r="BZ1" s="1179"/>
      <c r="CA1" s="895"/>
      <c r="CB1" s="1143"/>
      <c r="CC1" s="1144"/>
      <c r="CE1" s="1075"/>
    </row>
    <row r="2" spans="1:204" x14ac:dyDescent="0.35">
      <c r="A2" s="811"/>
      <c r="B2" s="1153" t="s">
        <v>68</v>
      </c>
      <c r="C2" s="1153" t="s">
        <v>69</v>
      </c>
      <c r="D2" s="1153" t="s">
        <v>70</v>
      </c>
      <c r="E2" s="1153" t="s">
        <v>71</v>
      </c>
      <c r="F2" s="1153" t="s">
        <v>72</v>
      </c>
      <c r="G2" s="1153" t="s">
        <v>73</v>
      </c>
      <c r="H2" s="1153" t="s">
        <v>74</v>
      </c>
      <c r="I2" s="1153" t="s">
        <v>75</v>
      </c>
      <c r="J2" s="1153" t="s">
        <v>76</v>
      </c>
      <c r="K2" s="1153" t="s">
        <v>77</v>
      </c>
      <c r="L2" s="1153" t="s">
        <v>78</v>
      </c>
      <c r="M2" s="1153" t="s">
        <v>79</v>
      </c>
      <c r="N2" s="1154" t="s">
        <v>68</v>
      </c>
      <c r="O2" s="1154" t="s">
        <v>69</v>
      </c>
      <c r="P2" s="1154" t="s">
        <v>70</v>
      </c>
      <c r="Q2" s="1154" t="s">
        <v>71</v>
      </c>
      <c r="R2" s="1154" t="s">
        <v>72</v>
      </c>
      <c r="S2" s="1154" t="s">
        <v>191</v>
      </c>
      <c r="T2" s="1154" t="s">
        <v>74</v>
      </c>
      <c r="U2" s="1154" t="s">
        <v>75</v>
      </c>
      <c r="V2" s="1154" t="s">
        <v>76</v>
      </c>
      <c r="W2" s="1154" t="s">
        <v>77</v>
      </c>
      <c r="X2" s="1154" t="s">
        <v>78</v>
      </c>
      <c r="Y2" s="1154" t="s">
        <v>79</v>
      </c>
      <c r="Z2" s="1154" t="s">
        <v>68</v>
      </c>
      <c r="AA2" s="1154" t="s">
        <v>69</v>
      </c>
      <c r="AB2" s="1154" t="s">
        <v>70</v>
      </c>
      <c r="AC2" s="1154" t="s">
        <v>71</v>
      </c>
      <c r="AD2" s="1154" t="s">
        <v>72</v>
      </c>
      <c r="AE2" s="1154" t="s">
        <v>191</v>
      </c>
      <c r="AF2" s="1154" t="s">
        <v>74</v>
      </c>
      <c r="AG2" s="1154" t="s">
        <v>75</v>
      </c>
      <c r="AH2" s="1154" t="s">
        <v>76</v>
      </c>
      <c r="AI2" s="1154" t="s">
        <v>77</v>
      </c>
      <c r="AJ2" s="1154" t="s">
        <v>78</v>
      </c>
      <c r="AK2" s="1155" t="s">
        <v>79</v>
      </c>
      <c r="AL2" s="1156" t="s">
        <v>68</v>
      </c>
      <c r="AM2" s="1154" t="s">
        <v>69</v>
      </c>
      <c r="AN2" s="1154" t="s">
        <v>70</v>
      </c>
      <c r="AO2" s="1154" t="s">
        <v>71</v>
      </c>
      <c r="AP2" s="1154" t="s">
        <v>72</v>
      </c>
      <c r="AQ2" s="1154" t="s">
        <v>191</v>
      </c>
      <c r="AR2" s="1154" t="s">
        <v>74</v>
      </c>
      <c r="AS2" s="1154" t="s">
        <v>75</v>
      </c>
      <c r="AT2" s="1154" t="s">
        <v>76</v>
      </c>
      <c r="AU2" s="1154" t="s">
        <v>77</v>
      </c>
      <c r="AV2" s="1154" t="s">
        <v>78</v>
      </c>
      <c r="AW2" s="1157" t="s">
        <v>79</v>
      </c>
      <c r="AX2" s="1159" t="s">
        <v>68</v>
      </c>
      <c r="AY2" s="1159" t="s">
        <v>69</v>
      </c>
      <c r="AZ2" s="1159" t="s">
        <v>70</v>
      </c>
      <c r="BA2" s="1159" t="s">
        <v>71</v>
      </c>
      <c r="BB2" s="1159" t="s">
        <v>72</v>
      </c>
      <c r="BC2" s="1159" t="s">
        <v>191</v>
      </c>
      <c r="BD2" s="1159" t="s">
        <v>74</v>
      </c>
      <c r="BE2" s="1159" t="s">
        <v>75</v>
      </c>
      <c r="BF2" s="1159" t="s">
        <v>76</v>
      </c>
      <c r="BG2" s="1159" t="s">
        <v>77</v>
      </c>
      <c r="BH2" s="1159" t="s">
        <v>78</v>
      </c>
      <c r="BI2" s="1159" t="s">
        <v>79</v>
      </c>
      <c r="BJ2" s="1350" t="s">
        <v>68</v>
      </c>
      <c r="BK2" s="1350" t="s">
        <v>69</v>
      </c>
      <c r="BL2" s="1350" t="s">
        <v>70</v>
      </c>
      <c r="BM2" s="1350" t="s">
        <v>71</v>
      </c>
      <c r="BN2" s="1350" t="s">
        <v>72</v>
      </c>
      <c r="BO2" s="1350" t="s">
        <v>191</v>
      </c>
      <c r="BP2" s="1350" t="s">
        <v>74</v>
      </c>
      <c r="BQ2" s="1350" t="s">
        <v>75</v>
      </c>
      <c r="BR2" s="1350" t="s">
        <v>76</v>
      </c>
      <c r="BS2" s="1350" t="s">
        <v>77</v>
      </c>
      <c r="BT2" s="1350" t="s">
        <v>78</v>
      </c>
      <c r="BU2" s="1350" t="s">
        <v>79</v>
      </c>
      <c r="BV2" s="1350" t="s">
        <v>567</v>
      </c>
      <c r="BW2" s="1159" t="s">
        <v>316</v>
      </c>
      <c r="BX2" s="1159" t="s">
        <v>305</v>
      </c>
      <c r="BY2" s="1179" t="s">
        <v>214</v>
      </c>
      <c r="BZ2" s="1179" t="s">
        <v>133</v>
      </c>
      <c r="CA2" s="896" t="s">
        <v>134</v>
      </c>
      <c r="CB2" s="876" t="s">
        <v>133</v>
      </c>
      <c r="CC2" s="1157" t="s">
        <v>134</v>
      </c>
      <c r="CD2" s="1076"/>
      <c r="CE2" s="1075"/>
    </row>
    <row r="3" spans="1:204" ht="17.850000000000001" customHeight="1" x14ac:dyDescent="0.35">
      <c r="A3" s="787" t="s">
        <v>136</v>
      </c>
      <c r="B3" s="812"/>
      <c r="C3" s="812"/>
      <c r="D3" s="812"/>
      <c r="E3" s="812"/>
      <c r="F3" s="812"/>
      <c r="G3" s="812"/>
      <c r="H3" s="812"/>
      <c r="I3" s="812"/>
      <c r="J3" s="812"/>
      <c r="K3" s="812"/>
      <c r="L3" s="812"/>
      <c r="M3" s="812"/>
      <c r="N3" s="789">
        <f t="shared" ref="N3:AK3" si="0">N4-N23</f>
        <v>-784</v>
      </c>
      <c r="O3" s="789">
        <f t="shared" si="0"/>
        <v>665</v>
      </c>
      <c r="P3" s="789">
        <f t="shared" si="0"/>
        <v>-1338</v>
      </c>
      <c r="Q3" s="789">
        <f t="shared" si="0"/>
        <v>1035</v>
      </c>
      <c r="R3" s="789">
        <f t="shared" si="0"/>
        <v>878</v>
      </c>
      <c r="S3" s="789">
        <f t="shared" si="0"/>
        <v>613</v>
      </c>
      <c r="T3" s="789">
        <f t="shared" si="0"/>
        <v>-310</v>
      </c>
      <c r="U3" s="789">
        <f t="shared" si="0"/>
        <v>608</v>
      </c>
      <c r="V3" s="789">
        <f t="shared" si="0"/>
        <v>-439</v>
      </c>
      <c r="W3" s="789">
        <f t="shared" si="0"/>
        <v>-220</v>
      </c>
      <c r="X3" s="789">
        <f t="shared" si="0"/>
        <v>75</v>
      </c>
      <c r="Y3" s="789">
        <f t="shared" si="0"/>
        <v>326</v>
      </c>
      <c r="Z3" s="789">
        <f t="shared" si="0"/>
        <v>-554</v>
      </c>
      <c r="AA3" s="789">
        <f t="shared" si="0"/>
        <v>-185</v>
      </c>
      <c r="AB3" s="789">
        <f t="shared" si="0"/>
        <v>-461</v>
      </c>
      <c r="AC3" s="789">
        <f t="shared" si="0"/>
        <v>-317</v>
      </c>
      <c r="AD3" s="789">
        <f t="shared" si="0"/>
        <v>-467</v>
      </c>
      <c r="AE3" s="789">
        <f t="shared" si="0"/>
        <v>-181</v>
      </c>
      <c r="AF3" s="789">
        <f t="shared" si="0"/>
        <v>-88</v>
      </c>
      <c r="AG3" s="789">
        <f t="shared" si="0"/>
        <v>215</v>
      </c>
      <c r="AH3" s="789">
        <f t="shared" si="0"/>
        <v>-592</v>
      </c>
      <c r="AI3" s="789">
        <f t="shared" si="0"/>
        <v>584</v>
      </c>
      <c r="AJ3" s="789">
        <f t="shared" si="0"/>
        <v>194</v>
      </c>
      <c r="AK3" s="1024">
        <f t="shared" si="0"/>
        <v>-104</v>
      </c>
      <c r="AL3" s="1002">
        <v>-1277</v>
      </c>
      <c r="AM3" s="1002">
        <v>-1083</v>
      </c>
      <c r="AN3" s="1002">
        <v>-1962</v>
      </c>
      <c r="AO3" s="1002">
        <v>-1661</v>
      </c>
      <c r="AP3" s="1002">
        <v>-2880</v>
      </c>
      <c r="AQ3" s="1002">
        <v>-3960</v>
      </c>
      <c r="AR3" s="1002">
        <v>-126</v>
      </c>
      <c r="AS3" s="1002">
        <v>1666</v>
      </c>
      <c r="AT3" s="1002">
        <v>-1209</v>
      </c>
      <c r="AU3" s="1002">
        <v>-2652</v>
      </c>
      <c r="AV3" s="1002">
        <v>-1979</v>
      </c>
      <c r="AW3" s="1002">
        <v>-3694</v>
      </c>
      <c r="AX3" s="1099">
        <v>-3351</v>
      </c>
      <c r="AY3" s="1099">
        <v>-2698</v>
      </c>
      <c r="AZ3" s="1099">
        <v>-1363</v>
      </c>
      <c r="BA3" s="1099">
        <v>-1373</v>
      </c>
      <c r="BB3" s="1099">
        <v>-1605</v>
      </c>
      <c r="BC3" s="1099">
        <v>-2068.6999999999998</v>
      </c>
      <c r="BD3" s="1099">
        <v>-1928.3</v>
      </c>
      <c r="BE3" s="1099">
        <v>-2671</v>
      </c>
      <c r="BF3" s="1099">
        <v>-2641</v>
      </c>
      <c r="BG3" s="1099">
        <v>-3464</v>
      </c>
      <c r="BH3" s="1099">
        <v>-2237</v>
      </c>
      <c r="BI3" s="1099">
        <v>-3749.080077400155</v>
      </c>
      <c r="BJ3" s="1099">
        <v>-2011.5753518797178</v>
      </c>
      <c r="BK3" s="1099">
        <v>-3159.7590415261193</v>
      </c>
      <c r="BL3" s="1099">
        <v>-3635.8913677690489</v>
      </c>
      <c r="BM3" s="1099">
        <v>-2212.1696488595098</v>
      </c>
      <c r="BN3" s="1099">
        <v>-2821.1646923925919</v>
      </c>
      <c r="BO3" s="1099">
        <v>-2625.2935927062708</v>
      </c>
      <c r="BP3" s="1099">
        <v>-2580.1048470881597</v>
      </c>
      <c r="BQ3" s="1099">
        <v>-1058.0616752003762</v>
      </c>
      <c r="BR3" s="1099">
        <v>-1831.4194549794397</v>
      </c>
      <c r="BS3" s="1099">
        <v>-1425.3734136976675</v>
      </c>
      <c r="BT3" s="1099">
        <v>-1555.4682605215114</v>
      </c>
      <c r="BU3" s="1099">
        <v>-1793.6340384830512</v>
      </c>
      <c r="BV3" s="984">
        <v>-26709.915385103472</v>
      </c>
      <c r="BW3" s="984">
        <v>-29149.080077400155</v>
      </c>
      <c r="BX3" s="984">
        <v>-20817</v>
      </c>
      <c r="BY3" s="1085">
        <v>-20817</v>
      </c>
      <c r="BZ3" s="1198"/>
      <c r="CA3" s="897"/>
      <c r="CB3" s="876"/>
      <c r="CC3" s="1157"/>
      <c r="CD3" s="1076"/>
    </row>
    <row r="4" spans="1:204" s="61" customFormat="1" ht="31.5" customHeight="1" x14ac:dyDescent="0.35">
      <c r="A4" s="787" t="s">
        <v>80</v>
      </c>
      <c r="B4" s="812">
        <v>625</v>
      </c>
      <c r="C4" s="812">
        <v>-249</v>
      </c>
      <c r="D4" s="812">
        <v>-526</v>
      </c>
      <c r="E4" s="812">
        <v>-92</v>
      </c>
      <c r="F4" s="812">
        <v>138</v>
      </c>
      <c r="G4" s="812">
        <v>-518</v>
      </c>
      <c r="H4" s="812">
        <v>-627</v>
      </c>
      <c r="I4" s="812">
        <v>-462</v>
      </c>
      <c r="J4" s="812">
        <v>-1326</v>
      </c>
      <c r="K4" s="812">
        <v>-676</v>
      </c>
      <c r="L4" s="812">
        <v>40</v>
      </c>
      <c r="M4" s="812">
        <v>2351</v>
      </c>
      <c r="N4" s="789">
        <f t="shared" ref="N4:AK4" si="1">N5+N12+N17</f>
        <v>1232</v>
      </c>
      <c r="O4" s="789">
        <f t="shared" si="1"/>
        <v>504</v>
      </c>
      <c r="P4" s="789">
        <f t="shared" si="1"/>
        <v>460</v>
      </c>
      <c r="Q4" s="789">
        <f t="shared" si="1"/>
        <v>1256</v>
      </c>
      <c r="R4" s="789">
        <f t="shared" si="1"/>
        <v>802</v>
      </c>
      <c r="S4" s="789">
        <f t="shared" si="1"/>
        <v>-13</v>
      </c>
      <c r="T4" s="789">
        <f t="shared" si="1"/>
        <v>57</v>
      </c>
      <c r="U4" s="789">
        <f t="shared" si="1"/>
        <v>609</v>
      </c>
      <c r="V4" s="789">
        <f t="shared" si="1"/>
        <v>-160</v>
      </c>
      <c r="W4" s="789">
        <f t="shared" si="1"/>
        <v>645</v>
      </c>
      <c r="X4" s="789">
        <f t="shared" si="1"/>
        <v>724</v>
      </c>
      <c r="Y4" s="789">
        <f t="shared" si="1"/>
        <v>108</v>
      </c>
      <c r="Z4" s="789">
        <f t="shared" si="1"/>
        <v>160</v>
      </c>
      <c r="AA4" s="789">
        <f t="shared" si="1"/>
        <v>94</v>
      </c>
      <c r="AB4" s="789">
        <f t="shared" si="1"/>
        <v>-821</v>
      </c>
      <c r="AC4" s="789">
        <f t="shared" si="1"/>
        <v>14</v>
      </c>
      <c r="AD4" s="789">
        <f t="shared" si="1"/>
        <v>315</v>
      </c>
      <c r="AE4" s="789">
        <f t="shared" si="1"/>
        <v>-181</v>
      </c>
      <c r="AF4" s="789">
        <f t="shared" si="1"/>
        <v>-662</v>
      </c>
      <c r="AG4" s="789">
        <f t="shared" si="1"/>
        <v>-62</v>
      </c>
      <c r="AH4" s="789">
        <f t="shared" si="1"/>
        <v>-910</v>
      </c>
      <c r="AI4" s="939">
        <f t="shared" si="1"/>
        <v>-24</v>
      </c>
      <c r="AJ4" s="939">
        <f t="shared" si="1"/>
        <v>-654</v>
      </c>
      <c r="AK4" s="1025">
        <f t="shared" si="1"/>
        <v>-537</v>
      </c>
      <c r="AL4" s="1003">
        <v>609</v>
      </c>
      <c r="AM4" s="1003">
        <v>21</v>
      </c>
      <c r="AN4" s="1003">
        <v>1387</v>
      </c>
      <c r="AO4" s="1003">
        <v>1203</v>
      </c>
      <c r="AP4" s="1003">
        <v>-203</v>
      </c>
      <c r="AQ4" s="1003">
        <v>-198</v>
      </c>
      <c r="AR4" s="1003">
        <v>1406</v>
      </c>
      <c r="AS4" s="1003">
        <v>1948</v>
      </c>
      <c r="AT4" s="940">
        <v>1688</v>
      </c>
      <c r="AU4" s="940">
        <v>-537</v>
      </c>
      <c r="AV4" s="940">
        <v>375</v>
      </c>
      <c r="AW4" s="940">
        <v>273</v>
      </c>
      <c r="AX4" s="984">
        <v>-1135</v>
      </c>
      <c r="AY4" s="984">
        <v>-705</v>
      </c>
      <c r="AZ4" s="984">
        <v>-11</v>
      </c>
      <c r="BA4" s="984">
        <v>131</v>
      </c>
      <c r="BB4" s="984">
        <v>-226</v>
      </c>
      <c r="BC4" s="984">
        <v>-162</v>
      </c>
      <c r="BD4" s="984">
        <v>-998</v>
      </c>
      <c r="BE4" s="984">
        <v>-2391</v>
      </c>
      <c r="BF4" s="984">
        <v>-1030</v>
      </c>
      <c r="BG4" s="984">
        <v>-912</v>
      </c>
      <c r="BH4" s="984">
        <v>-1513</v>
      </c>
      <c r="BI4" s="984">
        <v>-2061.9064704889984</v>
      </c>
      <c r="BJ4" s="984">
        <v>-968.90596745869527</v>
      </c>
      <c r="BK4" s="984">
        <v>-1031.284664464099</v>
      </c>
      <c r="BL4" s="984">
        <v>-1141.8543699472345</v>
      </c>
      <c r="BM4" s="984">
        <v>-635.27243472870487</v>
      </c>
      <c r="BN4" s="984">
        <v>-949.28253298539471</v>
      </c>
      <c r="BO4" s="984">
        <v>-1037.9411330530136</v>
      </c>
      <c r="BP4" s="984">
        <v>-1275.2105313295233</v>
      </c>
      <c r="BQ4" s="984">
        <v>-408.97078984909263</v>
      </c>
      <c r="BR4" s="984">
        <v>-699.92439374807191</v>
      </c>
      <c r="BS4" s="984">
        <v>-399.59536917299579</v>
      </c>
      <c r="BT4" s="984">
        <v>-261.9028325420536</v>
      </c>
      <c r="BU4" s="984">
        <v>-415.98966648809665</v>
      </c>
      <c r="BV4" s="984">
        <v>-9226.1346857669741</v>
      </c>
      <c r="BW4" s="984">
        <v>-11013.906470488999</v>
      </c>
      <c r="BX4" s="984">
        <v>7972</v>
      </c>
      <c r="BY4" s="1085">
        <v>8005</v>
      </c>
      <c r="BZ4" s="1198">
        <v>6224</v>
      </c>
      <c r="CA4" s="897">
        <v>-1322</v>
      </c>
      <c r="CB4" s="877">
        <f t="shared" ref="CB4:CB20" si="2">SUM(N4:Y4)</f>
        <v>6224</v>
      </c>
      <c r="CC4" s="1069">
        <f>SUM(B4:M4)</f>
        <v>-1322</v>
      </c>
    </row>
    <row r="5" spans="1:204" s="825" customFormat="1" ht="17.850000000000001" customHeight="1" x14ac:dyDescent="0.35">
      <c r="A5" s="821" t="s">
        <v>25</v>
      </c>
      <c r="B5" s="822">
        <v>-83</v>
      </c>
      <c r="C5" s="822">
        <v>-1050</v>
      </c>
      <c r="D5" s="822">
        <v>-702</v>
      </c>
      <c r="E5" s="822">
        <v>-824</v>
      </c>
      <c r="F5" s="822">
        <v>-753</v>
      </c>
      <c r="G5" s="822">
        <v>-1293</v>
      </c>
      <c r="H5" s="822">
        <v>-1505</v>
      </c>
      <c r="I5" s="822">
        <v>-1218</v>
      </c>
      <c r="J5" s="822">
        <v>-1407</v>
      </c>
      <c r="K5" s="822">
        <v>-1405</v>
      </c>
      <c r="L5" s="822">
        <v>-912</v>
      </c>
      <c r="M5" s="822">
        <v>-1231</v>
      </c>
      <c r="N5" s="822">
        <f t="shared" ref="N5:AK5" si="3">N6+N9</f>
        <v>-26</v>
      </c>
      <c r="O5" s="822">
        <f t="shared" si="3"/>
        <v>-633</v>
      </c>
      <c r="P5" s="822">
        <f t="shared" si="3"/>
        <v>-285</v>
      </c>
      <c r="Q5" s="822">
        <f t="shared" si="3"/>
        <v>812</v>
      </c>
      <c r="R5" s="822">
        <f t="shared" si="3"/>
        <v>413</v>
      </c>
      <c r="S5" s="822">
        <f t="shared" si="3"/>
        <v>-345</v>
      </c>
      <c r="T5" s="822">
        <f t="shared" si="3"/>
        <v>-650</v>
      </c>
      <c r="U5" s="822">
        <f t="shared" si="3"/>
        <v>-62</v>
      </c>
      <c r="V5" s="822">
        <f t="shared" si="3"/>
        <v>-391</v>
      </c>
      <c r="W5" s="822">
        <f t="shared" si="3"/>
        <v>-143</v>
      </c>
      <c r="X5" s="822">
        <f t="shared" si="3"/>
        <v>-114</v>
      </c>
      <c r="Y5" s="822">
        <f t="shared" si="3"/>
        <v>-366</v>
      </c>
      <c r="Z5" s="822">
        <f t="shared" si="3"/>
        <v>-74</v>
      </c>
      <c r="AA5" s="822">
        <f t="shared" si="3"/>
        <v>-229</v>
      </c>
      <c r="AB5" s="822">
        <f t="shared" si="3"/>
        <v>-581</v>
      </c>
      <c r="AC5" s="822">
        <f t="shared" si="3"/>
        <v>152</v>
      </c>
      <c r="AD5" s="822">
        <f t="shared" si="3"/>
        <v>446</v>
      </c>
      <c r="AE5" s="1109">
        <f t="shared" si="3"/>
        <v>-182</v>
      </c>
      <c r="AF5" s="1109">
        <f t="shared" si="3"/>
        <v>-630</v>
      </c>
      <c r="AG5" s="1109">
        <f t="shared" si="3"/>
        <v>-1</v>
      </c>
      <c r="AH5" s="1110">
        <f t="shared" si="3"/>
        <v>-323</v>
      </c>
      <c r="AI5" s="1111">
        <f t="shared" si="3"/>
        <v>-184</v>
      </c>
      <c r="AJ5" s="1111">
        <f t="shared" si="3"/>
        <v>-631</v>
      </c>
      <c r="AK5" s="1112">
        <f t="shared" si="3"/>
        <v>-696</v>
      </c>
      <c r="AL5" s="1113">
        <v>-57</v>
      </c>
      <c r="AM5" s="1113">
        <v>-856</v>
      </c>
      <c r="AN5" s="1113">
        <v>-573</v>
      </c>
      <c r="AO5" s="1113">
        <v>-1305</v>
      </c>
      <c r="AP5" s="1113">
        <v>-2371</v>
      </c>
      <c r="AQ5" s="1113">
        <v>-3158</v>
      </c>
      <c r="AR5" s="1113">
        <v>-3124</v>
      </c>
      <c r="AS5" s="1113">
        <v>-2670</v>
      </c>
      <c r="AT5" s="1111">
        <v>-1845</v>
      </c>
      <c r="AU5" s="1111">
        <v>-2391</v>
      </c>
      <c r="AV5" s="1111">
        <v>-3118</v>
      </c>
      <c r="AW5" s="1111">
        <v>-4269</v>
      </c>
      <c r="AX5" s="936">
        <v>-3573</v>
      </c>
      <c r="AY5" s="936">
        <v>-3301</v>
      </c>
      <c r="AZ5" s="936">
        <v>-2685</v>
      </c>
      <c r="BA5" s="936">
        <v>-2359</v>
      </c>
      <c r="BB5" s="936">
        <v>-2557</v>
      </c>
      <c r="BC5" s="936">
        <v>-2878</v>
      </c>
      <c r="BD5" s="936">
        <v>-3566</v>
      </c>
      <c r="BE5" s="936">
        <v>-3567</v>
      </c>
      <c r="BF5" s="936">
        <v>-3452</v>
      </c>
      <c r="BG5" s="936">
        <v>-3449</v>
      </c>
      <c r="BH5" s="936">
        <v>-2729</v>
      </c>
      <c r="BI5" s="936">
        <v>-3697.8092126390966</v>
      </c>
      <c r="BJ5" s="936">
        <v>-2073.4447878266346</v>
      </c>
      <c r="BK5" s="936">
        <v>-2945.7623077977933</v>
      </c>
      <c r="BL5" s="936">
        <v>-3292.1656361225578</v>
      </c>
      <c r="BM5" s="936">
        <v>-2736.8728379771919</v>
      </c>
      <c r="BN5" s="936">
        <v>-3001.7464808995464</v>
      </c>
      <c r="BO5" s="936">
        <v>-3381.0196638843945</v>
      </c>
      <c r="BP5" s="936">
        <v>-3554.9560031888427</v>
      </c>
      <c r="BQ5" s="936">
        <v>-2676.148936440607</v>
      </c>
      <c r="BR5" s="936">
        <v>-2830.0185299755876</v>
      </c>
      <c r="BS5" s="936">
        <v>-2792.9353000563924</v>
      </c>
      <c r="BT5" s="936">
        <v>-2703.7947877273155</v>
      </c>
      <c r="BU5" s="936">
        <v>-2976.9211015168294</v>
      </c>
      <c r="BV5" s="936">
        <v>-34965.786373413692</v>
      </c>
      <c r="BW5" s="936">
        <v>-37813.809212639098</v>
      </c>
      <c r="BX5" s="936">
        <v>-25737</v>
      </c>
      <c r="BY5" s="1180">
        <v>-25943</v>
      </c>
      <c r="BZ5" s="1199">
        <v>-1790</v>
      </c>
      <c r="CA5" s="925"/>
      <c r="CB5" s="878">
        <f t="shared" si="2"/>
        <v>-1790</v>
      </c>
      <c r="CC5" s="1070"/>
      <c r="CD5" s="1077"/>
      <c r="CE5" s="1078"/>
      <c r="CF5" s="1078"/>
      <c r="CG5" s="1077"/>
      <c r="CH5" s="817"/>
    </row>
    <row r="6" spans="1:204" s="832" customFormat="1" ht="17.850000000000001" customHeight="1" x14ac:dyDescent="0.35">
      <c r="A6" s="830" t="s">
        <v>23</v>
      </c>
      <c r="B6" s="799">
        <v>-287</v>
      </c>
      <c r="C6" s="799">
        <v>-1136</v>
      </c>
      <c r="D6" s="799">
        <v>-854</v>
      </c>
      <c r="E6" s="799">
        <v>-1008</v>
      </c>
      <c r="F6" s="799">
        <v>-888</v>
      </c>
      <c r="G6" s="799">
        <v>-1358</v>
      </c>
      <c r="H6" s="799">
        <v>-1569</v>
      </c>
      <c r="I6" s="799">
        <v>-1327</v>
      </c>
      <c r="J6" s="799">
        <v>-1574</v>
      </c>
      <c r="K6" s="799">
        <v>-1622</v>
      </c>
      <c r="L6" s="799">
        <v>-1215</v>
      </c>
      <c r="M6" s="799">
        <v>-1494</v>
      </c>
      <c r="N6" s="799">
        <f t="shared" ref="N6:AH6" si="4">N7-N8</f>
        <v>-142</v>
      </c>
      <c r="O6" s="799">
        <f t="shared" si="4"/>
        <v>-806</v>
      </c>
      <c r="P6" s="799">
        <f t="shared" si="4"/>
        <v>-678</v>
      </c>
      <c r="Q6" s="799">
        <f t="shared" si="4"/>
        <v>319</v>
      </c>
      <c r="R6" s="799">
        <f t="shared" si="4"/>
        <v>-69</v>
      </c>
      <c r="S6" s="799">
        <f t="shared" si="4"/>
        <v>-814</v>
      </c>
      <c r="T6" s="799">
        <f t="shared" si="4"/>
        <v>-997</v>
      </c>
      <c r="U6" s="799">
        <f t="shared" si="4"/>
        <v>-435</v>
      </c>
      <c r="V6" s="799">
        <f t="shared" si="4"/>
        <v>-734</v>
      </c>
      <c r="W6" s="799">
        <f t="shared" si="4"/>
        <v>-629</v>
      </c>
      <c r="X6" s="799">
        <f t="shared" si="4"/>
        <v>-676</v>
      </c>
      <c r="Y6" s="799">
        <f>Y7-Y8</f>
        <v>-943</v>
      </c>
      <c r="Z6" s="799">
        <f>Z7-Z8</f>
        <v>-396</v>
      </c>
      <c r="AA6" s="799">
        <f t="shared" si="4"/>
        <v>-503</v>
      </c>
      <c r="AB6" s="799">
        <f t="shared" si="4"/>
        <v>-893</v>
      </c>
      <c r="AC6" s="799">
        <f t="shared" si="4"/>
        <v>-148</v>
      </c>
      <c r="AD6" s="871">
        <f t="shared" si="4"/>
        <v>188</v>
      </c>
      <c r="AE6" s="933">
        <f t="shared" si="4"/>
        <v>-353</v>
      </c>
      <c r="AF6" s="933">
        <f t="shared" si="4"/>
        <v>-793</v>
      </c>
      <c r="AG6" s="933">
        <f t="shared" si="4"/>
        <v>-163</v>
      </c>
      <c r="AH6" s="933">
        <f t="shared" si="4"/>
        <v>-493</v>
      </c>
      <c r="AI6" s="933">
        <f>AI7-AI8</f>
        <v>-607</v>
      </c>
      <c r="AJ6" s="933">
        <f>AJ7-AJ8</f>
        <v>-1195</v>
      </c>
      <c r="AK6" s="933">
        <f t="shared" ref="AK6" si="5">AK7-AK8</f>
        <v>-1288</v>
      </c>
      <c r="AL6" s="933">
        <v>-297</v>
      </c>
      <c r="AM6" s="933">
        <v>-985</v>
      </c>
      <c r="AN6" s="933">
        <v>300</v>
      </c>
      <c r="AO6" s="933">
        <v>-405</v>
      </c>
      <c r="AP6" s="933">
        <v>-1209</v>
      </c>
      <c r="AQ6" s="933">
        <v>-1897</v>
      </c>
      <c r="AR6" s="933">
        <v>-1919</v>
      </c>
      <c r="AS6" s="933">
        <v>-1546</v>
      </c>
      <c r="AT6" s="933">
        <v>-685</v>
      </c>
      <c r="AU6" s="933">
        <v>-1219</v>
      </c>
      <c r="AV6" s="933">
        <v>-1900</v>
      </c>
      <c r="AW6" s="933">
        <v>-2890</v>
      </c>
      <c r="AX6" s="933">
        <v>-2159</v>
      </c>
      <c r="AY6" s="933">
        <v>-1994</v>
      </c>
      <c r="AZ6" s="933">
        <v>-1813</v>
      </c>
      <c r="BA6" s="933">
        <v>-1730</v>
      </c>
      <c r="BB6" s="933">
        <v>-1963</v>
      </c>
      <c r="BC6" s="933">
        <v>-2332</v>
      </c>
      <c r="BD6" s="933">
        <v>-2961</v>
      </c>
      <c r="BE6" s="933">
        <v>-2979</v>
      </c>
      <c r="BF6" s="933">
        <v>-2798</v>
      </c>
      <c r="BG6" s="933">
        <v>-2861</v>
      </c>
      <c r="BH6" s="933">
        <v>-2147</v>
      </c>
      <c r="BI6" s="933">
        <v>-2830.4748865199613</v>
      </c>
      <c r="BJ6" s="933">
        <v>-1394.7541489057289</v>
      </c>
      <c r="BK6" s="933">
        <v>-2215.5558073461161</v>
      </c>
      <c r="BL6" s="933">
        <v>-2703.4823781782475</v>
      </c>
      <c r="BM6" s="933">
        <v>-2227.4300919035823</v>
      </c>
      <c r="BN6" s="933">
        <v>-2471.454873158998</v>
      </c>
      <c r="BO6" s="933">
        <v>-2832.5187608278079</v>
      </c>
      <c r="BP6" s="933">
        <v>-3022.8983067474264</v>
      </c>
      <c r="BQ6" s="933">
        <v>-2119.5618521300898</v>
      </c>
      <c r="BR6" s="933">
        <v>-2242.8596419497771</v>
      </c>
      <c r="BS6" s="933">
        <v>-2337.8811503610109</v>
      </c>
      <c r="BT6" s="933">
        <v>-2304.3840267453652</v>
      </c>
      <c r="BU6" s="933">
        <v>-2402.8464481264418</v>
      </c>
      <c r="BV6" s="1004">
        <v>-28275.627486380592</v>
      </c>
      <c r="BW6" s="1004">
        <v>-28567.474886519962</v>
      </c>
      <c r="BX6" s="933">
        <v>-14652</v>
      </c>
      <c r="BY6" s="1181">
        <v>-15277</v>
      </c>
      <c r="BZ6" s="1200">
        <v>-6604</v>
      </c>
      <c r="CA6" s="920">
        <v>-14332</v>
      </c>
      <c r="CB6" s="879">
        <f t="shared" si="2"/>
        <v>-6604</v>
      </c>
      <c r="CC6" s="1071">
        <f t="shared" ref="CC6:CC20" si="6">SUM(B6:M6)</f>
        <v>-14332</v>
      </c>
      <c r="CD6" s="113"/>
      <c r="CE6" s="1079"/>
      <c r="CF6" s="113"/>
      <c r="CG6" s="113"/>
      <c r="CH6"/>
    </row>
    <row r="7" spans="1:204" s="840" customFormat="1" ht="17.850000000000001" customHeight="1" x14ac:dyDescent="0.35">
      <c r="A7" s="836" t="s">
        <v>26</v>
      </c>
      <c r="B7" s="837">
        <v>3727</v>
      </c>
      <c r="C7" s="837">
        <v>3561</v>
      </c>
      <c r="D7" s="837">
        <v>3984</v>
      </c>
      <c r="E7" s="837">
        <v>3759</v>
      </c>
      <c r="F7" s="837">
        <v>4181</v>
      </c>
      <c r="G7" s="837">
        <v>3262</v>
      </c>
      <c r="H7" s="837">
        <v>3967</v>
      </c>
      <c r="I7" s="837">
        <v>3954</v>
      </c>
      <c r="J7" s="837">
        <v>3721</v>
      </c>
      <c r="K7" s="837">
        <v>4218</v>
      </c>
      <c r="L7" s="837">
        <v>3946</v>
      </c>
      <c r="M7" s="837">
        <v>3833</v>
      </c>
      <c r="N7" s="839">
        <v>3793</v>
      </c>
      <c r="O7" s="839">
        <v>3614</v>
      </c>
      <c r="P7" s="839">
        <v>3864</v>
      </c>
      <c r="Q7" s="839">
        <v>3621</v>
      </c>
      <c r="R7" s="839">
        <v>3186</v>
      </c>
      <c r="S7" s="839">
        <v>3038</v>
      </c>
      <c r="T7" s="839">
        <v>3354</v>
      </c>
      <c r="U7" s="839">
        <v>3869</v>
      </c>
      <c r="V7" s="839">
        <v>3776</v>
      </c>
      <c r="W7" s="839">
        <v>4225</v>
      </c>
      <c r="X7" s="839">
        <v>4315</v>
      </c>
      <c r="Y7" s="839">
        <v>4509</v>
      </c>
      <c r="Z7" s="839">
        <v>3559</v>
      </c>
      <c r="AA7" s="839">
        <v>4097</v>
      </c>
      <c r="AB7" s="837">
        <v>4826</v>
      </c>
      <c r="AC7" s="837">
        <v>4909</v>
      </c>
      <c r="AD7" s="861">
        <v>5157</v>
      </c>
      <c r="AE7" s="934">
        <v>4894</v>
      </c>
      <c r="AF7" s="934">
        <v>5187</v>
      </c>
      <c r="AG7" s="934">
        <v>5955</v>
      </c>
      <c r="AH7" s="934">
        <v>5997</v>
      </c>
      <c r="AI7" s="934">
        <v>5872</v>
      </c>
      <c r="AJ7" s="934">
        <v>6297</v>
      </c>
      <c r="AK7" s="934">
        <v>6381</v>
      </c>
      <c r="AL7" s="934">
        <v>5589</v>
      </c>
      <c r="AM7" s="934">
        <v>4889</v>
      </c>
      <c r="AN7" s="934">
        <v>2293</v>
      </c>
      <c r="AO7" s="934">
        <v>2375</v>
      </c>
      <c r="AP7" s="934">
        <v>2632</v>
      </c>
      <c r="AQ7" s="934">
        <v>2930</v>
      </c>
      <c r="AR7" s="934">
        <v>2678</v>
      </c>
      <c r="AS7" s="934">
        <v>3123</v>
      </c>
      <c r="AT7" s="934">
        <v>3899</v>
      </c>
      <c r="AU7" s="934">
        <v>3599</v>
      </c>
      <c r="AV7" s="934">
        <v>3593</v>
      </c>
      <c r="AW7" s="934">
        <v>3299</v>
      </c>
      <c r="AX7" s="934">
        <v>2969</v>
      </c>
      <c r="AY7" s="934">
        <v>3154</v>
      </c>
      <c r="AZ7" s="934">
        <v>3667</v>
      </c>
      <c r="BA7" s="934">
        <v>2889</v>
      </c>
      <c r="BB7" s="934">
        <v>2953</v>
      </c>
      <c r="BC7" s="934">
        <v>2810</v>
      </c>
      <c r="BD7" s="934">
        <v>2265</v>
      </c>
      <c r="BE7" s="934">
        <v>2543</v>
      </c>
      <c r="BF7" s="934">
        <v>2557</v>
      </c>
      <c r="BG7" s="934">
        <v>2625</v>
      </c>
      <c r="BH7" s="934">
        <v>2841</v>
      </c>
      <c r="BI7" s="934">
        <v>3194.9933516722654</v>
      </c>
      <c r="BJ7" s="934">
        <v>3382.7961247419639</v>
      </c>
      <c r="BK7" s="934">
        <v>3341.9071300703863</v>
      </c>
      <c r="BL7" s="934">
        <v>3076.3172319355976</v>
      </c>
      <c r="BM7" s="934">
        <v>2778.0376337633825</v>
      </c>
      <c r="BN7" s="934">
        <v>2536.7056909019416</v>
      </c>
      <c r="BO7" s="934">
        <v>2204.5166866455006</v>
      </c>
      <c r="BP7" s="934">
        <v>2282.7182907568204</v>
      </c>
      <c r="BQ7" s="934">
        <v>3162.6490721710247</v>
      </c>
      <c r="BR7" s="934">
        <v>3309.3254276759826</v>
      </c>
      <c r="BS7" s="934">
        <v>3568.9838068050317</v>
      </c>
      <c r="BT7" s="934">
        <v>3653.6022940919875</v>
      </c>
      <c r="BU7" s="934">
        <v>3558.3898645855024</v>
      </c>
      <c r="BV7" s="1004">
        <v>36855.949254145118</v>
      </c>
      <c r="BW7" s="1004">
        <v>34467.993351672267</v>
      </c>
      <c r="BX7" s="1004">
        <v>40899</v>
      </c>
      <c r="BY7" s="1181">
        <v>40912</v>
      </c>
      <c r="BZ7" s="1200">
        <v>45164</v>
      </c>
      <c r="CA7" s="926">
        <v>46113</v>
      </c>
      <c r="CB7" s="880">
        <f t="shared" si="2"/>
        <v>45164</v>
      </c>
      <c r="CC7" s="1072">
        <f t="shared" si="6"/>
        <v>46113</v>
      </c>
      <c r="CD7" s="1102"/>
      <c r="CE7" s="1084"/>
      <c r="CF7" s="275"/>
      <c r="CG7" s="113"/>
      <c r="CH7"/>
    </row>
    <row r="8" spans="1:204" s="840" customFormat="1" ht="17.850000000000001" customHeight="1" x14ac:dyDescent="0.35">
      <c r="A8" s="836" t="s">
        <v>27</v>
      </c>
      <c r="B8" s="837">
        <v>4014</v>
      </c>
      <c r="C8" s="837">
        <v>4697</v>
      </c>
      <c r="D8" s="837">
        <v>4838</v>
      </c>
      <c r="E8" s="837">
        <v>4767</v>
      </c>
      <c r="F8" s="837">
        <v>5069</v>
      </c>
      <c r="G8" s="837">
        <v>4620</v>
      </c>
      <c r="H8" s="837">
        <v>5536</v>
      </c>
      <c r="I8" s="837">
        <v>5281</v>
      </c>
      <c r="J8" s="837">
        <v>5295</v>
      </c>
      <c r="K8" s="837">
        <v>5840</v>
      </c>
      <c r="L8" s="837">
        <v>5161</v>
      </c>
      <c r="M8" s="837">
        <v>5327</v>
      </c>
      <c r="N8" s="839">
        <v>3935</v>
      </c>
      <c r="O8" s="839">
        <v>4420</v>
      </c>
      <c r="P8" s="839">
        <v>4542</v>
      </c>
      <c r="Q8" s="839">
        <v>3302</v>
      </c>
      <c r="R8" s="839">
        <v>3255</v>
      </c>
      <c r="S8" s="839">
        <v>3852</v>
      </c>
      <c r="T8" s="839">
        <v>4351</v>
      </c>
      <c r="U8" s="839">
        <v>4304</v>
      </c>
      <c r="V8" s="839">
        <v>4510</v>
      </c>
      <c r="W8" s="839">
        <v>4854</v>
      </c>
      <c r="X8" s="839">
        <v>4991</v>
      </c>
      <c r="Y8" s="839">
        <v>5452</v>
      </c>
      <c r="Z8" s="839">
        <v>3955</v>
      </c>
      <c r="AA8" s="839">
        <v>4600</v>
      </c>
      <c r="AB8" s="841">
        <v>5719</v>
      </c>
      <c r="AC8" s="841">
        <v>5057</v>
      </c>
      <c r="AD8" s="862">
        <v>4969</v>
      </c>
      <c r="AE8" s="932">
        <v>5247</v>
      </c>
      <c r="AF8" s="932">
        <v>5980</v>
      </c>
      <c r="AG8" s="932">
        <v>6118</v>
      </c>
      <c r="AH8" s="932">
        <v>6490</v>
      </c>
      <c r="AI8" s="932">
        <v>6479</v>
      </c>
      <c r="AJ8" s="932">
        <v>7492</v>
      </c>
      <c r="AK8" s="932">
        <v>7669</v>
      </c>
      <c r="AL8" s="932">
        <v>5886</v>
      </c>
      <c r="AM8" s="932">
        <v>5874</v>
      </c>
      <c r="AN8" s="932">
        <v>1993</v>
      </c>
      <c r="AO8" s="932">
        <v>2780</v>
      </c>
      <c r="AP8" s="932">
        <v>3841</v>
      </c>
      <c r="AQ8" s="932">
        <v>4827</v>
      </c>
      <c r="AR8" s="932">
        <v>4597</v>
      </c>
      <c r="AS8" s="932">
        <v>4669</v>
      </c>
      <c r="AT8" s="932">
        <v>4584</v>
      </c>
      <c r="AU8" s="932">
        <v>4818</v>
      </c>
      <c r="AV8" s="932">
        <v>5493</v>
      </c>
      <c r="AW8" s="932">
        <v>6189</v>
      </c>
      <c r="AX8" s="932">
        <v>5128</v>
      </c>
      <c r="AY8" s="932">
        <v>5148</v>
      </c>
      <c r="AZ8" s="932">
        <v>5480</v>
      </c>
      <c r="BA8" s="932">
        <v>4619</v>
      </c>
      <c r="BB8" s="932">
        <v>4916</v>
      </c>
      <c r="BC8" s="932">
        <v>5142</v>
      </c>
      <c r="BD8" s="932">
        <v>5226</v>
      </c>
      <c r="BE8" s="932">
        <v>5522</v>
      </c>
      <c r="BF8" s="932">
        <v>5355</v>
      </c>
      <c r="BG8" s="932">
        <v>5486</v>
      </c>
      <c r="BH8" s="932">
        <v>4988</v>
      </c>
      <c r="BI8" s="932">
        <v>6025.4682381922266</v>
      </c>
      <c r="BJ8" s="932">
        <v>4777.5502736476928</v>
      </c>
      <c r="BK8" s="932">
        <v>5557.4629374165024</v>
      </c>
      <c r="BL8" s="932">
        <v>5779.7996101138451</v>
      </c>
      <c r="BM8" s="932">
        <v>5005.4677256669647</v>
      </c>
      <c r="BN8" s="932">
        <v>5008.1605640609396</v>
      </c>
      <c r="BO8" s="932">
        <v>5037.0354474733085</v>
      </c>
      <c r="BP8" s="932">
        <v>5305.6165975042468</v>
      </c>
      <c r="BQ8" s="932">
        <v>5282.2109243011146</v>
      </c>
      <c r="BR8" s="932">
        <v>5552.1850696257598</v>
      </c>
      <c r="BS8" s="932">
        <v>5906.8649571660426</v>
      </c>
      <c r="BT8" s="932">
        <v>5957.9863208373527</v>
      </c>
      <c r="BU8" s="932">
        <v>5961.2363127119443</v>
      </c>
      <c r="BV8" s="1004">
        <v>65131.576740525714</v>
      </c>
      <c r="BW8" s="1004">
        <v>63035.468238192225</v>
      </c>
      <c r="BX8" s="1004">
        <v>55551</v>
      </c>
      <c r="BY8" s="1181">
        <v>69775</v>
      </c>
      <c r="BZ8" s="1200">
        <v>51768</v>
      </c>
      <c r="CA8" s="921">
        <v>60445</v>
      </c>
      <c r="CB8" s="880">
        <f t="shared" si="2"/>
        <v>51768</v>
      </c>
      <c r="CC8" s="1072">
        <f t="shared" si="6"/>
        <v>60445</v>
      </c>
      <c r="CD8" s="1102"/>
      <c r="CE8" s="1084"/>
      <c r="CF8" s="113"/>
      <c r="CG8" s="113"/>
      <c r="CH8"/>
    </row>
    <row r="9" spans="1:204" s="832" customFormat="1" ht="17.850000000000001" customHeight="1" x14ac:dyDescent="0.35">
      <c r="A9" s="830" t="s">
        <v>24</v>
      </c>
      <c r="B9" s="799">
        <v>204</v>
      </c>
      <c r="C9" s="799">
        <v>86</v>
      </c>
      <c r="D9" s="799">
        <v>152</v>
      </c>
      <c r="E9" s="799">
        <v>184</v>
      </c>
      <c r="F9" s="799">
        <v>135</v>
      </c>
      <c r="G9" s="799">
        <v>65</v>
      </c>
      <c r="H9" s="799">
        <v>64</v>
      </c>
      <c r="I9" s="799">
        <v>109</v>
      </c>
      <c r="J9" s="799">
        <v>167</v>
      </c>
      <c r="K9" s="799">
        <v>217</v>
      </c>
      <c r="L9" s="799">
        <v>303</v>
      </c>
      <c r="M9" s="799">
        <v>263</v>
      </c>
      <c r="N9" s="799">
        <f t="shared" ref="N9:AK9" si="7">N10-N11</f>
        <v>116</v>
      </c>
      <c r="O9" s="799">
        <f t="shared" si="7"/>
        <v>173</v>
      </c>
      <c r="P9" s="799">
        <f t="shared" si="7"/>
        <v>393</v>
      </c>
      <c r="Q9" s="799">
        <f t="shared" si="7"/>
        <v>493</v>
      </c>
      <c r="R9" s="799">
        <f t="shared" si="7"/>
        <v>482</v>
      </c>
      <c r="S9" s="799">
        <f t="shared" si="7"/>
        <v>469</v>
      </c>
      <c r="T9" s="799">
        <f t="shared" si="7"/>
        <v>347</v>
      </c>
      <c r="U9" s="799">
        <f t="shared" si="7"/>
        <v>373</v>
      </c>
      <c r="V9" s="799">
        <f t="shared" si="7"/>
        <v>343</v>
      </c>
      <c r="W9" s="799">
        <f t="shared" si="7"/>
        <v>486</v>
      </c>
      <c r="X9" s="799">
        <f t="shared" si="7"/>
        <v>562</v>
      </c>
      <c r="Y9" s="799">
        <f>Y10-Y11</f>
        <v>577</v>
      </c>
      <c r="Z9" s="799">
        <f t="shared" si="7"/>
        <v>322</v>
      </c>
      <c r="AA9" s="799">
        <f t="shared" si="7"/>
        <v>274</v>
      </c>
      <c r="AB9" s="799">
        <f t="shared" si="7"/>
        <v>312</v>
      </c>
      <c r="AC9" s="799">
        <f t="shared" si="7"/>
        <v>300</v>
      </c>
      <c r="AD9" s="871">
        <f t="shared" si="7"/>
        <v>258</v>
      </c>
      <c r="AE9" s="933">
        <f t="shared" si="7"/>
        <v>171</v>
      </c>
      <c r="AF9" s="933">
        <f t="shared" si="7"/>
        <v>163</v>
      </c>
      <c r="AG9" s="933">
        <f t="shared" si="7"/>
        <v>162</v>
      </c>
      <c r="AH9" s="933">
        <f t="shared" si="7"/>
        <v>170</v>
      </c>
      <c r="AI9" s="933">
        <f t="shared" si="7"/>
        <v>423</v>
      </c>
      <c r="AJ9" s="933">
        <f t="shared" si="7"/>
        <v>564</v>
      </c>
      <c r="AK9" s="933">
        <f t="shared" si="7"/>
        <v>592</v>
      </c>
      <c r="AL9" s="933">
        <v>240</v>
      </c>
      <c r="AM9" s="933">
        <v>129</v>
      </c>
      <c r="AN9" s="933">
        <v>-873</v>
      </c>
      <c r="AO9" s="933">
        <v>-900</v>
      </c>
      <c r="AP9" s="933">
        <v>-1162</v>
      </c>
      <c r="AQ9" s="933">
        <v>-1261</v>
      </c>
      <c r="AR9" s="933">
        <v>-1205</v>
      </c>
      <c r="AS9" s="933">
        <v>-1124</v>
      </c>
      <c r="AT9" s="933">
        <v>-1160</v>
      </c>
      <c r="AU9" s="933">
        <v>-1172</v>
      </c>
      <c r="AV9" s="933">
        <v>-1218</v>
      </c>
      <c r="AW9" s="933">
        <v>-1379</v>
      </c>
      <c r="AX9" s="933">
        <v>-1414</v>
      </c>
      <c r="AY9" s="933">
        <v>-1307</v>
      </c>
      <c r="AZ9" s="933">
        <v>-872</v>
      </c>
      <c r="BA9" s="933">
        <v>-629</v>
      </c>
      <c r="BB9" s="933">
        <v>-594</v>
      </c>
      <c r="BC9" s="933">
        <v>-546</v>
      </c>
      <c r="BD9" s="933">
        <v>-605</v>
      </c>
      <c r="BE9" s="933">
        <v>-588</v>
      </c>
      <c r="BF9" s="933">
        <v>-654</v>
      </c>
      <c r="BG9" s="933">
        <v>-588</v>
      </c>
      <c r="BH9" s="933">
        <v>-582</v>
      </c>
      <c r="BI9" s="933">
        <v>-867.33432611913554</v>
      </c>
      <c r="BJ9" s="933">
        <v>-678.69063892090571</v>
      </c>
      <c r="BK9" s="933">
        <v>-730.2065004516769</v>
      </c>
      <c r="BL9" s="933">
        <v>-588.68325794431007</v>
      </c>
      <c r="BM9" s="933">
        <v>-509.44274607360967</v>
      </c>
      <c r="BN9" s="933">
        <v>-530.29160774054844</v>
      </c>
      <c r="BO9" s="933">
        <v>-548.50090305658659</v>
      </c>
      <c r="BP9" s="933">
        <v>-532.05769644141628</v>
      </c>
      <c r="BQ9" s="933">
        <v>-556.58708431051696</v>
      </c>
      <c r="BR9" s="933">
        <v>-587.15888802581071</v>
      </c>
      <c r="BS9" s="933">
        <v>-455.05414969538174</v>
      </c>
      <c r="BT9" s="933">
        <v>-399.41076098195003</v>
      </c>
      <c r="BU9" s="933">
        <v>-574.07465339038754</v>
      </c>
      <c r="BV9" s="1004">
        <v>-6690.1588870331007</v>
      </c>
      <c r="BW9" s="1004">
        <v>-9246.3343261191349</v>
      </c>
      <c r="BX9" s="933">
        <v>-11085</v>
      </c>
      <c r="BY9" s="1181">
        <v>3711</v>
      </c>
      <c r="BZ9" s="1200">
        <v>4814</v>
      </c>
      <c r="CA9" s="920">
        <v>1949</v>
      </c>
      <c r="CB9" s="879">
        <f t="shared" si="2"/>
        <v>4814</v>
      </c>
      <c r="CC9" s="1071">
        <f t="shared" si="6"/>
        <v>1949</v>
      </c>
      <c r="CD9" s="343"/>
      <c r="CE9" s="1081"/>
      <c r="CF9" s="113"/>
      <c r="CG9" s="113"/>
      <c r="CH9"/>
    </row>
    <row r="10" spans="1:204" s="840" customFormat="1" ht="17.850000000000001" customHeight="1" x14ac:dyDescent="0.35">
      <c r="A10" s="836" t="s">
        <v>28</v>
      </c>
      <c r="B10" s="837">
        <v>1288</v>
      </c>
      <c r="C10" s="837">
        <v>1217</v>
      </c>
      <c r="D10" s="837">
        <v>1307</v>
      </c>
      <c r="E10" s="837">
        <v>1385</v>
      </c>
      <c r="F10" s="837">
        <v>1477</v>
      </c>
      <c r="G10" s="837">
        <v>1436</v>
      </c>
      <c r="H10" s="837">
        <v>1554</v>
      </c>
      <c r="I10" s="837">
        <v>1529</v>
      </c>
      <c r="J10" s="837">
        <v>1559</v>
      </c>
      <c r="K10" s="837">
        <v>1439</v>
      </c>
      <c r="L10" s="837">
        <v>1495</v>
      </c>
      <c r="M10" s="837">
        <v>1622</v>
      </c>
      <c r="N10" s="839">
        <v>1308</v>
      </c>
      <c r="O10" s="839">
        <v>1356</v>
      </c>
      <c r="P10" s="839">
        <v>1346</v>
      </c>
      <c r="Q10" s="839">
        <v>1134</v>
      </c>
      <c r="R10" s="839">
        <v>1098</v>
      </c>
      <c r="S10" s="839">
        <v>1138</v>
      </c>
      <c r="T10" s="839">
        <v>1298</v>
      </c>
      <c r="U10" s="839">
        <v>1277</v>
      </c>
      <c r="V10" s="839">
        <v>1282</v>
      </c>
      <c r="W10" s="839">
        <v>1323</v>
      </c>
      <c r="X10" s="839">
        <v>1347</v>
      </c>
      <c r="Y10" s="839">
        <v>1602</v>
      </c>
      <c r="Z10" s="839">
        <v>1227</v>
      </c>
      <c r="AA10" s="839">
        <v>1234</v>
      </c>
      <c r="AB10" s="837">
        <v>1342</v>
      </c>
      <c r="AC10" s="837">
        <v>1440</v>
      </c>
      <c r="AD10" s="861">
        <v>1354</v>
      </c>
      <c r="AE10" s="934">
        <v>1431</v>
      </c>
      <c r="AF10" s="934">
        <v>1567</v>
      </c>
      <c r="AG10" s="934">
        <v>1621</v>
      </c>
      <c r="AH10" s="934">
        <v>1598</v>
      </c>
      <c r="AI10" s="934">
        <v>1768</v>
      </c>
      <c r="AJ10" s="934">
        <v>1826</v>
      </c>
      <c r="AK10" s="934">
        <v>2048</v>
      </c>
      <c r="AL10" s="934">
        <v>1756</v>
      </c>
      <c r="AM10" s="934">
        <v>1778</v>
      </c>
      <c r="AN10" s="934">
        <v>1100</v>
      </c>
      <c r="AO10" s="934">
        <v>1212</v>
      </c>
      <c r="AP10" s="934">
        <v>1293</v>
      </c>
      <c r="AQ10" s="934">
        <v>1236</v>
      </c>
      <c r="AR10" s="934">
        <v>1272</v>
      </c>
      <c r="AS10" s="934">
        <v>1324</v>
      </c>
      <c r="AT10" s="934">
        <v>1299</v>
      </c>
      <c r="AU10" s="934">
        <v>1320</v>
      </c>
      <c r="AV10" s="934">
        <v>1392</v>
      </c>
      <c r="AW10" s="934">
        <v>1636</v>
      </c>
      <c r="AX10" s="934">
        <v>1277</v>
      </c>
      <c r="AY10" s="934">
        <v>1315</v>
      </c>
      <c r="AZ10" s="934">
        <v>1387</v>
      </c>
      <c r="BA10" s="934">
        <v>1276</v>
      </c>
      <c r="BB10" s="934">
        <v>1352</v>
      </c>
      <c r="BC10" s="934">
        <v>1363</v>
      </c>
      <c r="BD10" s="934">
        <v>1370</v>
      </c>
      <c r="BE10" s="934">
        <v>1391</v>
      </c>
      <c r="BF10" s="934">
        <v>1283</v>
      </c>
      <c r="BG10" s="934">
        <v>1360</v>
      </c>
      <c r="BH10" s="934">
        <v>1423</v>
      </c>
      <c r="BI10" s="934">
        <v>1394.6049390718174</v>
      </c>
      <c r="BJ10" s="934">
        <v>1212.1763998932752</v>
      </c>
      <c r="BK10" s="934">
        <v>1186.9162890555858</v>
      </c>
      <c r="BL10" s="934">
        <v>1287.5837651089178</v>
      </c>
      <c r="BM10" s="934">
        <v>1334.6237913867844</v>
      </c>
      <c r="BN10" s="934">
        <v>1297.3430707181385</v>
      </c>
      <c r="BO10" s="934">
        <v>1337.6704049136683</v>
      </c>
      <c r="BP10" s="934">
        <v>1395.0109483497949</v>
      </c>
      <c r="BQ10" s="934">
        <v>1397.2832558078705</v>
      </c>
      <c r="BR10" s="934">
        <v>1398.6193329978946</v>
      </c>
      <c r="BS10" s="934">
        <v>1452.1851520500602</v>
      </c>
      <c r="BT10" s="934">
        <v>1502.6420698252132</v>
      </c>
      <c r="BU10" s="934">
        <v>1655.1786025544411</v>
      </c>
      <c r="BV10" s="1004">
        <v>16457.233082661645</v>
      </c>
      <c r="BW10" s="1004">
        <v>16191.604939071818</v>
      </c>
      <c r="BX10" s="1004">
        <v>16618</v>
      </c>
      <c r="BY10" s="1181">
        <v>18456</v>
      </c>
      <c r="BZ10" s="1200">
        <v>15509</v>
      </c>
      <c r="CA10" s="922">
        <v>17308</v>
      </c>
      <c r="CB10" s="880">
        <f t="shared" si="2"/>
        <v>15509</v>
      </c>
      <c r="CC10" s="1072">
        <f t="shared" si="6"/>
        <v>17308</v>
      </c>
      <c r="CD10" s="113"/>
      <c r="CE10" s="1081"/>
      <c r="CF10" s="113"/>
      <c r="CG10" s="113"/>
      <c r="CH10"/>
    </row>
    <row r="11" spans="1:204" s="840" customFormat="1" ht="17.850000000000001" customHeight="1" x14ac:dyDescent="0.35">
      <c r="A11" s="836" t="s">
        <v>29</v>
      </c>
      <c r="B11" s="837">
        <v>1084</v>
      </c>
      <c r="C11" s="837">
        <v>1131</v>
      </c>
      <c r="D11" s="837">
        <v>1155</v>
      </c>
      <c r="E11" s="837">
        <v>1201</v>
      </c>
      <c r="F11" s="837">
        <v>1342</v>
      </c>
      <c r="G11" s="837">
        <v>1371</v>
      </c>
      <c r="H11" s="837">
        <v>1490</v>
      </c>
      <c r="I11" s="837">
        <v>1420</v>
      </c>
      <c r="J11" s="837">
        <v>1392</v>
      </c>
      <c r="K11" s="837">
        <v>1222</v>
      </c>
      <c r="L11" s="837">
        <v>1192</v>
      </c>
      <c r="M11" s="837">
        <v>1359</v>
      </c>
      <c r="N11" s="839">
        <v>1192</v>
      </c>
      <c r="O11" s="839">
        <v>1183</v>
      </c>
      <c r="P11" s="839">
        <v>953</v>
      </c>
      <c r="Q11" s="839">
        <v>641</v>
      </c>
      <c r="R11" s="839">
        <v>616</v>
      </c>
      <c r="S11" s="839">
        <v>669</v>
      </c>
      <c r="T11" s="839">
        <v>951</v>
      </c>
      <c r="U11" s="839">
        <v>904</v>
      </c>
      <c r="V11" s="839">
        <v>939</v>
      </c>
      <c r="W11" s="839">
        <v>837</v>
      </c>
      <c r="X11" s="839">
        <v>785</v>
      </c>
      <c r="Y11" s="839">
        <v>1025</v>
      </c>
      <c r="Z11" s="839">
        <v>905</v>
      </c>
      <c r="AA11" s="839">
        <v>960</v>
      </c>
      <c r="AB11" s="837">
        <v>1030</v>
      </c>
      <c r="AC11" s="837">
        <v>1140</v>
      </c>
      <c r="AD11" s="861">
        <v>1096</v>
      </c>
      <c r="AE11" s="934">
        <v>1260</v>
      </c>
      <c r="AF11" s="934">
        <v>1404</v>
      </c>
      <c r="AG11" s="934">
        <v>1459</v>
      </c>
      <c r="AH11" s="934">
        <v>1428</v>
      </c>
      <c r="AI11" s="934">
        <v>1345</v>
      </c>
      <c r="AJ11" s="934">
        <v>1262</v>
      </c>
      <c r="AK11" s="934">
        <v>1456</v>
      </c>
      <c r="AL11" s="934">
        <v>1516</v>
      </c>
      <c r="AM11" s="934">
        <v>1649</v>
      </c>
      <c r="AN11" s="934">
        <v>1973</v>
      </c>
      <c r="AO11" s="934">
        <v>2112</v>
      </c>
      <c r="AP11" s="934">
        <v>2455</v>
      </c>
      <c r="AQ11" s="934">
        <v>2497</v>
      </c>
      <c r="AR11" s="934">
        <v>2477</v>
      </c>
      <c r="AS11" s="934">
        <v>2448</v>
      </c>
      <c r="AT11" s="934">
        <v>2459</v>
      </c>
      <c r="AU11" s="934">
        <v>2492</v>
      </c>
      <c r="AV11" s="934">
        <v>2610</v>
      </c>
      <c r="AW11" s="934">
        <v>3015</v>
      </c>
      <c r="AX11" s="934">
        <v>2691</v>
      </c>
      <c r="AY11" s="934">
        <v>2622</v>
      </c>
      <c r="AZ11" s="934">
        <v>2259</v>
      </c>
      <c r="BA11" s="934">
        <v>1905</v>
      </c>
      <c r="BB11" s="934">
        <v>1946</v>
      </c>
      <c r="BC11" s="934">
        <v>1909</v>
      </c>
      <c r="BD11" s="934">
        <v>1975</v>
      </c>
      <c r="BE11" s="934">
        <v>1979</v>
      </c>
      <c r="BF11" s="934">
        <v>1937</v>
      </c>
      <c r="BG11" s="934">
        <v>1948</v>
      </c>
      <c r="BH11" s="934">
        <v>2005</v>
      </c>
      <c r="BI11" s="934">
        <v>2261.9392651909529</v>
      </c>
      <c r="BJ11" s="934">
        <v>1890.8670388141809</v>
      </c>
      <c r="BK11" s="934">
        <v>1917.1227895072627</v>
      </c>
      <c r="BL11" s="934">
        <v>1876.2670230532278</v>
      </c>
      <c r="BM11" s="934">
        <v>1844.0665374603941</v>
      </c>
      <c r="BN11" s="934">
        <v>1827.6346784586869</v>
      </c>
      <c r="BO11" s="934">
        <v>1886.1713079702549</v>
      </c>
      <c r="BP11" s="934">
        <v>1927.0686447912112</v>
      </c>
      <c r="BQ11" s="934">
        <v>1953.8703401183875</v>
      </c>
      <c r="BR11" s="934">
        <v>1985.7782210237053</v>
      </c>
      <c r="BS11" s="934">
        <v>1907.2393017454419</v>
      </c>
      <c r="BT11" s="934">
        <v>1902.0528308071632</v>
      </c>
      <c r="BU11" s="934">
        <v>2229.2532559448287</v>
      </c>
      <c r="BV11" s="1004">
        <v>23147.391969694745</v>
      </c>
      <c r="BW11" s="1004">
        <v>25437.939265190951</v>
      </c>
      <c r="BX11" s="1004">
        <v>27703</v>
      </c>
      <c r="BY11" s="1181">
        <v>14745</v>
      </c>
      <c r="BZ11" s="1200">
        <v>10695</v>
      </c>
      <c r="CA11" s="922">
        <v>15359</v>
      </c>
      <c r="CB11" s="880">
        <f t="shared" si="2"/>
        <v>10695</v>
      </c>
      <c r="CC11" s="1072">
        <f t="shared" si="6"/>
        <v>15359</v>
      </c>
      <c r="CD11" s="113"/>
      <c r="CE11" s="1081"/>
      <c r="CF11" s="113"/>
      <c r="CG11" s="113"/>
      <c r="CH11"/>
    </row>
    <row r="12" spans="1:204" s="118" customFormat="1" ht="17.850000000000001" customHeight="1" x14ac:dyDescent="0.35">
      <c r="A12" s="787" t="s">
        <v>30</v>
      </c>
      <c r="B12" s="788">
        <v>450</v>
      </c>
      <c r="C12" s="788">
        <v>530</v>
      </c>
      <c r="D12" s="790">
        <v>-106</v>
      </c>
      <c r="E12" s="790">
        <v>469</v>
      </c>
      <c r="F12" s="790">
        <v>613</v>
      </c>
      <c r="G12" s="790">
        <v>509</v>
      </c>
      <c r="H12" s="790">
        <v>575</v>
      </c>
      <c r="I12" s="790">
        <v>497</v>
      </c>
      <c r="J12" s="790">
        <v>-200</v>
      </c>
      <c r="K12" s="790">
        <v>386</v>
      </c>
      <c r="L12" s="790">
        <v>673</v>
      </c>
      <c r="M12" s="790">
        <v>357</v>
      </c>
      <c r="N12" s="793">
        <f t="shared" ref="N12:AK12" si="8">N13+N14</f>
        <v>954</v>
      </c>
      <c r="O12" s="793">
        <f t="shared" si="8"/>
        <v>863</v>
      </c>
      <c r="P12" s="793">
        <f t="shared" si="8"/>
        <v>481</v>
      </c>
      <c r="Q12" s="793">
        <f t="shared" si="8"/>
        <v>177</v>
      </c>
      <c r="R12" s="793">
        <f t="shared" si="8"/>
        <v>96</v>
      </c>
      <c r="S12" s="793">
        <f t="shared" si="8"/>
        <v>27</v>
      </c>
      <c r="T12" s="793">
        <f t="shared" si="8"/>
        <v>377</v>
      </c>
      <c r="U12" s="793">
        <f t="shared" si="8"/>
        <v>382</v>
      </c>
      <c r="V12" s="793">
        <f t="shared" si="8"/>
        <v>-84</v>
      </c>
      <c r="W12" s="793">
        <f t="shared" si="8"/>
        <v>443</v>
      </c>
      <c r="X12" s="793">
        <f t="shared" si="8"/>
        <v>470</v>
      </c>
      <c r="Y12" s="793">
        <f t="shared" si="8"/>
        <v>66</v>
      </c>
      <c r="Z12" s="789">
        <f>Z13+Z14</f>
        <v>-99</v>
      </c>
      <c r="AA12" s="789">
        <f t="shared" si="8"/>
        <v>2</v>
      </c>
      <c r="AB12" s="789">
        <f t="shared" si="8"/>
        <v>-678</v>
      </c>
      <c r="AC12" s="789">
        <f t="shared" si="8"/>
        <v>-483</v>
      </c>
      <c r="AD12" s="789">
        <f t="shared" si="8"/>
        <v>-487</v>
      </c>
      <c r="AE12" s="941">
        <f t="shared" si="8"/>
        <v>-386</v>
      </c>
      <c r="AF12" s="941">
        <f t="shared" si="8"/>
        <v>-458</v>
      </c>
      <c r="AG12" s="941">
        <f t="shared" si="8"/>
        <v>-448</v>
      </c>
      <c r="AH12" s="941">
        <f t="shared" si="8"/>
        <v>-1055</v>
      </c>
      <c r="AI12" s="941">
        <f t="shared" si="8"/>
        <v>-236</v>
      </c>
      <c r="AJ12" s="941">
        <f>AJ13+AJ14</f>
        <v>-409</v>
      </c>
      <c r="AK12" s="1146">
        <f t="shared" si="8"/>
        <v>-287</v>
      </c>
      <c r="AL12" s="1085">
        <v>249</v>
      </c>
      <c r="AM12" s="1085">
        <v>231</v>
      </c>
      <c r="AN12" s="1085">
        <v>693</v>
      </c>
      <c r="AO12" s="1085">
        <v>829</v>
      </c>
      <c r="AP12" s="1085">
        <v>754</v>
      </c>
      <c r="AQ12" s="1085">
        <v>805</v>
      </c>
      <c r="AR12" s="1085">
        <v>879</v>
      </c>
      <c r="AS12" s="1085">
        <v>789</v>
      </c>
      <c r="AT12" s="1086">
        <v>1016</v>
      </c>
      <c r="AU12" s="1087">
        <v>820</v>
      </c>
      <c r="AV12" s="1087">
        <v>648</v>
      </c>
      <c r="AW12" s="1087">
        <v>768</v>
      </c>
      <c r="AX12" s="1087">
        <v>542</v>
      </c>
      <c r="AY12" s="1087">
        <v>349</v>
      </c>
      <c r="AZ12" s="1087">
        <v>529</v>
      </c>
      <c r="BA12" s="1087">
        <v>459</v>
      </c>
      <c r="BB12" s="1087">
        <v>322</v>
      </c>
      <c r="BC12" s="1087">
        <v>431</v>
      </c>
      <c r="BD12" s="1087">
        <v>385</v>
      </c>
      <c r="BE12" s="1087">
        <v>136</v>
      </c>
      <c r="BF12" s="1087">
        <v>362</v>
      </c>
      <c r="BG12" s="1087">
        <v>638</v>
      </c>
      <c r="BH12" s="1087">
        <v>393</v>
      </c>
      <c r="BI12" s="1087">
        <v>691.90274215009811</v>
      </c>
      <c r="BJ12" s="1087">
        <v>269.75178137396279</v>
      </c>
      <c r="BK12" s="1087">
        <v>107.77748482159438</v>
      </c>
      <c r="BL12" s="1087">
        <v>260.31242859738825</v>
      </c>
      <c r="BM12" s="1087">
        <v>337.30280206493001</v>
      </c>
      <c r="BN12" s="1087">
        <v>317.84745208830361</v>
      </c>
      <c r="BO12" s="1087">
        <v>327.89561843573483</v>
      </c>
      <c r="BP12" s="1087">
        <v>417.48739302596823</v>
      </c>
      <c r="BQ12" s="1087">
        <v>298.59779152441138</v>
      </c>
      <c r="BR12" s="1087">
        <v>322.83861472270723</v>
      </c>
      <c r="BS12" s="1087">
        <v>668.43201584588235</v>
      </c>
      <c r="BT12" s="1087">
        <v>634.43857887753734</v>
      </c>
      <c r="BU12" s="1087">
        <v>664.76972626829729</v>
      </c>
      <c r="BV12" s="942">
        <v>4627.4516876467169</v>
      </c>
      <c r="BW12" s="942">
        <v>5237.9027421500978</v>
      </c>
      <c r="BX12" s="942">
        <v>8481</v>
      </c>
      <c r="BY12" s="1085">
        <v>-5024</v>
      </c>
      <c r="BZ12" s="1198">
        <v>4252</v>
      </c>
      <c r="CA12" s="923">
        <v>4753</v>
      </c>
      <c r="CB12" s="881">
        <f t="shared" si="2"/>
        <v>4252</v>
      </c>
      <c r="CC12" s="1073">
        <f t="shared" si="6"/>
        <v>4753</v>
      </c>
      <c r="CD12" s="113"/>
      <c r="CE12" s="1081"/>
      <c r="CF12" s="113"/>
      <c r="CG12" s="113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</row>
    <row r="13" spans="1:204" s="825" customFormat="1" ht="17.850000000000001" customHeight="1" x14ac:dyDescent="0.35">
      <c r="A13" s="821" t="s">
        <v>81</v>
      </c>
      <c r="B13" s="822">
        <v>933</v>
      </c>
      <c r="C13" s="822">
        <v>953</v>
      </c>
      <c r="D13" s="823">
        <v>996</v>
      </c>
      <c r="E13" s="823">
        <v>1014</v>
      </c>
      <c r="F13" s="823">
        <v>1076</v>
      </c>
      <c r="G13" s="823">
        <v>1016</v>
      </c>
      <c r="H13" s="823">
        <v>1144</v>
      </c>
      <c r="I13" s="823">
        <v>1108</v>
      </c>
      <c r="J13" s="823">
        <v>1126</v>
      </c>
      <c r="K13" s="823">
        <v>1176</v>
      </c>
      <c r="L13" s="823">
        <v>1164</v>
      </c>
      <c r="M13" s="823">
        <v>1171</v>
      </c>
      <c r="N13" s="826">
        <v>983</v>
      </c>
      <c r="O13" s="826">
        <v>1020</v>
      </c>
      <c r="P13" s="826">
        <v>980</v>
      </c>
      <c r="Q13" s="826">
        <v>883</v>
      </c>
      <c r="R13" s="826">
        <v>875</v>
      </c>
      <c r="S13" s="826">
        <v>920</v>
      </c>
      <c r="T13" s="826">
        <v>988</v>
      </c>
      <c r="U13" s="826">
        <v>986</v>
      </c>
      <c r="V13" s="826">
        <v>993</v>
      </c>
      <c r="W13" s="826">
        <v>974</v>
      </c>
      <c r="X13" s="826">
        <v>950</v>
      </c>
      <c r="Y13" s="826">
        <v>1035</v>
      </c>
      <c r="Z13" s="826">
        <v>1005</v>
      </c>
      <c r="AA13" s="826">
        <v>1100</v>
      </c>
      <c r="AB13" s="822">
        <v>1236</v>
      </c>
      <c r="AC13" s="822">
        <v>1168</v>
      </c>
      <c r="AD13" s="822">
        <v>1103</v>
      </c>
      <c r="AE13" s="822">
        <v>1166</v>
      </c>
      <c r="AF13" s="822">
        <v>1122</v>
      </c>
      <c r="AG13" s="822">
        <v>1078</v>
      </c>
      <c r="AH13" s="822">
        <v>1074</v>
      </c>
      <c r="AI13" s="822">
        <v>1118</v>
      </c>
      <c r="AJ13" s="864">
        <v>1172</v>
      </c>
      <c r="AK13" s="936">
        <v>1249</v>
      </c>
      <c r="AL13" s="936">
        <v>1139</v>
      </c>
      <c r="AM13" s="936">
        <v>1118</v>
      </c>
      <c r="AN13" s="936">
        <v>1033</v>
      </c>
      <c r="AO13" s="936">
        <v>1060</v>
      </c>
      <c r="AP13" s="936">
        <v>1049</v>
      </c>
      <c r="AQ13" s="936">
        <v>1070</v>
      </c>
      <c r="AR13" s="936">
        <v>1029</v>
      </c>
      <c r="AS13" s="936">
        <v>1064</v>
      </c>
      <c r="AT13" s="936">
        <v>1060</v>
      </c>
      <c r="AU13" s="936">
        <v>1028</v>
      </c>
      <c r="AV13" s="936">
        <v>1041</v>
      </c>
      <c r="AW13" s="936">
        <v>1135</v>
      </c>
      <c r="AX13" s="936">
        <v>1020</v>
      </c>
      <c r="AY13" s="936">
        <v>1045</v>
      </c>
      <c r="AZ13" s="936">
        <v>1101</v>
      </c>
      <c r="BA13" s="936">
        <v>960</v>
      </c>
      <c r="BB13" s="936">
        <v>965</v>
      </c>
      <c r="BC13" s="936">
        <v>949</v>
      </c>
      <c r="BD13" s="936">
        <v>921</v>
      </c>
      <c r="BE13" s="936">
        <v>933</v>
      </c>
      <c r="BF13" s="936">
        <v>918</v>
      </c>
      <c r="BG13" s="936">
        <v>901</v>
      </c>
      <c r="BH13" s="936">
        <v>922</v>
      </c>
      <c r="BI13" s="936">
        <v>1050</v>
      </c>
      <c r="BJ13" s="936">
        <v>855</v>
      </c>
      <c r="BK13" s="936">
        <v>790.27370804348277</v>
      </c>
      <c r="BL13" s="936">
        <v>865.98981637847476</v>
      </c>
      <c r="BM13" s="936">
        <v>875.41252534724288</v>
      </c>
      <c r="BN13" s="936">
        <v>879.25608192226764</v>
      </c>
      <c r="BO13" s="936">
        <v>872.40882549649132</v>
      </c>
      <c r="BP13" s="936">
        <v>1050</v>
      </c>
      <c r="BQ13" s="936">
        <v>942.47215809801219</v>
      </c>
      <c r="BR13" s="936">
        <v>924.28789727037099</v>
      </c>
      <c r="BS13" s="936">
        <v>954.63320834828403</v>
      </c>
      <c r="BT13" s="936">
        <v>946.7714893910246</v>
      </c>
      <c r="BU13" s="936">
        <v>1080</v>
      </c>
      <c r="BV13" s="936">
        <v>11036.505710295653</v>
      </c>
      <c r="BW13" s="936">
        <v>11685</v>
      </c>
      <c r="BX13" s="950">
        <v>12826</v>
      </c>
      <c r="BY13" s="1182">
        <v>13591</v>
      </c>
      <c r="BZ13" s="1201">
        <v>11587</v>
      </c>
      <c r="CA13" s="924">
        <v>12877</v>
      </c>
      <c r="CB13" s="882">
        <f t="shared" si="2"/>
        <v>11587</v>
      </c>
      <c r="CC13" s="864">
        <f t="shared" si="6"/>
        <v>12877</v>
      </c>
      <c r="CD13" s="1082"/>
      <c r="CE13" s="1081"/>
      <c r="CF13" s="1078"/>
      <c r="CG13" s="1077"/>
      <c r="CH13" s="817"/>
    </row>
    <row r="14" spans="1:204" s="825" customFormat="1" ht="39.6" customHeight="1" x14ac:dyDescent="0.35">
      <c r="A14" s="821" t="s">
        <v>33</v>
      </c>
      <c r="B14" s="822">
        <v>-483</v>
      </c>
      <c r="C14" s="822">
        <v>-423</v>
      </c>
      <c r="D14" s="823">
        <v>-1102</v>
      </c>
      <c r="E14" s="823">
        <v>-545</v>
      </c>
      <c r="F14" s="823">
        <v>-463</v>
      </c>
      <c r="G14" s="823">
        <v>-507</v>
      </c>
      <c r="H14" s="823">
        <v>-569</v>
      </c>
      <c r="I14" s="823">
        <v>-611</v>
      </c>
      <c r="J14" s="823">
        <v>-1326</v>
      </c>
      <c r="K14" s="823">
        <v>-790</v>
      </c>
      <c r="L14" s="823">
        <v>-491</v>
      </c>
      <c r="M14" s="823">
        <v>-814</v>
      </c>
      <c r="N14" s="823">
        <f>N15-N16</f>
        <v>-29</v>
      </c>
      <c r="O14" s="823">
        <f t="shared" ref="O14:AK14" si="9">O15-O16</f>
        <v>-157</v>
      </c>
      <c r="P14" s="823">
        <f t="shared" si="9"/>
        <v>-499</v>
      </c>
      <c r="Q14" s="823">
        <f t="shared" si="9"/>
        <v>-706</v>
      </c>
      <c r="R14" s="823">
        <f t="shared" si="9"/>
        <v>-779</v>
      </c>
      <c r="S14" s="823">
        <f t="shared" si="9"/>
        <v>-893</v>
      </c>
      <c r="T14" s="823">
        <f t="shared" si="9"/>
        <v>-611</v>
      </c>
      <c r="U14" s="823">
        <f t="shared" si="9"/>
        <v>-604</v>
      </c>
      <c r="V14" s="823">
        <f t="shared" si="9"/>
        <v>-1077</v>
      </c>
      <c r="W14" s="823">
        <f t="shared" si="9"/>
        <v>-531</v>
      </c>
      <c r="X14" s="823">
        <f t="shared" si="9"/>
        <v>-480</v>
      </c>
      <c r="Y14" s="823">
        <f t="shared" si="9"/>
        <v>-969</v>
      </c>
      <c r="Z14" s="823">
        <f>Z15-Z16</f>
        <v>-1104</v>
      </c>
      <c r="AA14" s="823">
        <f t="shared" si="9"/>
        <v>-1098</v>
      </c>
      <c r="AB14" s="823">
        <f t="shared" si="9"/>
        <v>-1914</v>
      </c>
      <c r="AC14" s="823">
        <f t="shared" si="9"/>
        <v>-1651</v>
      </c>
      <c r="AD14" s="823">
        <f t="shared" si="9"/>
        <v>-1590</v>
      </c>
      <c r="AE14" s="823">
        <f t="shared" si="9"/>
        <v>-1552</v>
      </c>
      <c r="AF14" s="823">
        <f t="shared" si="9"/>
        <v>-1580</v>
      </c>
      <c r="AG14" s="823">
        <f t="shared" si="9"/>
        <v>-1526</v>
      </c>
      <c r="AH14" s="823">
        <f t="shared" si="9"/>
        <v>-2129</v>
      </c>
      <c r="AI14" s="823">
        <f t="shared" si="9"/>
        <v>-1354</v>
      </c>
      <c r="AJ14" s="1088">
        <f>AJ15-AJ16</f>
        <v>-1581</v>
      </c>
      <c r="AK14" s="1149">
        <f t="shared" si="9"/>
        <v>-1536</v>
      </c>
      <c r="AL14" s="1149">
        <v>-890</v>
      </c>
      <c r="AM14" s="1149">
        <v>-887</v>
      </c>
      <c r="AN14" s="1149">
        <v>-340</v>
      </c>
      <c r="AO14" s="1149">
        <v>-231</v>
      </c>
      <c r="AP14" s="1149">
        <v>-295</v>
      </c>
      <c r="AQ14" s="1149">
        <v>-265</v>
      </c>
      <c r="AR14" s="1149">
        <v>-150</v>
      </c>
      <c r="AS14" s="1149">
        <v>-275</v>
      </c>
      <c r="AT14" s="1149">
        <v>-44</v>
      </c>
      <c r="AU14" s="1149">
        <v>-208</v>
      </c>
      <c r="AV14" s="1149">
        <v>-393</v>
      </c>
      <c r="AW14" s="1089">
        <v>-367</v>
      </c>
      <c r="AX14" s="1089">
        <v>-478</v>
      </c>
      <c r="AY14" s="1089">
        <v>-696</v>
      </c>
      <c r="AZ14" s="1089">
        <v>-572</v>
      </c>
      <c r="BA14" s="1089">
        <v>-501</v>
      </c>
      <c r="BB14" s="1089">
        <v>-643</v>
      </c>
      <c r="BC14" s="1089">
        <v>-518</v>
      </c>
      <c r="BD14" s="1089">
        <v>-536</v>
      </c>
      <c r="BE14" s="1089">
        <v>-797</v>
      </c>
      <c r="BF14" s="1089">
        <v>-556</v>
      </c>
      <c r="BG14" s="1089">
        <v>-263</v>
      </c>
      <c r="BH14" s="1089">
        <v>-529</v>
      </c>
      <c r="BI14" s="1089">
        <v>-358.09725784990189</v>
      </c>
      <c r="BJ14" s="1089">
        <v>-585.24821862603721</v>
      </c>
      <c r="BK14" s="1089">
        <v>-682.49622322188839</v>
      </c>
      <c r="BL14" s="1089">
        <v>-605.67738778108651</v>
      </c>
      <c r="BM14" s="1089">
        <v>-538.10972328231287</v>
      </c>
      <c r="BN14" s="1089">
        <v>-561.40862983396403</v>
      </c>
      <c r="BO14" s="1089">
        <v>-544.51320706075649</v>
      </c>
      <c r="BP14" s="1089">
        <v>-632.51260697403177</v>
      </c>
      <c r="BQ14" s="1089">
        <v>-643.87436657360081</v>
      </c>
      <c r="BR14" s="1089">
        <v>-601.44928254766376</v>
      </c>
      <c r="BS14" s="1089">
        <v>-286.20119250240168</v>
      </c>
      <c r="BT14" s="1089">
        <v>-312.33291051348732</v>
      </c>
      <c r="BU14" s="1089">
        <v>-415.23027373170277</v>
      </c>
      <c r="BV14" s="1089">
        <v>-6409.0540226489338</v>
      </c>
      <c r="BW14" s="1089">
        <v>-6447.0972578499022</v>
      </c>
      <c r="BX14" s="1090">
        <v>-4345</v>
      </c>
      <c r="BY14" s="1183">
        <v>-18615</v>
      </c>
      <c r="BZ14" s="1202">
        <v>-7335</v>
      </c>
      <c r="CA14" s="1091">
        <v>-8124</v>
      </c>
      <c r="CB14" s="878">
        <f t="shared" si="2"/>
        <v>-7335</v>
      </c>
      <c r="CC14" s="860">
        <f t="shared" si="6"/>
        <v>-8124</v>
      </c>
      <c r="CD14" s="1083"/>
      <c r="CE14" s="1081"/>
      <c r="CF14" s="1077"/>
      <c r="CG14" s="1077"/>
      <c r="CH14" s="817"/>
    </row>
    <row r="15" spans="1:204" s="840" customFormat="1" ht="17.850000000000001" customHeight="1" x14ac:dyDescent="0.35">
      <c r="A15" s="836" t="s">
        <v>31</v>
      </c>
      <c r="B15" s="837">
        <v>38</v>
      </c>
      <c r="C15" s="837">
        <v>39</v>
      </c>
      <c r="D15" s="838">
        <v>41</v>
      </c>
      <c r="E15" s="838">
        <v>37</v>
      </c>
      <c r="F15" s="838">
        <v>45</v>
      </c>
      <c r="G15" s="838">
        <v>32</v>
      </c>
      <c r="H15" s="838">
        <v>72</v>
      </c>
      <c r="I15" s="838">
        <v>37</v>
      </c>
      <c r="J15" s="838">
        <v>55</v>
      </c>
      <c r="K15" s="838">
        <v>32</v>
      </c>
      <c r="L15" s="838">
        <v>34</v>
      </c>
      <c r="M15" s="838">
        <v>46</v>
      </c>
      <c r="N15" s="839">
        <v>46</v>
      </c>
      <c r="O15" s="839">
        <v>42</v>
      </c>
      <c r="P15" s="839">
        <v>54</v>
      </c>
      <c r="Q15" s="839">
        <v>27</v>
      </c>
      <c r="R15" s="839">
        <v>34</v>
      </c>
      <c r="S15" s="839">
        <v>41</v>
      </c>
      <c r="T15" s="839">
        <v>34</v>
      </c>
      <c r="U15" s="839">
        <v>37</v>
      </c>
      <c r="V15" s="839">
        <v>29</v>
      </c>
      <c r="W15" s="839">
        <v>13</v>
      </c>
      <c r="X15" s="837">
        <v>51</v>
      </c>
      <c r="Y15" s="837">
        <v>32</v>
      </c>
      <c r="Z15" s="839">
        <v>14</v>
      </c>
      <c r="AA15" s="837">
        <v>44</v>
      </c>
      <c r="AB15" s="837">
        <v>41</v>
      </c>
      <c r="AC15" s="837">
        <v>24</v>
      </c>
      <c r="AD15" s="837">
        <v>37</v>
      </c>
      <c r="AE15" s="837">
        <v>47</v>
      </c>
      <c r="AF15" s="837">
        <v>20</v>
      </c>
      <c r="AG15" s="837">
        <v>52</v>
      </c>
      <c r="AH15" s="837">
        <v>34</v>
      </c>
      <c r="AI15" s="861">
        <v>17</v>
      </c>
      <c r="AJ15" s="1121">
        <v>35</v>
      </c>
      <c r="AK15" s="934">
        <v>40</v>
      </c>
      <c r="AL15" s="937">
        <v>25</v>
      </c>
      <c r="AM15" s="937">
        <v>26</v>
      </c>
      <c r="AN15" s="937">
        <v>22</v>
      </c>
      <c r="AO15" s="937">
        <v>5</v>
      </c>
      <c r="AP15" s="937">
        <v>11</v>
      </c>
      <c r="AQ15" s="937">
        <v>14</v>
      </c>
      <c r="AR15" s="937">
        <v>17</v>
      </c>
      <c r="AS15" s="937">
        <v>29</v>
      </c>
      <c r="AT15" s="937">
        <v>28</v>
      </c>
      <c r="AU15" s="937">
        <v>32</v>
      </c>
      <c r="AV15" s="937">
        <v>57</v>
      </c>
      <c r="AW15" s="937">
        <v>41</v>
      </c>
      <c r="AX15" s="937">
        <v>41</v>
      </c>
      <c r="AY15" s="937">
        <v>55</v>
      </c>
      <c r="AZ15" s="937">
        <v>65</v>
      </c>
      <c r="BA15" s="937">
        <v>62</v>
      </c>
      <c r="BB15" s="937">
        <v>96</v>
      </c>
      <c r="BC15" s="937">
        <v>87</v>
      </c>
      <c r="BD15" s="937">
        <v>81</v>
      </c>
      <c r="BE15" s="937">
        <v>120</v>
      </c>
      <c r="BF15" s="937">
        <v>100</v>
      </c>
      <c r="BG15" s="937">
        <v>105</v>
      </c>
      <c r="BH15" s="937">
        <v>95</v>
      </c>
      <c r="BI15" s="937">
        <v>111.90274215009808</v>
      </c>
      <c r="BJ15" s="937">
        <v>60.395848708487087</v>
      </c>
      <c r="BK15" s="937">
        <v>63.733763837638378</v>
      </c>
      <c r="BL15" s="937">
        <v>63.921678966789671</v>
      </c>
      <c r="BM15" s="937">
        <v>41.949169741697418</v>
      </c>
      <c r="BN15" s="937">
        <v>62.57333948339484</v>
      </c>
      <c r="BO15" s="937">
        <v>67.278966789667905</v>
      </c>
      <c r="BP15" s="937">
        <v>70.578136531365317</v>
      </c>
      <c r="BQ15" s="937">
        <v>111.28210332103322</v>
      </c>
      <c r="BR15" s="937">
        <v>90.422018820559956</v>
      </c>
      <c r="BS15" s="937">
        <v>88.607179110824561</v>
      </c>
      <c r="BT15" s="937">
        <v>171.55507620131965</v>
      </c>
      <c r="BU15" s="937">
        <v>133.18417948120003</v>
      </c>
      <c r="BV15" s="937">
        <v>1025.4814609939781</v>
      </c>
      <c r="BW15" s="937">
        <v>1018.9027421500981</v>
      </c>
      <c r="BX15" s="935">
        <v>307</v>
      </c>
      <c r="BY15" s="935">
        <v>405</v>
      </c>
      <c r="BZ15" s="1203">
        <v>440</v>
      </c>
      <c r="CA15" s="937">
        <v>508</v>
      </c>
      <c r="CB15" s="880">
        <f t="shared" si="2"/>
        <v>440</v>
      </c>
      <c r="CC15" s="1072">
        <f t="shared" si="6"/>
        <v>508</v>
      </c>
      <c r="CD15" s="113"/>
      <c r="CE15" s="1081"/>
      <c r="CF15" s="113"/>
      <c r="CG15" s="113"/>
      <c r="CH15"/>
    </row>
    <row r="16" spans="1:204" s="840" customFormat="1" ht="17.850000000000001" customHeight="1" x14ac:dyDescent="0.35">
      <c r="A16" s="836" t="s">
        <v>32</v>
      </c>
      <c r="B16" s="837">
        <v>452</v>
      </c>
      <c r="C16" s="837">
        <v>417</v>
      </c>
      <c r="D16" s="838">
        <v>1079</v>
      </c>
      <c r="E16" s="838">
        <v>526</v>
      </c>
      <c r="F16" s="838">
        <v>492</v>
      </c>
      <c r="G16" s="838">
        <v>555</v>
      </c>
      <c r="H16" s="838">
        <v>684</v>
      </c>
      <c r="I16" s="838">
        <v>575</v>
      </c>
      <c r="J16" s="838">
        <v>1313</v>
      </c>
      <c r="K16" s="838">
        <v>744</v>
      </c>
      <c r="L16" s="838">
        <v>460</v>
      </c>
      <c r="M16" s="838">
        <v>798</v>
      </c>
      <c r="N16" s="838">
        <v>75</v>
      </c>
      <c r="O16" s="838">
        <v>199</v>
      </c>
      <c r="P16" s="838">
        <v>553</v>
      </c>
      <c r="Q16" s="838">
        <v>733</v>
      </c>
      <c r="R16" s="838">
        <v>813</v>
      </c>
      <c r="S16" s="838">
        <v>934</v>
      </c>
      <c r="T16" s="838">
        <v>645</v>
      </c>
      <c r="U16" s="838">
        <v>641</v>
      </c>
      <c r="V16" s="838">
        <v>1106</v>
      </c>
      <c r="W16" s="838">
        <v>544</v>
      </c>
      <c r="X16" s="838">
        <v>531</v>
      </c>
      <c r="Y16" s="838">
        <v>1001</v>
      </c>
      <c r="Z16" s="839">
        <v>1118</v>
      </c>
      <c r="AA16" s="838">
        <v>1142</v>
      </c>
      <c r="AB16" s="838">
        <v>1955</v>
      </c>
      <c r="AC16" s="838">
        <v>1675</v>
      </c>
      <c r="AD16" s="838">
        <v>1627</v>
      </c>
      <c r="AE16" s="838">
        <v>1599</v>
      </c>
      <c r="AF16" s="838">
        <v>1600</v>
      </c>
      <c r="AG16" s="838">
        <v>1578</v>
      </c>
      <c r="AH16" s="838">
        <v>2163</v>
      </c>
      <c r="AI16" s="863">
        <v>1371</v>
      </c>
      <c r="AJ16" s="1124">
        <v>1616</v>
      </c>
      <c r="AK16" s="937">
        <v>1576</v>
      </c>
      <c r="AL16" s="937">
        <v>915</v>
      </c>
      <c r="AM16" s="937">
        <v>913</v>
      </c>
      <c r="AN16" s="937">
        <v>362</v>
      </c>
      <c r="AO16" s="937">
        <v>236</v>
      </c>
      <c r="AP16" s="937">
        <v>306</v>
      </c>
      <c r="AQ16" s="937">
        <v>279</v>
      </c>
      <c r="AR16" s="937">
        <v>167</v>
      </c>
      <c r="AS16" s="937">
        <v>304</v>
      </c>
      <c r="AT16" s="937">
        <v>72</v>
      </c>
      <c r="AU16" s="937">
        <v>240</v>
      </c>
      <c r="AV16" s="937">
        <v>450</v>
      </c>
      <c r="AW16" s="937">
        <v>408</v>
      </c>
      <c r="AX16" s="937">
        <v>519</v>
      </c>
      <c r="AY16" s="937">
        <v>751</v>
      </c>
      <c r="AZ16" s="937">
        <v>637</v>
      </c>
      <c r="BA16" s="937">
        <v>563</v>
      </c>
      <c r="BB16" s="937">
        <v>739</v>
      </c>
      <c r="BC16" s="937">
        <v>605</v>
      </c>
      <c r="BD16" s="937">
        <v>617</v>
      </c>
      <c r="BE16" s="937">
        <v>917</v>
      </c>
      <c r="BF16" s="937">
        <v>656</v>
      </c>
      <c r="BG16" s="937">
        <v>368</v>
      </c>
      <c r="BH16" s="937">
        <v>624</v>
      </c>
      <c r="BI16" s="937">
        <v>470</v>
      </c>
      <c r="BJ16" s="937">
        <v>645.64406733452427</v>
      </c>
      <c r="BK16" s="937">
        <v>746.22998705952671</v>
      </c>
      <c r="BL16" s="937">
        <v>669.59906674787612</v>
      </c>
      <c r="BM16" s="937">
        <v>580.05889302401033</v>
      </c>
      <c r="BN16" s="937">
        <v>623.9819693173589</v>
      </c>
      <c r="BO16" s="937">
        <v>611.79217385042443</v>
      </c>
      <c r="BP16" s="937">
        <v>703.09074350539709</v>
      </c>
      <c r="BQ16" s="937">
        <v>755.15646989463403</v>
      </c>
      <c r="BR16" s="937">
        <v>691.87130136822373</v>
      </c>
      <c r="BS16" s="937">
        <v>374.80837161322626</v>
      </c>
      <c r="BT16" s="937">
        <v>483.88798671480697</v>
      </c>
      <c r="BU16" s="937">
        <v>548.4144532129028</v>
      </c>
      <c r="BV16" s="937">
        <v>7434.5354836429115</v>
      </c>
      <c r="BW16" s="937">
        <v>7466</v>
      </c>
      <c r="BX16" s="935">
        <v>4652</v>
      </c>
      <c r="BY16" s="935">
        <v>19020</v>
      </c>
      <c r="BZ16" s="1203">
        <v>7775</v>
      </c>
      <c r="CA16" s="937">
        <v>8095</v>
      </c>
      <c r="CB16" s="880">
        <f t="shared" si="2"/>
        <v>7775</v>
      </c>
      <c r="CC16" s="1072">
        <f t="shared" si="6"/>
        <v>8095</v>
      </c>
      <c r="CD16" s="113"/>
      <c r="CE16" s="113"/>
      <c r="CF16" s="113"/>
      <c r="CG16" s="113"/>
      <c r="CH16"/>
    </row>
    <row r="17" spans="1:86" ht="17.850000000000001" customHeight="1" x14ac:dyDescent="0.35">
      <c r="A17" s="787" t="s">
        <v>34</v>
      </c>
      <c r="B17" s="788">
        <v>258</v>
      </c>
      <c r="C17" s="788">
        <v>271</v>
      </c>
      <c r="D17" s="790">
        <v>282</v>
      </c>
      <c r="E17" s="790">
        <v>263</v>
      </c>
      <c r="F17" s="790">
        <v>278</v>
      </c>
      <c r="G17" s="790">
        <v>266</v>
      </c>
      <c r="H17" s="790">
        <v>303</v>
      </c>
      <c r="I17" s="790">
        <v>259</v>
      </c>
      <c r="J17" s="790">
        <v>281</v>
      </c>
      <c r="K17" s="790">
        <v>343</v>
      </c>
      <c r="L17" s="790">
        <v>279</v>
      </c>
      <c r="M17" s="790">
        <v>3225</v>
      </c>
      <c r="N17" s="793">
        <f t="shared" ref="N17:AK17" si="10">N18-N19</f>
        <v>304</v>
      </c>
      <c r="O17" s="793">
        <f t="shared" si="10"/>
        <v>274</v>
      </c>
      <c r="P17" s="793">
        <f t="shared" si="10"/>
        <v>264</v>
      </c>
      <c r="Q17" s="793">
        <f t="shared" si="10"/>
        <v>267</v>
      </c>
      <c r="R17" s="793">
        <f t="shared" si="10"/>
        <v>293</v>
      </c>
      <c r="S17" s="793">
        <f t="shared" si="10"/>
        <v>305</v>
      </c>
      <c r="T17" s="793">
        <f t="shared" si="10"/>
        <v>330</v>
      </c>
      <c r="U17" s="793">
        <f t="shared" si="10"/>
        <v>289</v>
      </c>
      <c r="V17" s="793">
        <f t="shared" si="10"/>
        <v>315</v>
      </c>
      <c r="W17" s="793">
        <f t="shared" si="10"/>
        <v>345</v>
      </c>
      <c r="X17" s="793">
        <f t="shared" si="10"/>
        <v>368</v>
      </c>
      <c r="Y17" s="793">
        <f t="shared" si="10"/>
        <v>408</v>
      </c>
      <c r="Z17" s="793">
        <f t="shared" si="10"/>
        <v>333</v>
      </c>
      <c r="AA17" s="793">
        <f t="shared" si="10"/>
        <v>321</v>
      </c>
      <c r="AB17" s="793">
        <f t="shared" si="10"/>
        <v>438</v>
      </c>
      <c r="AC17" s="793">
        <f t="shared" si="10"/>
        <v>345</v>
      </c>
      <c r="AD17" s="793">
        <f t="shared" si="10"/>
        <v>356</v>
      </c>
      <c r="AE17" s="793">
        <f t="shared" si="10"/>
        <v>387</v>
      </c>
      <c r="AF17" s="793">
        <f t="shared" si="10"/>
        <v>426</v>
      </c>
      <c r="AG17" s="793">
        <f t="shared" si="10"/>
        <v>387</v>
      </c>
      <c r="AH17" s="793">
        <f t="shared" si="10"/>
        <v>468</v>
      </c>
      <c r="AI17" s="865">
        <f t="shared" si="10"/>
        <v>396</v>
      </c>
      <c r="AJ17" s="1097">
        <f t="shared" si="10"/>
        <v>386</v>
      </c>
      <c r="AK17" s="1147">
        <f t="shared" si="10"/>
        <v>446</v>
      </c>
      <c r="AL17" s="1148">
        <v>417</v>
      </c>
      <c r="AM17" s="1147">
        <v>646</v>
      </c>
      <c r="AN17" s="1147">
        <v>1267</v>
      </c>
      <c r="AO17" s="1147">
        <v>1679</v>
      </c>
      <c r="AP17" s="1147">
        <v>1414</v>
      </c>
      <c r="AQ17" s="1147">
        <v>2155</v>
      </c>
      <c r="AR17" s="1147">
        <v>3651</v>
      </c>
      <c r="AS17" s="1147">
        <v>3829</v>
      </c>
      <c r="AT17" s="1147">
        <v>2517</v>
      </c>
      <c r="AU17" s="1147">
        <v>1034</v>
      </c>
      <c r="AV17" s="1147">
        <v>2845</v>
      </c>
      <c r="AW17" s="1097">
        <v>3774</v>
      </c>
      <c r="AX17" s="1097">
        <v>1896</v>
      </c>
      <c r="AY17" s="1097">
        <v>2247</v>
      </c>
      <c r="AZ17" s="1097">
        <v>2145</v>
      </c>
      <c r="BA17" s="1097">
        <v>2031</v>
      </c>
      <c r="BB17" s="1097">
        <v>2009</v>
      </c>
      <c r="BC17" s="1097">
        <v>2285</v>
      </c>
      <c r="BD17" s="1097">
        <v>2183</v>
      </c>
      <c r="BE17" s="1097">
        <v>1040</v>
      </c>
      <c r="BF17" s="1097">
        <v>2060</v>
      </c>
      <c r="BG17" s="1097">
        <v>1899</v>
      </c>
      <c r="BH17" s="1097">
        <v>823</v>
      </c>
      <c r="BI17" s="1097">
        <v>944</v>
      </c>
      <c r="BJ17" s="1097">
        <v>834.78703899397658</v>
      </c>
      <c r="BK17" s="1097">
        <v>1806.7001585120997</v>
      </c>
      <c r="BL17" s="1097">
        <v>1889.9988375779351</v>
      </c>
      <c r="BM17" s="1097">
        <v>1764.2976011835572</v>
      </c>
      <c r="BN17" s="1097">
        <v>1734.616495825848</v>
      </c>
      <c r="BO17" s="1097">
        <v>2015.1829123956461</v>
      </c>
      <c r="BP17" s="1097">
        <v>1862.2580788333512</v>
      </c>
      <c r="BQ17" s="1097">
        <v>1968.5803550671033</v>
      </c>
      <c r="BR17" s="1097">
        <v>1807.2555215048083</v>
      </c>
      <c r="BS17" s="1097">
        <v>1724.9079150375144</v>
      </c>
      <c r="BT17" s="1097">
        <v>1807.4533763077247</v>
      </c>
      <c r="BU17" s="1097">
        <v>1896.1617087604354</v>
      </c>
      <c r="BV17" s="1097">
        <v>21112.199999999997</v>
      </c>
      <c r="BW17" s="1097">
        <v>21562</v>
      </c>
      <c r="BX17" s="1097">
        <v>25228</v>
      </c>
      <c r="BY17" s="1097">
        <v>4689</v>
      </c>
      <c r="BZ17" s="1204">
        <v>3762</v>
      </c>
      <c r="CA17" s="1097">
        <v>6308</v>
      </c>
      <c r="CB17" s="881">
        <f t="shared" si="2"/>
        <v>3762</v>
      </c>
      <c r="CC17" s="1073">
        <f t="shared" si="6"/>
        <v>6308</v>
      </c>
      <c r="CD17" s="1080"/>
      <c r="CE17" s="275"/>
      <c r="CF17" s="113"/>
      <c r="CG17" s="113"/>
    </row>
    <row r="18" spans="1:86" s="840" customFormat="1" ht="17.850000000000001" customHeight="1" x14ac:dyDescent="0.35">
      <c r="A18" s="836" t="s">
        <v>31</v>
      </c>
      <c r="B18" s="837">
        <v>346</v>
      </c>
      <c r="C18" s="837">
        <v>370</v>
      </c>
      <c r="D18" s="838">
        <v>388</v>
      </c>
      <c r="E18" s="838">
        <v>376</v>
      </c>
      <c r="F18" s="838">
        <v>390</v>
      </c>
      <c r="G18" s="838">
        <v>382</v>
      </c>
      <c r="H18" s="838">
        <v>429</v>
      </c>
      <c r="I18" s="838">
        <v>378</v>
      </c>
      <c r="J18" s="838">
        <v>405</v>
      </c>
      <c r="K18" s="838">
        <v>483</v>
      </c>
      <c r="L18" s="838">
        <v>418</v>
      </c>
      <c r="M18" s="838">
        <v>3360</v>
      </c>
      <c r="N18" s="839">
        <v>420</v>
      </c>
      <c r="O18" s="839">
        <v>395</v>
      </c>
      <c r="P18" s="839">
        <v>384</v>
      </c>
      <c r="Q18" s="839">
        <v>360</v>
      </c>
      <c r="R18" s="839">
        <v>396</v>
      </c>
      <c r="S18" s="839">
        <v>447</v>
      </c>
      <c r="T18" s="839">
        <v>469</v>
      </c>
      <c r="U18" s="839">
        <v>434</v>
      </c>
      <c r="V18" s="839">
        <v>463</v>
      </c>
      <c r="W18" s="839">
        <v>489</v>
      </c>
      <c r="X18" s="838">
        <v>501</v>
      </c>
      <c r="Y18" s="838">
        <v>561</v>
      </c>
      <c r="Z18" s="839">
        <v>469</v>
      </c>
      <c r="AA18" s="838">
        <v>511</v>
      </c>
      <c r="AB18" s="838">
        <v>605</v>
      </c>
      <c r="AC18" s="838">
        <v>521</v>
      </c>
      <c r="AD18" s="838">
        <v>525</v>
      </c>
      <c r="AE18" s="838">
        <v>567</v>
      </c>
      <c r="AF18" s="838">
        <v>601</v>
      </c>
      <c r="AG18" s="838">
        <v>567</v>
      </c>
      <c r="AH18" s="838">
        <v>666</v>
      </c>
      <c r="AI18" s="838">
        <v>583</v>
      </c>
      <c r="AJ18" s="1092">
        <v>599</v>
      </c>
      <c r="AK18" s="1093">
        <v>697</v>
      </c>
      <c r="AL18" s="1103">
        <v>588</v>
      </c>
      <c r="AM18" s="934">
        <v>845</v>
      </c>
      <c r="AN18" s="934">
        <v>1355</v>
      </c>
      <c r="AO18" s="934">
        <v>1962</v>
      </c>
      <c r="AP18" s="934">
        <v>1746</v>
      </c>
      <c r="AQ18" s="934">
        <v>2563</v>
      </c>
      <c r="AR18" s="934">
        <v>3990</v>
      </c>
      <c r="AS18" s="934">
        <v>4264</v>
      </c>
      <c r="AT18" s="934">
        <v>3033</v>
      </c>
      <c r="AU18" s="934">
        <v>1123</v>
      </c>
      <c r="AV18" s="934">
        <v>2936</v>
      </c>
      <c r="AW18" s="934">
        <v>3879</v>
      </c>
      <c r="AX18" s="934">
        <v>1996</v>
      </c>
      <c r="AY18" s="934">
        <v>2343</v>
      </c>
      <c r="AZ18" s="934">
        <v>2245</v>
      </c>
      <c r="BA18" s="934">
        <v>2123</v>
      </c>
      <c r="BB18" s="934">
        <v>2104</v>
      </c>
      <c r="BC18" s="934">
        <v>2385</v>
      </c>
      <c r="BD18" s="934">
        <v>2275</v>
      </c>
      <c r="BE18" s="934">
        <v>1134</v>
      </c>
      <c r="BF18" s="934">
        <v>2161</v>
      </c>
      <c r="BG18" s="934">
        <v>1999</v>
      </c>
      <c r="BH18" s="934">
        <v>923</v>
      </c>
      <c r="BI18" s="934">
        <v>1050</v>
      </c>
      <c r="BJ18" s="934">
        <v>936.53703899397658</v>
      </c>
      <c r="BK18" s="934">
        <v>1909.5001585120997</v>
      </c>
      <c r="BL18" s="934">
        <v>1996.9988375779351</v>
      </c>
      <c r="BM18" s="934">
        <v>1862.8976011835571</v>
      </c>
      <c r="BN18" s="934">
        <v>1835.3164958258481</v>
      </c>
      <c r="BO18" s="934">
        <v>2115.8829123956461</v>
      </c>
      <c r="BP18" s="934">
        <v>1960.8580788333511</v>
      </c>
      <c r="BQ18" s="934">
        <v>2069.2803550671033</v>
      </c>
      <c r="BR18" s="934">
        <v>1914.2555215048083</v>
      </c>
      <c r="BS18" s="934">
        <v>1827.7079150375143</v>
      </c>
      <c r="BT18" s="934">
        <v>1912.3533763077248</v>
      </c>
      <c r="BU18" s="934">
        <v>2008.4117087604354</v>
      </c>
      <c r="BV18" s="1094">
        <v>22349.999999999996</v>
      </c>
      <c r="BW18" s="1094">
        <v>22738</v>
      </c>
      <c r="BX18" s="1095">
        <v>28284</v>
      </c>
      <c r="BY18" s="1181">
        <v>6911</v>
      </c>
      <c r="BZ18" s="1200">
        <v>5319</v>
      </c>
      <c r="CA18" s="1096">
        <v>7725</v>
      </c>
      <c r="CB18" s="880">
        <f t="shared" si="2"/>
        <v>5319</v>
      </c>
      <c r="CC18" s="1072">
        <f t="shared" si="6"/>
        <v>7725</v>
      </c>
      <c r="CD18" s="113"/>
      <c r="CE18" s="113"/>
      <c r="CF18" s="113"/>
      <c r="CG18" s="113"/>
      <c r="CH18"/>
    </row>
    <row r="19" spans="1:86" s="840" customFormat="1" ht="17.850000000000001" customHeight="1" x14ac:dyDescent="0.35">
      <c r="A19" s="836" t="s">
        <v>32</v>
      </c>
      <c r="B19" s="837">
        <v>88</v>
      </c>
      <c r="C19" s="837">
        <v>99</v>
      </c>
      <c r="D19" s="838">
        <v>106</v>
      </c>
      <c r="E19" s="838">
        <v>113</v>
      </c>
      <c r="F19" s="838">
        <v>112</v>
      </c>
      <c r="G19" s="838">
        <v>116</v>
      </c>
      <c r="H19" s="838">
        <v>126</v>
      </c>
      <c r="I19" s="838">
        <v>119</v>
      </c>
      <c r="J19" s="838">
        <v>124</v>
      </c>
      <c r="K19" s="838">
        <v>140</v>
      </c>
      <c r="L19" s="838">
        <v>139</v>
      </c>
      <c r="M19" s="838">
        <v>135</v>
      </c>
      <c r="N19" s="839">
        <v>116</v>
      </c>
      <c r="O19" s="839">
        <v>121</v>
      </c>
      <c r="P19" s="839">
        <v>120</v>
      </c>
      <c r="Q19" s="839">
        <v>93</v>
      </c>
      <c r="R19" s="839">
        <v>103</v>
      </c>
      <c r="S19" s="839">
        <v>142</v>
      </c>
      <c r="T19" s="839">
        <v>139</v>
      </c>
      <c r="U19" s="839">
        <v>145</v>
      </c>
      <c r="V19" s="839">
        <v>148</v>
      </c>
      <c r="W19" s="839">
        <v>144</v>
      </c>
      <c r="X19" s="838">
        <v>133</v>
      </c>
      <c r="Y19" s="838">
        <v>153</v>
      </c>
      <c r="Z19" s="839">
        <v>136</v>
      </c>
      <c r="AA19" s="838">
        <v>190</v>
      </c>
      <c r="AB19" s="838">
        <v>167</v>
      </c>
      <c r="AC19" s="838">
        <v>176</v>
      </c>
      <c r="AD19" s="838">
        <v>169</v>
      </c>
      <c r="AE19" s="838">
        <v>180</v>
      </c>
      <c r="AF19" s="838">
        <v>175</v>
      </c>
      <c r="AG19" s="838">
        <v>180</v>
      </c>
      <c r="AH19" s="838">
        <v>198</v>
      </c>
      <c r="AI19" s="838">
        <v>187</v>
      </c>
      <c r="AJ19" s="838">
        <v>213</v>
      </c>
      <c r="AK19" s="1028">
        <v>251</v>
      </c>
      <c r="AL19" s="1006">
        <v>171</v>
      </c>
      <c r="AM19" s="937">
        <v>199</v>
      </c>
      <c r="AN19" s="937">
        <v>88</v>
      </c>
      <c r="AO19" s="937">
        <v>283</v>
      </c>
      <c r="AP19" s="937">
        <v>332</v>
      </c>
      <c r="AQ19" s="937">
        <v>408</v>
      </c>
      <c r="AR19" s="937">
        <v>339</v>
      </c>
      <c r="AS19" s="937">
        <v>435</v>
      </c>
      <c r="AT19" s="937">
        <v>516</v>
      </c>
      <c r="AU19" s="937">
        <v>89</v>
      </c>
      <c r="AV19" s="937">
        <v>91</v>
      </c>
      <c r="AW19" s="937">
        <v>105</v>
      </c>
      <c r="AX19" s="937">
        <v>100</v>
      </c>
      <c r="AY19" s="937">
        <v>96</v>
      </c>
      <c r="AZ19" s="937">
        <v>100</v>
      </c>
      <c r="BA19" s="937">
        <v>92</v>
      </c>
      <c r="BB19" s="937">
        <v>95</v>
      </c>
      <c r="BC19" s="937">
        <v>100</v>
      </c>
      <c r="BD19" s="937">
        <v>92</v>
      </c>
      <c r="BE19" s="937">
        <v>94</v>
      </c>
      <c r="BF19" s="937">
        <v>101</v>
      </c>
      <c r="BG19" s="937">
        <v>100</v>
      </c>
      <c r="BH19" s="937">
        <v>100</v>
      </c>
      <c r="BI19" s="937">
        <v>106</v>
      </c>
      <c r="BJ19" s="937">
        <v>101.75</v>
      </c>
      <c r="BK19" s="937">
        <v>102.80000000000001</v>
      </c>
      <c r="BL19" s="937">
        <v>107.00000000000001</v>
      </c>
      <c r="BM19" s="937">
        <v>98.600000000000009</v>
      </c>
      <c r="BN19" s="937">
        <v>100.70000000000002</v>
      </c>
      <c r="BO19" s="937">
        <v>100.70000000000002</v>
      </c>
      <c r="BP19" s="937">
        <v>98.600000000000009</v>
      </c>
      <c r="BQ19" s="937">
        <v>100.70000000000002</v>
      </c>
      <c r="BR19" s="937">
        <v>107.00000000000001</v>
      </c>
      <c r="BS19" s="937">
        <v>102.80000000000001</v>
      </c>
      <c r="BT19" s="937">
        <v>104.9</v>
      </c>
      <c r="BU19" s="937">
        <v>112.25000000000001</v>
      </c>
      <c r="BV19" s="1104">
        <v>1237.8000000000002</v>
      </c>
      <c r="BW19" s="1104">
        <v>1176</v>
      </c>
      <c r="BX19" s="935">
        <v>3056</v>
      </c>
      <c r="BY19" s="1184">
        <v>2222</v>
      </c>
      <c r="BZ19" s="1205">
        <v>1557</v>
      </c>
      <c r="CA19" s="922">
        <v>1417</v>
      </c>
      <c r="CB19" s="880">
        <f t="shared" si="2"/>
        <v>1557</v>
      </c>
      <c r="CC19" s="1072">
        <f t="shared" si="6"/>
        <v>1417</v>
      </c>
      <c r="CD19" s="113"/>
      <c r="CE19" s="113"/>
      <c r="CF19" s="113"/>
      <c r="CG19" s="113"/>
      <c r="CH19"/>
    </row>
    <row r="20" spans="1:86" ht="31.5" customHeight="1" x14ac:dyDescent="0.35">
      <c r="A20" s="787" t="s">
        <v>84</v>
      </c>
      <c r="B20" s="788">
        <v>-5</v>
      </c>
      <c r="C20" s="788">
        <v>2</v>
      </c>
      <c r="D20" s="788">
        <v>-8</v>
      </c>
      <c r="E20" s="788">
        <v>1</v>
      </c>
      <c r="F20" s="788">
        <v>5</v>
      </c>
      <c r="G20" s="788">
        <v>1</v>
      </c>
      <c r="H20" s="788">
        <v>37</v>
      </c>
      <c r="I20" s="788">
        <v>3</v>
      </c>
      <c r="J20" s="788">
        <v>-1</v>
      </c>
      <c r="K20" s="788">
        <v>2</v>
      </c>
      <c r="L20" s="788">
        <v>0</v>
      </c>
      <c r="M20" s="788">
        <v>1</v>
      </c>
      <c r="N20" s="789">
        <v>2</v>
      </c>
      <c r="O20" s="789">
        <v>2</v>
      </c>
      <c r="P20" s="789">
        <v>1</v>
      </c>
      <c r="Q20" s="789">
        <v>0</v>
      </c>
      <c r="R20" s="789">
        <v>1</v>
      </c>
      <c r="S20" s="789">
        <v>2</v>
      </c>
      <c r="T20" s="789">
        <v>1</v>
      </c>
      <c r="U20" s="789">
        <v>0</v>
      </c>
      <c r="V20" s="789">
        <v>3</v>
      </c>
      <c r="W20" s="789">
        <v>-1</v>
      </c>
      <c r="X20" s="789">
        <v>1</v>
      </c>
      <c r="Y20" s="789">
        <v>-15</v>
      </c>
      <c r="Z20" s="789">
        <v>2</v>
      </c>
      <c r="AA20" s="789">
        <v>2</v>
      </c>
      <c r="AB20" s="789">
        <v>2</v>
      </c>
      <c r="AC20" s="789">
        <v>1</v>
      </c>
      <c r="AD20" s="789">
        <v>5</v>
      </c>
      <c r="AE20" s="789">
        <v>1</v>
      </c>
      <c r="AF20" s="789">
        <v>2</v>
      </c>
      <c r="AG20" s="789">
        <v>-3</v>
      </c>
      <c r="AH20" s="789">
        <v>-1</v>
      </c>
      <c r="AI20" s="789">
        <v>2</v>
      </c>
      <c r="AJ20" s="789">
        <v>1</v>
      </c>
      <c r="AK20" s="1024">
        <v>1</v>
      </c>
      <c r="AL20" s="1002">
        <v>16</v>
      </c>
      <c r="AM20" s="941">
        <v>41</v>
      </c>
      <c r="AN20" s="941">
        <v>1</v>
      </c>
      <c r="AO20" s="941">
        <v>3</v>
      </c>
      <c r="AP20" s="941">
        <v>3</v>
      </c>
      <c r="AQ20" s="941">
        <v>10</v>
      </c>
      <c r="AR20" s="941">
        <v>23</v>
      </c>
      <c r="AS20" s="941">
        <v>15</v>
      </c>
      <c r="AT20" s="941">
        <v>6</v>
      </c>
      <c r="AU20" s="1108">
        <v>3</v>
      </c>
      <c r="AV20" s="1108">
        <v>14</v>
      </c>
      <c r="AW20" s="1108">
        <v>48</v>
      </c>
      <c r="AX20" s="1108">
        <v>12</v>
      </c>
      <c r="AY20" s="1108">
        <v>26</v>
      </c>
      <c r="AZ20" s="1108">
        <v>12</v>
      </c>
      <c r="BA20" s="1108">
        <v>22</v>
      </c>
      <c r="BB20" s="1108">
        <v>9</v>
      </c>
      <c r="BC20" s="1108">
        <v>8</v>
      </c>
      <c r="BD20" s="1108">
        <v>13</v>
      </c>
      <c r="BE20" s="1108">
        <v>7</v>
      </c>
      <c r="BF20" s="1108">
        <v>6</v>
      </c>
      <c r="BG20" s="1108">
        <v>9</v>
      </c>
      <c r="BH20" s="1108">
        <v>9</v>
      </c>
      <c r="BI20" s="1108">
        <v>0</v>
      </c>
      <c r="BJ20" s="1108">
        <v>0</v>
      </c>
      <c r="BK20" s="1108">
        <v>0</v>
      </c>
      <c r="BL20" s="1108">
        <v>0</v>
      </c>
      <c r="BM20" s="1108">
        <v>0</v>
      </c>
      <c r="BN20" s="1108">
        <v>0</v>
      </c>
      <c r="BO20" s="1108">
        <v>0</v>
      </c>
      <c r="BP20" s="1108">
        <v>0</v>
      </c>
      <c r="BQ20" s="1108">
        <v>0</v>
      </c>
      <c r="BR20" s="1108">
        <v>0</v>
      </c>
      <c r="BS20" s="1108">
        <v>0</v>
      </c>
      <c r="BT20" s="1108">
        <v>0</v>
      </c>
      <c r="BU20" s="1108">
        <v>0</v>
      </c>
      <c r="BV20" s="939">
        <v>0</v>
      </c>
      <c r="BW20" s="939">
        <v>133</v>
      </c>
      <c r="BX20" s="939">
        <v>0</v>
      </c>
      <c r="BY20" s="1185">
        <v>15</v>
      </c>
      <c r="BZ20" s="1206">
        <v>-3</v>
      </c>
      <c r="CA20" s="949">
        <v>38</v>
      </c>
      <c r="CB20" s="883">
        <f t="shared" si="2"/>
        <v>-3</v>
      </c>
      <c r="CC20" s="1074">
        <f t="shared" si="6"/>
        <v>38</v>
      </c>
      <c r="CD20" s="113"/>
      <c r="CE20" s="113"/>
      <c r="CF20" s="113"/>
      <c r="CG20" s="113"/>
    </row>
    <row r="21" spans="1:86" s="840" customFormat="1" ht="28.5" customHeight="1" x14ac:dyDescent="0.35">
      <c r="A21" s="836" t="s">
        <v>85</v>
      </c>
      <c r="B21" s="837">
        <v>620</v>
      </c>
      <c r="C21" s="837">
        <v>-247</v>
      </c>
      <c r="D21" s="837">
        <v>-534</v>
      </c>
      <c r="E21" s="837">
        <v>-91</v>
      </c>
      <c r="F21" s="837">
        <v>143</v>
      </c>
      <c r="G21" s="837">
        <v>-517</v>
      </c>
      <c r="H21" s="837">
        <v>-590</v>
      </c>
      <c r="I21" s="837">
        <v>-459</v>
      </c>
      <c r="J21" s="837">
        <v>-1327</v>
      </c>
      <c r="K21" s="837">
        <v>-674</v>
      </c>
      <c r="L21" s="837">
        <v>40</v>
      </c>
      <c r="M21" s="837">
        <v>2352</v>
      </c>
      <c r="N21" s="842">
        <v>1234</v>
      </c>
      <c r="O21" s="842">
        <v>506</v>
      </c>
      <c r="P21" s="842">
        <v>461</v>
      </c>
      <c r="Q21" s="842">
        <v>1256</v>
      </c>
      <c r="R21" s="842">
        <v>803</v>
      </c>
      <c r="S21" s="842">
        <v>-11</v>
      </c>
      <c r="T21" s="842">
        <v>58</v>
      </c>
      <c r="U21" s="842">
        <v>609</v>
      </c>
      <c r="V21" s="842">
        <v>-157</v>
      </c>
      <c r="W21" s="842">
        <v>644</v>
      </c>
      <c r="X21" s="837">
        <v>725</v>
      </c>
      <c r="Y21" s="837">
        <v>93</v>
      </c>
      <c r="Z21" s="842">
        <v>161</v>
      </c>
      <c r="AA21" s="837">
        <v>92</v>
      </c>
      <c r="AB21" s="837">
        <v>-817</v>
      </c>
      <c r="AC21" s="837">
        <v>103</v>
      </c>
      <c r="AD21" s="837">
        <v>438</v>
      </c>
      <c r="AE21" s="837">
        <v>-35</v>
      </c>
      <c r="AF21" s="837">
        <v>-466</v>
      </c>
      <c r="AG21" s="837">
        <v>198</v>
      </c>
      <c r="AH21" s="837">
        <v>-616</v>
      </c>
      <c r="AI21" s="837">
        <v>-12</v>
      </c>
      <c r="AJ21" s="837">
        <v>-633</v>
      </c>
      <c r="AK21" s="1027">
        <v>-523</v>
      </c>
      <c r="AL21" s="1151">
        <v>625</v>
      </c>
      <c r="AM21" s="1151">
        <v>62</v>
      </c>
      <c r="AN21" s="1151">
        <v>1388</v>
      </c>
      <c r="AO21" s="1151">
        <v>1206</v>
      </c>
      <c r="AP21" s="1151">
        <v>-200</v>
      </c>
      <c r="AQ21" s="1151">
        <v>-188</v>
      </c>
      <c r="AR21" s="1151">
        <v>1429</v>
      </c>
      <c r="AS21" s="1151">
        <v>1963</v>
      </c>
      <c r="AT21" s="1151">
        <v>1694</v>
      </c>
      <c r="AU21" s="1152">
        <v>-534</v>
      </c>
      <c r="AV21" s="1152">
        <v>389</v>
      </c>
      <c r="AW21" s="1152">
        <v>321</v>
      </c>
      <c r="AX21" s="934">
        <v>-1123</v>
      </c>
      <c r="AY21" s="934">
        <v>-679</v>
      </c>
      <c r="AZ21" s="934">
        <v>1</v>
      </c>
      <c r="BA21" s="934">
        <v>153</v>
      </c>
      <c r="BB21" s="934">
        <v>-217</v>
      </c>
      <c r="BC21" s="934">
        <v>-154</v>
      </c>
      <c r="BD21" s="934">
        <v>-985</v>
      </c>
      <c r="BE21" s="934">
        <v>-2384</v>
      </c>
      <c r="BF21" s="934">
        <v>-1024</v>
      </c>
      <c r="BG21" s="934">
        <v>-903</v>
      </c>
      <c r="BH21" s="934">
        <v>-1504</v>
      </c>
      <c r="BI21" s="934">
        <v>-2061.9064704889984</v>
      </c>
      <c r="BJ21" s="934">
        <v>-968.90596745869527</v>
      </c>
      <c r="BK21" s="934">
        <v>-1031.284664464099</v>
      </c>
      <c r="BL21" s="934">
        <v>-1141.8543699472345</v>
      </c>
      <c r="BM21" s="934">
        <v>-635.27243472870487</v>
      </c>
      <c r="BN21" s="934">
        <v>-949.28253298539471</v>
      </c>
      <c r="BO21" s="934">
        <v>-1037.9411330530136</v>
      </c>
      <c r="BP21" s="934">
        <v>-1275.2105313295233</v>
      </c>
      <c r="BQ21" s="934">
        <v>-408.97078984909263</v>
      </c>
      <c r="BR21" s="934">
        <v>-699.92439374807191</v>
      </c>
      <c r="BS21" s="934">
        <v>-399.59536917299579</v>
      </c>
      <c r="BT21" s="934">
        <v>-261.9028325420536</v>
      </c>
      <c r="BU21" s="934">
        <v>-415.98966648809665</v>
      </c>
      <c r="BV21" s="934">
        <v>-9226.1346857669741</v>
      </c>
      <c r="BW21" s="934">
        <v>-10880.906470488999</v>
      </c>
      <c r="BX21" s="934">
        <v>7972</v>
      </c>
      <c r="BY21" s="934"/>
      <c r="BZ21" s="1207" t="s">
        <v>135</v>
      </c>
      <c r="CA21" s="934"/>
      <c r="CB21" s="1461" t="s">
        <v>135</v>
      </c>
      <c r="CC21" s="1462"/>
      <c r="CD21" s="113"/>
      <c r="CE21" s="113"/>
      <c r="CF21" s="113"/>
      <c r="CG21" s="113"/>
      <c r="CH21"/>
    </row>
    <row r="22" spans="1:86" ht="31.5" customHeight="1" x14ac:dyDescent="0.35">
      <c r="A22" s="787" t="s">
        <v>127</v>
      </c>
      <c r="B22" s="788">
        <v>688</v>
      </c>
      <c r="C22" s="788">
        <v>1</v>
      </c>
      <c r="D22" s="788">
        <v>-1179</v>
      </c>
      <c r="E22" s="788">
        <v>-45</v>
      </c>
      <c r="F22" s="788">
        <v>892</v>
      </c>
      <c r="G22" s="788">
        <v>-1727</v>
      </c>
      <c r="H22" s="788">
        <v>-1882</v>
      </c>
      <c r="I22" s="788">
        <v>-528</v>
      </c>
      <c r="J22" s="788">
        <v>-1420</v>
      </c>
      <c r="K22" s="788">
        <v>-565</v>
      </c>
      <c r="L22" s="788">
        <v>-561</v>
      </c>
      <c r="M22" s="788">
        <f>M24+M25+M32-M43-M57</f>
        <v>-884</v>
      </c>
      <c r="N22" s="789">
        <f t="shared" ref="N22:AK22" si="11">N24+N25+N32-N43-N58</f>
        <v>328</v>
      </c>
      <c r="O22" s="789">
        <f t="shared" si="11"/>
        <v>-227</v>
      </c>
      <c r="P22" s="789">
        <f t="shared" si="11"/>
        <v>2239</v>
      </c>
      <c r="Q22" s="789">
        <f t="shared" si="11"/>
        <v>540</v>
      </c>
      <c r="R22" s="789">
        <f t="shared" si="11"/>
        <v>1156</v>
      </c>
      <c r="S22" s="789">
        <f t="shared" si="11"/>
        <v>-989</v>
      </c>
      <c r="T22" s="789">
        <f t="shared" si="11"/>
        <v>146</v>
      </c>
      <c r="U22" s="789">
        <f t="shared" si="11"/>
        <v>256</v>
      </c>
      <c r="V22" s="789">
        <f t="shared" si="11"/>
        <v>1800</v>
      </c>
      <c r="W22" s="789">
        <f t="shared" si="11"/>
        <v>987</v>
      </c>
      <c r="X22" s="789">
        <f t="shared" si="11"/>
        <v>740</v>
      </c>
      <c r="Y22" s="789">
        <f t="shared" si="11"/>
        <v>-2745</v>
      </c>
      <c r="Z22" s="789">
        <f t="shared" si="11"/>
        <v>381</v>
      </c>
      <c r="AA22" s="789">
        <f t="shared" si="11"/>
        <v>120</v>
      </c>
      <c r="AB22" s="789">
        <f t="shared" si="11"/>
        <v>-104</v>
      </c>
      <c r="AC22" s="789">
        <f t="shared" si="11"/>
        <v>-692</v>
      </c>
      <c r="AD22" s="789">
        <f t="shared" si="11"/>
        <v>718</v>
      </c>
      <c r="AE22" s="789">
        <f t="shared" si="11"/>
        <v>-788</v>
      </c>
      <c r="AF22" s="789">
        <f t="shared" si="11"/>
        <v>-950</v>
      </c>
      <c r="AG22" s="789">
        <f t="shared" si="11"/>
        <v>72</v>
      </c>
      <c r="AH22" s="789">
        <f t="shared" si="11"/>
        <v>1627</v>
      </c>
      <c r="AI22" s="789">
        <f t="shared" si="11"/>
        <v>-1082</v>
      </c>
      <c r="AJ22" s="789">
        <f t="shared" si="11"/>
        <v>-1010</v>
      </c>
      <c r="AK22" s="859">
        <f t="shared" si="11"/>
        <v>-889</v>
      </c>
      <c r="AL22" s="984">
        <v>2387</v>
      </c>
      <c r="AM22" s="984">
        <v>1720</v>
      </c>
      <c r="AN22" s="984">
        <v>709</v>
      </c>
      <c r="AO22" s="984">
        <v>2073</v>
      </c>
      <c r="AP22" s="984">
        <v>1721</v>
      </c>
      <c r="AQ22" s="984">
        <v>2032</v>
      </c>
      <c r="AR22" s="984">
        <v>1728</v>
      </c>
      <c r="AS22" s="984">
        <v>-1142</v>
      </c>
      <c r="AT22" s="984">
        <v>3069</v>
      </c>
      <c r="AU22" s="984">
        <v>-1785</v>
      </c>
      <c r="AV22" s="984">
        <v>-2048</v>
      </c>
      <c r="AW22" s="984">
        <v>-41</v>
      </c>
      <c r="AX22" s="1099">
        <v>-2331</v>
      </c>
      <c r="AY22" s="859">
        <v>177</v>
      </c>
      <c r="AZ22" s="859">
        <v>-2764</v>
      </c>
      <c r="BA22" s="859">
        <v>-3868</v>
      </c>
      <c r="BB22" s="859">
        <v>-1750</v>
      </c>
      <c r="BC22" s="859">
        <v>-1842</v>
      </c>
      <c r="BD22" s="859">
        <v>-3564</v>
      </c>
      <c r="BE22" s="859">
        <v>-1087</v>
      </c>
      <c r="BF22" s="859">
        <v>-415</v>
      </c>
      <c r="BG22" s="859">
        <v>-56</v>
      </c>
      <c r="BH22" s="859">
        <v>-1149</v>
      </c>
      <c r="BI22" s="859">
        <v>-3208.395522939315</v>
      </c>
      <c r="BJ22" s="1099">
        <v>-735.90809376007041</v>
      </c>
      <c r="BK22" s="859">
        <v>-354.84483714509167</v>
      </c>
      <c r="BL22" s="859">
        <v>-1378.4202565513083</v>
      </c>
      <c r="BM22" s="859">
        <v>-994.29323063386721</v>
      </c>
      <c r="BN22" s="859">
        <v>-1231.8543071464569</v>
      </c>
      <c r="BO22" s="859">
        <v>-2665.1460730359649</v>
      </c>
      <c r="BP22" s="859">
        <v>-2125.8578755320818</v>
      </c>
      <c r="BQ22" s="859">
        <v>-2013.9003892210544</v>
      </c>
      <c r="BR22" s="859">
        <v>-2681.3034360877587</v>
      </c>
      <c r="BS22" s="859">
        <v>-1539.7898383723464</v>
      </c>
      <c r="BT22" s="859">
        <v>-1539.4122300813849</v>
      </c>
      <c r="BU22" s="859">
        <v>-3124.9503367813268</v>
      </c>
      <c r="BV22" s="859">
        <v>-20385.680904348712</v>
      </c>
      <c r="BW22" s="859">
        <v>-21857.395522939314</v>
      </c>
      <c r="BX22" s="859">
        <v>10423</v>
      </c>
      <c r="BY22" s="1186">
        <v>-1871</v>
      </c>
      <c r="BZ22" s="1208">
        <v>4231</v>
      </c>
      <c r="CA22" s="948">
        <v>-7210</v>
      </c>
      <c r="CB22" s="877">
        <f>SUM(N22:Y22)</f>
        <v>4231</v>
      </c>
      <c r="CC22" s="795">
        <f>SUM(B22:M22)</f>
        <v>-7210</v>
      </c>
      <c r="CD22" s="113"/>
      <c r="CE22" s="113"/>
      <c r="CF22" s="113"/>
      <c r="CG22" s="113"/>
    </row>
    <row r="23" spans="1:86" ht="17.850000000000001" customHeight="1" x14ac:dyDescent="0.35">
      <c r="A23" s="787" t="s">
        <v>132</v>
      </c>
      <c r="B23" s="789">
        <f t="shared" ref="B23:M23" si="12">B24+B25+B32</f>
        <v>789</v>
      </c>
      <c r="C23" s="789">
        <f t="shared" si="12"/>
        <v>338</v>
      </c>
      <c r="D23" s="789">
        <f t="shared" si="12"/>
        <v>-1044</v>
      </c>
      <c r="E23" s="789">
        <f t="shared" si="12"/>
        <v>-47</v>
      </c>
      <c r="F23" s="789">
        <f t="shared" si="12"/>
        <v>730</v>
      </c>
      <c r="G23" s="789">
        <f t="shared" si="12"/>
        <v>-1882</v>
      </c>
      <c r="H23" s="789">
        <f t="shared" si="12"/>
        <v>-1535</v>
      </c>
      <c r="I23" s="789">
        <f t="shared" si="12"/>
        <v>-466</v>
      </c>
      <c r="J23" s="789">
        <f t="shared" si="12"/>
        <v>-1129</v>
      </c>
      <c r="K23" s="789">
        <f t="shared" si="12"/>
        <v>-274</v>
      </c>
      <c r="L23" s="789">
        <f t="shared" si="12"/>
        <v>-298</v>
      </c>
      <c r="M23" s="789">
        <f t="shared" si="12"/>
        <v>-740</v>
      </c>
      <c r="N23" s="789">
        <f t="shared" ref="N23:AK23" si="13">N24+N25+N32-N43</f>
        <v>2016</v>
      </c>
      <c r="O23" s="789">
        <f t="shared" si="13"/>
        <v>-161</v>
      </c>
      <c r="P23" s="789">
        <f t="shared" si="13"/>
        <v>1798</v>
      </c>
      <c r="Q23" s="789">
        <f t="shared" si="13"/>
        <v>221</v>
      </c>
      <c r="R23" s="789">
        <f t="shared" si="13"/>
        <v>-76</v>
      </c>
      <c r="S23" s="789">
        <f t="shared" si="13"/>
        <v>-626</v>
      </c>
      <c r="T23" s="789">
        <f t="shared" si="13"/>
        <v>367</v>
      </c>
      <c r="U23" s="789">
        <f t="shared" si="13"/>
        <v>1</v>
      </c>
      <c r="V23" s="789">
        <f t="shared" si="13"/>
        <v>279</v>
      </c>
      <c r="W23" s="789">
        <f t="shared" si="13"/>
        <v>865</v>
      </c>
      <c r="X23" s="789">
        <f t="shared" si="13"/>
        <v>649</v>
      </c>
      <c r="Y23" s="789">
        <f t="shared" si="13"/>
        <v>-218</v>
      </c>
      <c r="Z23" s="789">
        <f t="shared" si="13"/>
        <v>714</v>
      </c>
      <c r="AA23" s="789">
        <f t="shared" si="13"/>
        <v>279</v>
      </c>
      <c r="AB23" s="789">
        <f t="shared" si="13"/>
        <v>-360</v>
      </c>
      <c r="AC23" s="789">
        <f t="shared" si="13"/>
        <v>331</v>
      </c>
      <c r="AD23" s="789">
        <f t="shared" si="13"/>
        <v>782</v>
      </c>
      <c r="AE23" s="789">
        <f t="shared" si="13"/>
        <v>0</v>
      </c>
      <c r="AF23" s="789">
        <f t="shared" si="13"/>
        <v>-574</v>
      </c>
      <c r="AG23" s="789">
        <f t="shared" si="13"/>
        <v>-277</v>
      </c>
      <c r="AH23" s="789">
        <f t="shared" si="13"/>
        <v>-318</v>
      </c>
      <c r="AI23" s="789">
        <f t="shared" si="13"/>
        <v>-608</v>
      </c>
      <c r="AJ23" s="789">
        <f t="shared" si="13"/>
        <v>-848</v>
      </c>
      <c r="AK23" s="859">
        <f t="shared" si="13"/>
        <v>-433</v>
      </c>
      <c r="AL23" s="984">
        <v>1886</v>
      </c>
      <c r="AM23" s="984">
        <v>1104</v>
      </c>
      <c r="AN23" s="984">
        <v>3349</v>
      </c>
      <c r="AO23" s="984">
        <v>2864</v>
      </c>
      <c r="AP23" s="984">
        <v>2677</v>
      </c>
      <c r="AQ23" s="984">
        <v>3762</v>
      </c>
      <c r="AR23" s="984">
        <v>1532</v>
      </c>
      <c r="AS23" s="984">
        <v>282</v>
      </c>
      <c r="AT23" s="984">
        <v>2897</v>
      </c>
      <c r="AU23" s="984">
        <v>2115</v>
      </c>
      <c r="AV23" s="984">
        <v>454</v>
      </c>
      <c r="AW23" s="984">
        <v>1284</v>
      </c>
      <c r="AX23" s="1099">
        <v>1052</v>
      </c>
      <c r="AY23" s="1099">
        <v>396</v>
      </c>
      <c r="AZ23" s="1099">
        <v>-55</v>
      </c>
      <c r="BA23" s="1099">
        <v>254</v>
      </c>
      <c r="BB23" s="1099">
        <v>129</v>
      </c>
      <c r="BC23" s="1099">
        <v>692</v>
      </c>
      <c r="BD23" s="1099">
        <v>-370</v>
      </c>
      <c r="BE23" s="1099">
        <v>280</v>
      </c>
      <c r="BF23" s="1099">
        <v>361</v>
      </c>
      <c r="BG23" s="1099">
        <v>1402</v>
      </c>
      <c r="BH23" s="1099">
        <v>724</v>
      </c>
      <c r="BI23" s="1099">
        <v>1687.1736069111566</v>
      </c>
      <c r="BJ23" s="1099">
        <v>1042.6693844210224</v>
      </c>
      <c r="BK23" s="1099">
        <v>946.65619524383817</v>
      </c>
      <c r="BL23" s="1099">
        <v>1312.2188160036326</v>
      </c>
      <c r="BM23" s="1099">
        <v>395.07903231262355</v>
      </c>
      <c r="BN23" s="1099">
        <v>690.06397758901574</v>
      </c>
      <c r="BO23" s="1099">
        <v>405.53427783507573</v>
      </c>
      <c r="BP23" s="1099">
        <v>123.07613394045495</v>
      </c>
      <c r="BQ23" s="1099">
        <v>-532.72729646689811</v>
      </c>
      <c r="BR23" s="1099">
        <v>-50.3231205868139</v>
      </c>
      <c r="BS23" s="1099">
        <v>-156.04013729351013</v>
      </c>
      <c r="BT23" s="1099">
        <v>111.747246161276</v>
      </c>
      <c r="BU23" s="1099">
        <v>195.8261901767728</v>
      </c>
      <c r="BV23" s="859">
        <v>4483.7806993364893</v>
      </c>
      <c r="BW23" s="859">
        <v>6552.1736069111566</v>
      </c>
      <c r="BX23" s="859">
        <v>24206</v>
      </c>
      <c r="BY23" s="1099">
        <v>-1312</v>
      </c>
      <c r="BZ23" s="1209">
        <v>5115</v>
      </c>
      <c r="CA23" s="923">
        <v>-5558</v>
      </c>
      <c r="CB23" s="877">
        <f>SUM(N23:Y23)</f>
        <v>5115</v>
      </c>
      <c r="CC23" s="795">
        <f>SUM(B23:M23)</f>
        <v>-5558</v>
      </c>
      <c r="CD23" s="343"/>
      <c r="CE23" s="113"/>
      <c r="CF23" s="113"/>
      <c r="CG23" s="113"/>
    </row>
    <row r="24" spans="1:86" s="851" customFormat="1" ht="17.850000000000001" customHeight="1" x14ac:dyDescent="0.35">
      <c r="A24" s="846" t="s">
        <v>86</v>
      </c>
      <c r="B24" s="847">
        <v>-82</v>
      </c>
      <c r="C24" s="847">
        <v>-127</v>
      </c>
      <c r="D24" s="847">
        <v>-134</v>
      </c>
      <c r="E24" s="847">
        <v>-273</v>
      </c>
      <c r="F24" s="847">
        <v>-81</v>
      </c>
      <c r="G24" s="847">
        <v>-187</v>
      </c>
      <c r="H24" s="847">
        <v>-194</v>
      </c>
      <c r="I24" s="847">
        <v>-201</v>
      </c>
      <c r="J24" s="847">
        <v>-166</v>
      </c>
      <c r="K24" s="847">
        <v>-232</v>
      </c>
      <c r="L24" s="847">
        <v>-349</v>
      </c>
      <c r="M24" s="847">
        <v>64</v>
      </c>
      <c r="N24" s="848">
        <v>466</v>
      </c>
      <c r="O24" s="848">
        <v>382</v>
      </c>
      <c r="P24" s="848">
        <v>712</v>
      </c>
      <c r="Q24" s="848">
        <v>-316</v>
      </c>
      <c r="R24" s="848">
        <v>-445</v>
      </c>
      <c r="S24" s="848">
        <v>-491</v>
      </c>
      <c r="T24" s="848">
        <v>-59</v>
      </c>
      <c r="U24" s="848">
        <v>54</v>
      </c>
      <c r="V24" s="848">
        <v>102</v>
      </c>
      <c r="W24" s="848">
        <v>144</v>
      </c>
      <c r="X24" s="848">
        <v>134</v>
      </c>
      <c r="Y24" s="848">
        <v>267</v>
      </c>
      <c r="Z24" s="849">
        <v>-634</v>
      </c>
      <c r="AA24" s="849">
        <v>-153</v>
      </c>
      <c r="AB24" s="849">
        <v>-730</v>
      </c>
      <c r="AC24" s="849">
        <v>-626</v>
      </c>
      <c r="AD24" s="849">
        <v>-240</v>
      </c>
      <c r="AE24" s="849">
        <v>-327</v>
      </c>
      <c r="AF24" s="849">
        <v>-811</v>
      </c>
      <c r="AG24" s="849">
        <v>-892</v>
      </c>
      <c r="AH24" s="849">
        <v>-805</v>
      </c>
      <c r="AI24" s="849">
        <v>-579</v>
      </c>
      <c r="AJ24" s="849">
        <v>-360</v>
      </c>
      <c r="AK24" s="1029">
        <v>-574</v>
      </c>
      <c r="AL24" s="1007">
        <v>-166</v>
      </c>
      <c r="AM24" s="951">
        <v>719</v>
      </c>
      <c r="AN24" s="951">
        <v>24</v>
      </c>
      <c r="AO24" s="951">
        <v>-32</v>
      </c>
      <c r="AP24" s="951">
        <v>-80</v>
      </c>
      <c r="AQ24" s="951">
        <v>-174</v>
      </c>
      <c r="AR24" s="951">
        <v>-150</v>
      </c>
      <c r="AS24" s="951">
        <v>-55</v>
      </c>
      <c r="AT24" s="951">
        <v>-127</v>
      </c>
      <c r="AU24" s="951">
        <v>-55</v>
      </c>
      <c r="AV24" s="1114">
        <v>-28</v>
      </c>
      <c r="AW24" s="951">
        <v>-89</v>
      </c>
      <c r="AX24" s="951">
        <v>-370</v>
      </c>
      <c r="AY24" s="951">
        <v>-387</v>
      </c>
      <c r="AZ24" s="951">
        <v>-388</v>
      </c>
      <c r="BA24" s="951">
        <v>-536</v>
      </c>
      <c r="BB24" s="951">
        <v>-376</v>
      </c>
      <c r="BC24" s="951">
        <v>-392</v>
      </c>
      <c r="BD24" s="951">
        <v>-663</v>
      </c>
      <c r="BE24" s="951">
        <v>-445</v>
      </c>
      <c r="BF24" s="951">
        <v>-532</v>
      </c>
      <c r="BG24" s="951">
        <v>-174</v>
      </c>
      <c r="BH24" s="951">
        <v>-94</v>
      </c>
      <c r="BI24" s="951">
        <v>-337.10870130221758</v>
      </c>
      <c r="BJ24" s="951">
        <v>-390.40861155940388</v>
      </c>
      <c r="BK24" s="951">
        <v>-450.38181749499046</v>
      </c>
      <c r="BL24" s="951">
        <v>-379.69150639132033</v>
      </c>
      <c r="BM24" s="951">
        <v>-411.30420036547724</v>
      </c>
      <c r="BN24" s="951">
        <v>-437.49283299981892</v>
      </c>
      <c r="BO24" s="951">
        <v>-417.22480666124363</v>
      </c>
      <c r="BP24" s="951">
        <v>-473.66053617996613</v>
      </c>
      <c r="BQ24" s="951">
        <v>-500.70413094416892</v>
      </c>
      <c r="BR24" s="951">
        <v>-514.97107193273666</v>
      </c>
      <c r="BS24" s="951">
        <v>-259.92592095411231</v>
      </c>
      <c r="BT24" s="951">
        <v>-324.963395759202</v>
      </c>
      <c r="BU24" s="951">
        <v>-365.43656451051481</v>
      </c>
      <c r="BV24" s="951">
        <v>-4926.1653957529552</v>
      </c>
      <c r="BW24" s="951">
        <v>-4694.1087013022179</v>
      </c>
      <c r="BX24" s="951">
        <v>-213</v>
      </c>
      <c r="BY24" s="1187">
        <v>-6731</v>
      </c>
      <c r="BZ24" s="1210">
        <v>950</v>
      </c>
      <c r="CA24" s="927">
        <v>-1962</v>
      </c>
      <c r="CB24" s="884">
        <f>SUM(N24:Y24)</f>
        <v>950</v>
      </c>
      <c r="CC24" s="847">
        <f>SUM(B24:M24)</f>
        <v>-1962</v>
      </c>
      <c r="CD24" s="850"/>
    </row>
    <row r="25" spans="1:86" s="851" customFormat="1" ht="17.850000000000001" customHeight="1" x14ac:dyDescent="0.35">
      <c r="A25" s="846" t="s">
        <v>131</v>
      </c>
      <c r="B25" s="847">
        <v>-202</v>
      </c>
      <c r="C25" s="847">
        <v>-61</v>
      </c>
      <c r="D25" s="847">
        <v>75</v>
      </c>
      <c r="E25" s="847">
        <v>-190</v>
      </c>
      <c r="F25" s="847">
        <v>773</v>
      </c>
      <c r="G25" s="847">
        <v>-1734</v>
      </c>
      <c r="H25" s="847">
        <v>-2596</v>
      </c>
      <c r="I25" s="847">
        <v>313</v>
      </c>
      <c r="J25" s="847">
        <v>-111</v>
      </c>
      <c r="K25" s="847">
        <v>74</v>
      </c>
      <c r="L25" s="847">
        <v>-877</v>
      </c>
      <c r="M25" s="847">
        <v>-598</v>
      </c>
      <c r="N25" s="849">
        <f t="shared" ref="N25:Y25" si="14">N26-N27</f>
        <v>48</v>
      </c>
      <c r="O25" s="849">
        <f t="shared" si="14"/>
        <v>-518</v>
      </c>
      <c r="P25" s="849">
        <f t="shared" si="14"/>
        <v>269</v>
      </c>
      <c r="Q25" s="849">
        <f t="shared" si="14"/>
        <v>-17</v>
      </c>
      <c r="R25" s="849">
        <f t="shared" si="14"/>
        <v>-36</v>
      </c>
      <c r="S25" s="849">
        <f t="shared" si="14"/>
        <v>168</v>
      </c>
      <c r="T25" s="849">
        <f t="shared" si="14"/>
        <v>-39</v>
      </c>
      <c r="U25" s="849">
        <f t="shared" si="14"/>
        <v>-4</v>
      </c>
      <c r="V25" s="849">
        <f t="shared" si="14"/>
        <v>103</v>
      </c>
      <c r="W25" s="849">
        <f t="shared" si="14"/>
        <v>104</v>
      </c>
      <c r="X25" s="849">
        <f t="shared" si="14"/>
        <v>323</v>
      </c>
      <c r="Y25" s="849">
        <f t="shared" si="14"/>
        <v>117</v>
      </c>
      <c r="Z25" s="849">
        <f>Z26-Z27</f>
        <v>129</v>
      </c>
      <c r="AA25" s="849">
        <f t="shared" ref="AA25:AK25" si="15">AA26-AA27</f>
        <v>166</v>
      </c>
      <c r="AB25" s="849">
        <f t="shared" si="15"/>
        <v>53</v>
      </c>
      <c r="AC25" s="849">
        <f t="shared" si="15"/>
        <v>4</v>
      </c>
      <c r="AD25" s="849">
        <f t="shared" si="15"/>
        <v>-27</v>
      </c>
      <c r="AE25" s="849">
        <f t="shared" si="15"/>
        <v>-693</v>
      </c>
      <c r="AF25" s="849">
        <f t="shared" si="15"/>
        <v>-260</v>
      </c>
      <c r="AG25" s="849">
        <f t="shared" si="15"/>
        <v>43</v>
      </c>
      <c r="AH25" s="849">
        <f t="shared" si="15"/>
        <v>154</v>
      </c>
      <c r="AI25" s="849">
        <f t="shared" si="15"/>
        <v>50</v>
      </c>
      <c r="AJ25" s="849">
        <f t="shared" si="15"/>
        <v>-774</v>
      </c>
      <c r="AK25" s="1029">
        <f t="shared" si="15"/>
        <v>32</v>
      </c>
      <c r="AL25" s="1100">
        <v>110</v>
      </c>
      <c r="AM25" s="866">
        <v>76</v>
      </c>
      <c r="AN25" s="866">
        <v>35</v>
      </c>
      <c r="AO25" s="866">
        <v>43</v>
      </c>
      <c r="AP25" s="866">
        <v>50</v>
      </c>
      <c r="AQ25" s="866">
        <v>7</v>
      </c>
      <c r="AR25" s="866">
        <v>-42</v>
      </c>
      <c r="AS25" s="866">
        <v>42</v>
      </c>
      <c r="AT25" s="866">
        <v>108</v>
      </c>
      <c r="AU25" s="866">
        <v>10</v>
      </c>
      <c r="AV25" s="866">
        <v>139</v>
      </c>
      <c r="AW25" s="1118">
        <v>172</v>
      </c>
      <c r="AX25" s="1118">
        <v>186</v>
      </c>
      <c r="AY25" s="1118">
        <v>180</v>
      </c>
      <c r="AZ25" s="1118">
        <v>224</v>
      </c>
      <c r="BA25" s="1118">
        <v>187</v>
      </c>
      <c r="BB25" s="1118">
        <v>132</v>
      </c>
      <c r="BC25" s="1118">
        <v>189</v>
      </c>
      <c r="BD25" s="1118">
        <v>303</v>
      </c>
      <c r="BE25" s="1118">
        <v>249</v>
      </c>
      <c r="BF25" s="1118">
        <v>237</v>
      </c>
      <c r="BG25" s="1118">
        <v>177</v>
      </c>
      <c r="BH25" s="1118">
        <v>281</v>
      </c>
      <c r="BI25" s="1118">
        <v>154.75</v>
      </c>
      <c r="BJ25" s="1118">
        <v>195.77151639344262</v>
      </c>
      <c r="BK25" s="1118">
        <v>240.45739412568304</v>
      </c>
      <c r="BL25" s="1118">
        <v>235.18403489298726</v>
      </c>
      <c r="BM25" s="1118">
        <v>189.96849681712959</v>
      </c>
      <c r="BN25" s="1118">
        <v>170.21587155189044</v>
      </c>
      <c r="BO25" s="1118">
        <v>193.40052751454797</v>
      </c>
      <c r="BP25" s="1118">
        <v>214.22625453420289</v>
      </c>
      <c r="BQ25" s="1118">
        <v>186.83117465249029</v>
      </c>
      <c r="BR25" s="1118">
        <v>257.32257035440546</v>
      </c>
      <c r="BS25" s="1118">
        <v>183.70464247410322</v>
      </c>
      <c r="BT25" s="1118">
        <v>290.26336268027853</v>
      </c>
      <c r="BU25" s="1118">
        <v>163.03530957030171</v>
      </c>
      <c r="BV25" s="951">
        <v>2520.3811555614634</v>
      </c>
      <c r="BW25" s="951">
        <v>2499.75</v>
      </c>
      <c r="BX25" s="951">
        <v>750</v>
      </c>
      <c r="BY25" s="1187">
        <v>-1123</v>
      </c>
      <c r="BZ25" s="1210">
        <v>518</v>
      </c>
      <c r="CA25" s="928">
        <v>-5134</v>
      </c>
      <c r="CB25" s="884">
        <f>SUM(N25:Y25)</f>
        <v>518</v>
      </c>
      <c r="CC25" s="847">
        <f>SUM(B25:M25)</f>
        <v>-5134</v>
      </c>
    </row>
    <row r="26" spans="1:86" s="832" customFormat="1" ht="17.850000000000001" customHeight="1" x14ac:dyDescent="0.35">
      <c r="A26" s="833" t="s">
        <v>88</v>
      </c>
      <c r="B26" s="799"/>
      <c r="C26" s="799"/>
      <c r="D26" s="799"/>
      <c r="E26" s="799"/>
      <c r="F26" s="799"/>
      <c r="G26" s="799"/>
      <c r="H26" s="799"/>
      <c r="I26" s="799"/>
      <c r="J26" s="799"/>
      <c r="K26" s="799"/>
      <c r="L26" s="799"/>
      <c r="M26" s="799"/>
      <c r="N26" s="798">
        <v>22</v>
      </c>
      <c r="O26" s="798">
        <v>-72</v>
      </c>
      <c r="P26" s="798">
        <v>-64</v>
      </c>
      <c r="Q26" s="798">
        <v>-66</v>
      </c>
      <c r="R26" s="798">
        <v>-43</v>
      </c>
      <c r="S26" s="798">
        <v>182</v>
      </c>
      <c r="T26" s="798">
        <v>8</v>
      </c>
      <c r="U26" s="798">
        <v>10</v>
      </c>
      <c r="V26" s="798">
        <v>12</v>
      </c>
      <c r="W26" s="798">
        <v>5</v>
      </c>
      <c r="X26" s="798">
        <v>22</v>
      </c>
      <c r="Y26" s="798">
        <v>136</v>
      </c>
      <c r="Z26" s="798">
        <v>-63</v>
      </c>
      <c r="AA26" s="798">
        <v>26</v>
      </c>
      <c r="AB26" s="798">
        <v>-73</v>
      </c>
      <c r="AC26" s="798">
        <v>-35</v>
      </c>
      <c r="AD26" s="798">
        <v>-45</v>
      </c>
      <c r="AE26" s="798">
        <v>7</v>
      </c>
      <c r="AF26" s="798">
        <v>5</v>
      </c>
      <c r="AG26" s="798">
        <v>14</v>
      </c>
      <c r="AH26" s="798">
        <v>12</v>
      </c>
      <c r="AI26" s="798">
        <v>10</v>
      </c>
      <c r="AJ26" s="798">
        <v>16</v>
      </c>
      <c r="AK26" s="1030">
        <v>56</v>
      </c>
      <c r="AL26" s="1004">
        <v>44</v>
      </c>
      <c r="AM26" s="933">
        <v>39</v>
      </c>
      <c r="AN26" s="933">
        <v>-17</v>
      </c>
      <c r="AO26" s="933">
        <v>16</v>
      </c>
      <c r="AP26" s="933">
        <v>56</v>
      </c>
      <c r="AQ26" s="933">
        <v>14</v>
      </c>
      <c r="AR26" s="933">
        <v>7</v>
      </c>
      <c r="AS26" s="933">
        <v>39</v>
      </c>
      <c r="AT26" s="933">
        <v>56</v>
      </c>
      <c r="AU26" s="933">
        <v>18</v>
      </c>
      <c r="AV26" s="1115">
        <v>167</v>
      </c>
      <c r="AW26" s="933">
        <v>202</v>
      </c>
      <c r="AX26" s="933">
        <v>168</v>
      </c>
      <c r="AY26" s="933">
        <v>48</v>
      </c>
      <c r="AZ26" s="933">
        <v>172</v>
      </c>
      <c r="BA26" s="933">
        <v>195</v>
      </c>
      <c r="BB26" s="933">
        <v>160</v>
      </c>
      <c r="BC26" s="933">
        <v>197</v>
      </c>
      <c r="BD26" s="933">
        <v>285</v>
      </c>
      <c r="BE26" s="933">
        <v>257</v>
      </c>
      <c r="BF26" s="933">
        <v>165</v>
      </c>
      <c r="BG26" s="933">
        <v>185</v>
      </c>
      <c r="BH26" s="933">
        <v>183</v>
      </c>
      <c r="BI26" s="933">
        <v>184.75</v>
      </c>
      <c r="BJ26" s="933">
        <v>183.3125</v>
      </c>
      <c r="BK26" s="933">
        <v>184.58854166666666</v>
      </c>
      <c r="BL26" s="933">
        <v>195.97092013888889</v>
      </c>
      <c r="BM26" s="933">
        <v>197.96849681712959</v>
      </c>
      <c r="BN26" s="933">
        <v>198.21587155189044</v>
      </c>
      <c r="BO26" s="933">
        <v>201.40052751454797</v>
      </c>
      <c r="BP26" s="933">
        <v>201.76723814076027</v>
      </c>
      <c r="BQ26" s="933">
        <v>194.83117465249029</v>
      </c>
      <c r="BR26" s="933">
        <v>189.65043920686449</v>
      </c>
      <c r="BS26" s="933">
        <v>191.70464247410322</v>
      </c>
      <c r="BT26" s="933">
        <v>192.2633626802785</v>
      </c>
      <c r="BU26" s="933">
        <v>193.03530957030171</v>
      </c>
      <c r="BV26" s="933">
        <v>2324.7090244139222</v>
      </c>
      <c r="BW26" s="933">
        <v>2199.75</v>
      </c>
      <c r="BX26" s="951">
        <v>641</v>
      </c>
      <c r="BY26" s="1187">
        <v>-70</v>
      </c>
      <c r="BZ26" s="1210"/>
      <c r="CA26" s="919"/>
      <c r="CB26" s="885"/>
      <c r="CC26" s="834"/>
    </row>
    <row r="27" spans="1:86" s="832" customFormat="1" ht="17.850000000000001" customHeight="1" x14ac:dyDescent="0.35">
      <c r="A27" s="833" t="s">
        <v>89</v>
      </c>
      <c r="B27" s="799">
        <v>201</v>
      </c>
      <c r="C27" s="799">
        <v>68</v>
      </c>
      <c r="D27" s="799">
        <v>-59</v>
      </c>
      <c r="E27" s="799">
        <v>224</v>
      </c>
      <c r="F27" s="799">
        <v>-767</v>
      </c>
      <c r="G27" s="799">
        <v>1727</v>
      </c>
      <c r="H27" s="799">
        <v>2721</v>
      </c>
      <c r="I27" s="799">
        <v>36</v>
      </c>
      <c r="J27" s="799">
        <v>11</v>
      </c>
      <c r="K27" s="799">
        <v>88</v>
      </c>
      <c r="L27" s="799">
        <v>782</v>
      </c>
      <c r="M27" s="799">
        <v>513</v>
      </c>
      <c r="N27" s="798">
        <f>N28+N29</f>
        <v>-26</v>
      </c>
      <c r="O27" s="798">
        <f t="shared" ref="O27:U27" si="16">O28+O29</f>
        <v>446</v>
      </c>
      <c r="P27" s="798">
        <f t="shared" si="16"/>
        <v>-333</v>
      </c>
      <c r="Q27" s="798">
        <f t="shared" si="16"/>
        <v>-49</v>
      </c>
      <c r="R27" s="798">
        <f t="shared" si="16"/>
        <v>-7</v>
      </c>
      <c r="S27" s="798">
        <f t="shared" si="16"/>
        <v>14</v>
      </c>
      <c r="T27" s="798">
        <f t="shared" si="16"/>
        <v>47</v>
      </c>
      <c r="U27" s="798">
        <f t="shared" si="16"/>
        <v>14</v>
      </c>
      <c r="V27" s="798">
        <f>V28+V29</f>
        <v>-91</v>
      </c>
      <c r="W27" s="798">
        <f t="shared" ref="W27:AJ27" si="17">W28+W29</f>
        <v>-99</v>
      </c>
      <c r="X27" s="798">
        <f>X28+X29</f>
        <v>-301</v>
      </c>
      <c r="Y27" s="798">
        <f t="shared" si="17"/>
        <v>19</v>
      </c>
      <c r="Z27" s="867">
        <f t="shared" si="17"/>
        <v>-192</v>
      </c>
      <c r="AA27" s="867">
        <f t="shared" si="17"/>
        <v>-140</v>
      </c>
      <c r="AB27" s="867">
        <f t="shared" si="17"/>
        <v>-126</v>
      </c>
      <c r="AC27" s="867">
        <f t="shared" si="17"/>
        <v>-39</v>
      </c>
      <c r="AD27" s="867">
        <f t="shared" si="17"/>
        <v>-18</v>
      </c>
      <c r="AE27" s="867">
        <f t="shared" si="17"/>
        <v>700</v>
      </c>
      <c r="AF27" s="867">
        <f t="shared" si="17"/>
        <v>265</v>
      </c>
      <c r="AG27" s="867">
        <f t="shared" si="17"/>
        <v>-29</v>
      </c>
      <c r="AH27" s="867">
        <f t="shared" si="17"/>
        <v>-142</v>
      </c>
      <c r="AI27" s="867">
        <f t="shared" si="17"/>
        <v>-40</v>
      </c>
      <c r="AJ27" s="867">
        <f t="shared" si="17"/>
        <v>790</v>
      </c>
      <c r="AK27" s="1030">
        <f>AK28+AK29</f>
        <v>24</v>
      </c>
      <c r="AL27" s="1008">
        <v>-66</v>
      </c>
      <c r="AM27" s="867">
        <v>-37</v>
      </c>
      <c r="AN27" s="867">
        <v>-52</v>
      </c>
      <c r="AO27" s="867">
        <v>-27</v>
      </c>
      <c r="AP27" s="867">
        <v>6</v>
      </c>
      <c r="AQ27" s="867">
        <v>7</v>
      </c>
      <c r="AR27" s="867">
        <v>49</v>
      </c>
      <c r="AS27" s="867">
        <v>-3</v>
      </c>
      <c r="AT27" s="867">
        <v>-52</v>
      </c>
      <c r="AU27" s="867">
        <v>8</v>
      </c>
      <c r="AV27" s="867">
        <v>28</v>
      </c>
      <c r="AW27" s="867">
        <v>30</v>
      </c>
      <c r="AX27" s="867">
        <v>-18</v>
      </c>
      <c r="AY27" s="867">
        <v>-132</v>
      </c>
      <c r="AZ27" s="867">
        <v>-52</v>
      </c>
      <c r="BA27" s="867">
        <v>8</v>
      </c>
      <c r="BB27" s="867">
        <v>28</v>
      </c>
      <c r="BC27" s="867">
        <v>8</v>
      </c>
      <c r="BD27" s="867">
        <v>-18</v>
      </c>
      <c r="BE27" s="867">
        <v>8</v>
      </c>
      <c r="BF27" s="867">
        <v>-72</v>
      </c>
      <c r="BG27" s="867">
        <v>8</v>
      </c>
      <c r="BH27" s="867">
        <v>-98</v>
      </c>
      <c r="BI27" s="867">
        <v>30</v>
      </c>
      <c r="BJ27" s="867">
        <v>-12.459016393442624</v>
      </c>
      <c r="BK27" s="867">
        <v>-55.868852459016395</v>
      </c>
      <c r="BL27" s="867">
        <v>-39.213114754098363</v>
      </c>
      <c r="BM27" s="867">
        <v>8</v>
      </c>
      <c r="BN27" s="867">
        <v>28</v>
      </c>
      <c r="BO27" s="867">
        <v>8</v>
      </c>
      <c r="BP27" s="867">
        <v>-12.459016393442624</v>
      </c>
      <c r="BQ27" s="867">
        <v>8</v>
      </c>
      <c r="BR27" s="867">
        <v>-67.672131147540981</v>
      </c>
      <c r="BS27" s="867">
        <v>8</v>
      </c>
      <c r="BT27" s="867">
        <v>-98</v>
      </c>
      <c r="BU27" s="867">
        <v>30</v>
      </c>
      <c r="BV27" s="933">
        <v>-195.67213114754099</v>
      </c>
      <c r="BW27" s="933">
        <v>-300</v>
      </c>
      <c r="BX27" s="951">
        <v>-109</v>
      </c>
      <c r="BY27" s="1187">
        <v>1053</v>
      </c>
      <c r="BZ27" s="1210"/>
      <c r="CA27" s="919"/>
      <c r="CB27" s="885"/>
      <c r="CC27" s="834"/>
    </row>
    <row r="28" spans="1:86" s="840" customFormat="1" ht="23.1" customHeight="1" x14ac:dyDescent="0.35">
      <c r="A28" s="843" t="s">
        <v>90</v>
      </c>
      <c r="B28" s="837">
        <v>-5</v>
      </c>
      <c r="C28" s="837">
        <v>-6</v>
      </c>
      <c r="D28" s="837">
        <v>10</v>
      </c>
      <c r="E28" s="837">
        <v>1</v>
      </c>
      <c r="F28" s="837">
        <v>4</v>
      </c>
      <c r="G28" s="837">
        <v>21</v>
      </c>
      <c r="H28" s="837">
        <v>7</v>
      </c>
      <c r="I28" s="837">
        <v>4</v>
      </c>
      <c r="J28" s="837">
        <v>-2</v>
      </c>
      <c r="K28" s="837">
        <v>46</v>
      </c>
      <c r="L28" s="837">
        <v>-16</v>
      </c>
      <c r="M28" s="837">
        <v>-15</v>
      </c>
      <c r="N28" s="839">
        <v>9</v>
      </c>
      <c r="O28" s="839">
        <v>1</v>
      </c>
      <c r="P28" s="839">
        <v>14</v>
      </c>
      <c r="Q28" s="839">
        <v>6</v>
      </c>
      <c r="R28" s="839">
        <v>5</v>
      </c>
      <c r="S28" s="839">
        <v>6</v>
      </c>
      <c r="T28" s="839">
        <v>66</v>
      </c>
      <c r="U28" s="839">
        <v>17</v>
      </c>
      <c r="V28" s="839">
        <v>40</v>
      </c>
      <c r="W28" s="839">
        <v>-29</v>
      </c>
      <c r="X28" s="839">
        <v>30</v>
      </c>
      <c r="Y28" s="839">
        <v>8</v>
      </c>
      <c r="Z28" s="839">
        <v>0</v>
      </c>
      <c r="AA28" s="839">
        <v>8</v>
      </c>
      <c r="AB28" s="839">
        <v>1</v>
      </c>
      <c r="AC28" s="839">
        <v>-3</v>
      </c>
      <c r="AD28" s="839">
        <v>0</v>
      </c>
      <c r="AE28" s="839">
        <v>-8</v>
      </c>
      <c r="AF28" s="839">
        <v>-13</v>
      </c>
      <c r="AG28" s="839">
        <v>-26</v>
      </c>
      <c r="AH28" s="839">
        <v>-14</v>
      </c>
      <c r="AI28" s="839">
        <v>-15</v>
      </c>
      <c r="AJ28" s="839">
        <v>-21</v>
      </c>
      <c r="AK28" s="1031">
        <v>18</v>
      </c>
      <c r="AL28" s="1123">
        <v>-6</v>
      </c>
      <c r="AM28" s="937">
        <v>-5</v>
      </c>
      <c r="AN28" s="937">
        <v>0</v>
      </c>
      <c r="AO28" s="937">
        <v>0</v>
      </c>
      <c r="AP28" s="937">
        <v>0</v>
      </c>
      <c r="AQ28" s="937">
        <v>0</v>
      </c>
      <c r="AR28" s="937">
        <v>0</v>
      </c>
      <c r="AS28" s="937">
        <v>0</v>
      </c>
      <c r="AT28" s="937">
        <v>0</v>
      </c>
      <c r="AU28" s="937">
        <v>0</v>
      </c>
      <c r="AV28" s="1124">
        <v>0</v>
      </c>
      <c r="AW28" s="937">
        <v>0</v>
      </c>
      <c r="AX28" s="937">
        <v>0</v>
      </c>
      <c r="AY28" s="937">
        <v>0</v>
      </c>
      <c r="AZ28" s="937">
        <v>0</v>
      </c>
      <c r="BA28" s="937">
        <v>0</v>
      </c>
      <c r="BB28" s="937">
        <v>0</v>
      </c>
      <c r="BC28" s="937">
        <v>0</v>
      </c>
      <c r="BD28" s="937">
        <v>0</v>
      </c>
      <c r="BE28" s="937">
        <v>0</v>
      </c>
      <c r="BF28" s="937">
        <v>1</v>
      </c>
      <c r="BG28" s="937">
        <v>0</v>
      </c>
      <c r="BH28" s="937">
        <v>0</v>
      </c>
      <c r="BI28" s="937">
        <v>0</v>
      </c>
      <c r="BJ28" s="937">
        <v>0</v>
      </c>
      <c r="BK28" s="937">
        <v>0</v>
      </c>
      <c r="BL28" s="937">
        <v>0</v>
      </c>
      <c r="BM28" s="937">
        <v>0</v>
      </c>
      <c r="BN28" s="937">
        <v>0</v>
      </c>
      <c r="BO28" s="937">
        <v>0</v>
      </c>
      <c r="BP28" s="937">
        <v>0</v>
      </c>
      <c r="BQ28" s="937">
        <v>0</v>
      </c>
      <c r="BR28" s="937">
        <v>0</v>
      </c>
      <c r="BS28" s="937">
        <v>0</v>
      </c>
      <c r="BT28" s="937">
        <v>0</v>
      </c>
      <c r="BU28" s="937">
        <v>0</v>
      </c>
      <c r="BV28" s="933">
        <v>0</v>
      </c>
      <c r="BW28" s="933">
        <v>1</v>
      </c>
      <c r="BX28" s="951">
        <v>-11</v>
      </c>
      <c r="BY28" s="1187">
        <v>-73</v>
      </c>
      <c r="BZ28" s="1210"/>
      <c r="CA28" s="926"/>
      <c r="CB28" s="886"/>
      <c r="CC28" s="844"/>
    </row>
    <row r="29" spans="1:86" s="840" customFormat="1" ht="23.45" customHeight="1" x14ac:dyDescent="0.35">
      <c r="A29" s="843" t="s">
        <v>91</v>
      </c>
      <c r="B29" s="837">
        <v>206</v>
      </c>
      <c r="C29" s="837">
        <v>74</v>
      </c>
      <c r="D29" s="837">
        <v>-69</v>
      </c>
      <c r="E29" s="837">
        <v>223</v>
      </c>
      <c r="F29" s="837">
        <v>-771</v>
      </c>
      <c r="G29" s="837">
        <v>1706</v>
      </c>
      <c r="H29" s="837">
        <v>2714</v>
      </c>
      <c r="I29" s="837">
        <v>32</v>
      </c>
      <c r="J29" s="837">
        <v>13</v>
      </c>
      <c r="K29" s="837">
        <v>42</v>
      </c>
      <c r="L29" s="837">
        <v>798</v>
      </c>
      <c r="M29" s="837">
        <v>528</v>
      </c>
      <c r="N29" s="839">
        <f>N30+N31</f>
        <v>-35</v>
      </c>
      <c r="O29" s="839">
        <f t="shared" ref="O29:X29" si="18">O30+O31</f>
        <v>445</v>
      </c>
      <c r="P29" s="839">
        <f t="shared" si="18"/>
        <v>-347</v>
      </c>
      <c r="Q29" s="839">
        <f t="shared" si="18"/>
        <v>-55</v>
      </c>
      <c r="R29" s="839">
        <f t="shared" si="18"/>
        <v>-12</v>
      </c>
      <c r="S29" s="839">
        <f t="shared" si="18"/>
        <v>8</v>
      </c>
      <c r="T29" s="839">
        <f t="shared" si="18"/>
        <v>-19</v>
      </c>
      <c r="U29" s="839">
        <f t="shared" si="18"/>
        <v>-3</v>
      </c>
      <c r="V29" s="839">
        <f>V30+V31</f>
        <v>-131</v>
      </c>
      <c r="W29" s="839">
        <f t="shared" si="18"/>
        <v>-70</v>
      </c>
      <c r="X29" s="839">
        <f t="shared" si="18"/>
        <v>-331</v>
      </c>
      <c r="Y29" s="839">
        <f>Y30+Y31</f>
        <v>11</v>
      </c>
      <c r="Z29" s="868">
        <f t="shared" ref="Z29:AJ29" si="19">Z30+Z31</f>
        <v>-192</v>
      </c>
      <c r="AA29" s="868">
        <f t="shared" si="19"/>
        <v>-148</v>
      </c>
      <c r="AB29" s="868">
        <f t="shared" si="19"/>
        <v>-127</v>
      </c>
      <c r="AC29" s="868">
        <f t="shared" si="19"/>
        <v>-36</v>
      </c>
      <c r="AD29" s="868">
        <f t="shared" si="19"/>
        <v>-18</v>
      </c>
      <c r="AE29" s="868">
        <f t="shared" si="19"/>
        <v>708</v>
      </c>
      <c r="AF29" s="868">
        <f t="shared" si="19"/>
        <v>278</v>
      </c>
      <c r="AG29" s="868">
        <f t="shared" si="19"/>
        <v>-3</v>
      </c>
      <c r="AH29" s="868">
        <f t="shared" si="19"/>
        <v>-128</v>
      </c>
      <c r="AI29" s="868">
        <f t="shared" si="19"/>
        <v>-25</v>
      </c>
      <c r="AJ29" s="868">
        <f t="shared" si="19"/>
        <v>811</v>
      </c>
      <c r="AK29" s="1031">
        <f>AK30+AK31</f>
        <v>6</v>
      </c>
      <c r="AL29" s="868">
        <v>-60</v>
      </c>
      <c r="AM29" s="868">
        <v>-32</v>
      </c>
      <c r="AN29" s="868">
        <v>-52</v>
      </c>
      <c r="AO29" s="868">
        <v>-27</v>
      </c>
      <c r="AP29" s="868">
        <v>6</v>
      </c>
      <c r="AQ29" s="868">
        <v>7</v>
      </c>
      <c r="AR29" s="868">
        <v>49</v>
      </c>
      <c r="AS29" s="868">
        <v>-3</v>
      </c>
      <c r="AT29" s="868">
        <v>-52</v>
      </c>
      <c r="AU29" s="868">
        <v>8</v>
      </c>
      <c r="AV29" s="868">
        <v>28</v>
      </c>
      <c r="AW29" s="1119">
        <v>30</v>
      </c>
      <c r="AX29" s="1119">
        <v>-18</v>
      </c>
      <c r="AY29" s="1119">
        <v>-132</v>
      </c>
      <c r="AZ29" s="1119">
        <v>-52</v>
      </c>
      <c r="BA29" s="1119">
        <v>8</v>
      </c>
      <c r="BB29" s="1119">
        <v>28</v>
      </c>
      <c r="BC29" s="1119">
        <v>8</v>
      </c>
      <c r="BD29" s="1119">
        <v>-18</v>
      </c>
      <c r="BE29" s="1119">
        <v>8</v>
      </c>
      <c r="BF29" s="1119">
        <v>-73</v>
      </c>
      <c r="BG29" s="1119">
        <v>8</v>
      </c>
      <c r="BH29" s="1119">
        <v>-98</v>
      </c>
      <c r="BI29" s="1119">
        <v>30</v>
      </c>
      <c r="BJ29" s="1119">
        <v>-12.459016393442624</v>
      </c>
      <c r="BK29" s="1119">
        <v>-55.868852459016395</v>
      </c>
      <c r="BL29" s="1119">
        <v>-39.213114754098363</v>
      </c>
      <c r="BM29" s="1119">
        <v>8</v>
      </c>
      <c r="BN29" s="1119">
        <v>28</v>
      </c>
      <c r="BO29" s="1119">
        <v>8</v>
      </c>
      <c r="BP29" s="1119">
        <v>-12.459016393442624</v>
      </c>
      <c r="BQ29" s="1119">
        <v>8</v>
      </c>
      <c r="BR29" s="1119">
        <v>-67.672131147540981</v>
      </c>
      <c r="BS29" s="1119">
        <v>8</v>
      </c>
      <c r="BT29" s="1119">
        <v>-98</v>
      </c>
      <c r="BU29" s="1119">
        <v>30</v>
      </c>
      <c r="BV29" s="933">
        <v>-195.67213114754099</v>
      </c>
      <c r="BW29" s="933">
        <v>-301</v>
      </c>
      <c r="BX29" s="951">
        <v>-98</v>
      </c>
      <c r="BY29" s="1187">
        <v>1126</v>
      </c>
      <c r="BZ29" s="1210">
        <v>-539</v>
      </c>
      <c r="CA29" s="926">
        <v>5496</v>
      </c>
      <c r="CB29" s="887">
        <f t="shared" ref="CB29:CB36" si="20">SUM(N29:Y29)</f>
        <v>-539</v>
      </c>
      <c r="CC29" s="845">
        <f t="shared" ref="CC29:CC36" si="21">SUM(B29:M29)</f>
        <v>5496</v>
      </c>
    </row>
    <row r="30" spans="1:86" ht="17.850000000000001" customHeight="1" x14ac:dyDescent="0.35">
      <c r="A30" s="813" t="s">
        <v>92</v>
      </c>
      <c r="B30" s="788">
        <v>0</v>
      </c>
      <c r="C30" s="788">
        <v>0</v>
      </c>
      <c r="D30" s="788">
        <v>-420</v>
      </c>
      <c r="E30" s="788">
        <v>-383</v>
      </c>
      <c r="F30" s="788">
        <v>0</v>
      </c>
      <c r="G30" s="788">
        <v>0</v>
      </c>
      <c r="H30" s="788">
        <v>0</v>
      </c>
      <c r="I30" s="788">
        <v>0</v>
      </c>
      <c r="J30" s="788">
        <v>-35</v>
      </c>
      <c r="K30" s="788">
        <v>-62</v>
      </c>
      <c r="L30" s="788">
        <v>100</v>
      </c>
      <c r="M30" s="788">
        <v>5</v>
      </c>
      <c r="N30" s="791">
        <v>-50</v>
      </c>
      <c r="O30" s="791">
        <v>-63</v>
      </c>
      <c r="P30" s="791">
        <v>-285</v>
      </c>
      <c r="Q30" s="791">
        <v>-62</v>
      </c>
      <c r="R30" s="791">
        <v>0</v>
      </c>
      <c r="S30" s="791">
        <v>0</v>
      </c>
      <c r="T30" s="791">
        <v>-6</v>
      </c>
      <c r="U30" s="791">
        <v>-10</v>
      </c>
      <c r="V30" s="791">
        <v>-60</v>
      </c>
      <c r="W30" s="791">
        <v>-62</v>
      </c>
      <c r="X30" s="791">
        <v>-319</v>
      </c>
      <c r="Y30" s="791">
        <v>0</v>
      </c>
      <c r="Z30" s="791">
        <v>-199</v>
      </c>
      <c r="AA30" s="791">
        <v>-155</v>
      </c>
      <c r="AB30" s="791">
        <v>-60</v>
      </c>
      <c r="AC30" s="791">
        <v>-34</v>
      </c>
      <c r="AD30" s="791">
        <v>0</v>
      </c>
      <c r="AE30" s="791">
        <v>0</v>
      </c>
      <c r="AF30" s="791">
        <v>-30</v>
      </c>
      <c r="AG30" s="791">
        <v>-11</v>
      </c>
      <c r="AH30" s="791">
        <v>-55</v>
      </c>
      <c r="AI30" s="791">
        <v>-34</v>
      </c>
      <c r="AJ30" s="791">
        <v>0</v>
      </c>
      <c r="AK30" s="1032">
        <v>2</v>
      </c>
      <c r="AL30" s="1009">
        <v>-30</v>
      </c>
      <c r="AM30" s="943">
        <v>-32</v>
      </c>
      <c r="AN30" s="944">
        <v>-60</v>
      </c>
      <c r="AO30" s="943">
        <v>-34</v>
      </c>
      <c r="AP30" s="943">
        <v>0</v>
      </c>
      <c r="AQ30" s="943">
        <v>0</v>
      </c>
      <c r="AR30" s="943">
        <v>-26</v>
      </c>
      <c r="AS30" s="943">
        <v>-11</v>
      </c>
      <c r="AT30" s="944">
        <v>-60</v>
      </c>
      <c r="AU30" s="943">
        <v>0</v>
      </c>
      <c r="AV30" s="1116">
        <v>0</v>
      </c>
      <c r="AW30" s="943">
        <v>0</v>
      </c>
      <c r="AX30" s="943">
        <v>-26</v>
      </c>
      <c r="AY30" s="943">
        <v>-10</v>
      </c>
      <c r="AZ30" s="943">
        <v>-60</v>
      </c>
      <c r="BA30" s="943">
        <v>0</v>
      </c>
      <c r="BB30" s="943">
        <v>0</v>
      </c>
      <c r="BC30" s="943">
        <v>0</v>
      </c>
      <c r="BD30" s="943">
        <v>-26</v>
      </c>
      <c r="BE30" s="943">
        <v>0</v>
      </c>
      <c r="BF30" s="943">
        <v>-25</v>
      </c>
      <c r="BG30" s="943">
        <v>0</v>
      </c>
      <c r="BH30" s="943">
        <v>0</v>
      </c>
      <c r="BI30" s="943">
        <v>0</v>
      </c>
      <c r="BJ30" s="943">
        <v>-20.459016393442624</v>
      </c>
      <c r="BK30" s="943">
        <v>-7.8688524590163933</v>
      </c>
      <c r="BL30" s="943">
        <v>-47.213114754098363</v>
      </c>
      <c r="BM30" s="943">
        <v>0</v>
      </c>
      <c r="BN30" s="943">
        <v>0</v>
      </c>
      <c r="BO30" s="943">
        <v>0</v>
      </c>
      <c r="BP30" s="943">
        <v>-20.459016393442624</v>
      </c>
      <c r="BQ30" s="943">
        <v>0</v>
      </c>
      <c r="BR30" s="943">
        <v>-19.672131147540984</v>
      </c>
      <c r="BS30" s="943">
        <v>0</v>
      </c>
      <c r="BT30" s="943">
        <v>0</v>
      </c>
      <c r="BU30" s="943">
        <v>0</v>
      </c>
      <c r="BV30" s="933">
        <v>-115.67213114754098</v>
      </c>
      <c r="BW30" s="933">
        <v>-147</v>
      </c>
      <c r="BX30" s="951">
        <v>-253</v>
      </c>
      <c r="BY30" s="1187">
        <v>-576</v>
      </c>
      <c r="BZ30" s="1210">
        <v>-917</v>
      </c>
      <c r="CA30" s="929">
        <v>-795</v>
      </c>
      <c r="CB30" s="877">
        <f t="shared" si="20"/>
        <v>-917</v>
      </c>
      <c r="CC30" s="797">
        <f t="shared" si="21"/>
        <v>-795</v>
      </c>
    </row>
    <row r="31" spans="1:86" ht="19.350000000000001" customHeight="1" x14ac:dyDescent="0.35">
      <c r="A31" s="813" t="s">
        <v>93</v>
      </c>
      <c r="B31" s="788">
        <v>-5</v>
      </c>
      <c r="C31" s="788">
        <v>29</v>
      </c>
      <c r="D31" s="788">
        <v>-263</v>
      </c>
      <c r="E31" s="788">
        <v>6</v>
      </c>
      <c r="F31" s="788">
        <v>1</v>
      </c>
      <c r="G31" s="788">
        <v>2</v>
      </c>
      <c r="H31" s="788">
        <v>1530</v>
      </c>
      <c r="I31" s="788">
        <v>3</v>
      </c>
      <c r="J31" s="788">
        <v>270</v>
      </c>
      <c r="K31" s="788">
        <v>6</v>
      </c>
      <c r="L31" s="788">
        <v>510</v>
      </c>
      <c r="M31" s="788">
        <v>8</v>
      </c>
      <c r="N31" s="791">
        <v>15</v>
      </c>
      <c r="O31" s="791">
        <v>508</v>
      </c>
      <c r="P31" s="791">
        <v>-62</v>
      </c>
      <c r="Q31" s="791">
        <v>7</v>
      </c>
      <c r="R31" s="791">
        <v>-12</v>
      </c>
      <c r="S31" s="791">
        <v>8</v>
      </c>
      <c r="T31" s="791">
        <v>-13</v>
      </c>
      <c r="U31" s="791">
        <v>7</v>
      </c>
      <c r="V31" s="791">
        <v>-71</v>
      </c>
      <c r="W31" s="791">
        <v>-8</v>
      </c>
      <c r="X31" s="792">
        <v>-12</v>
      </c>
      <c r="Y31" s="792">
        <v>11</v>
      </c>
      <c r="Z31" s="791">
        <v>7</v>
      </c>
      <c r="AA31" s="791">
        <v>7</v>
      </c>
      <c r="AB31" s="791">
        <v>-67</v>
      </c>
      <c r="AC31" s="791">
        <v>-2</v>
      </c>
      <c r="AD31" s="791">
        <v>-18</v>
      </c>
      <c r="AE31" s="792">
        <v>708</v>
      </c>
      <c r="AF31" s="792">
        <v>308</v>
      </c>
      <c r="AG31" s="792">
        <v>8</v>
      </c>
      <c r="AH31" s="792">
        <v>-73</v>
      </c>
      <c r="AI31" s="792">
        <v>9</v>
      </c>
      <c r="AJ31" s="792">
        <v>811</v>
      </c>
      <c r="AK31" s="1033">
        <v>4</v>
      </c>
      <c r="AL31" s="1009">
        <v>-30</v>
      </c>
      <c r="AM31" s="943">
        <v>0</v>
      </c>
      <c r="AN31" s="943">
        <v>8</v>
      </c>
      <c r="AO31" s="943">
        <v>7</v>
      </c>
      <c r="AP31" s="943">
        <v>6</v>
      </c>
      <c r="AQ31" s="943">
        <v>7</v>
      </c>
      <c r="AR31" s="943">
        <v>75</v>
      </c>
      <c r="AS31" s="943">
        <v>8</v>
      </c>
      <c r="AT31" s="943">
        <v>8</v>
      </c>
      <c r="AU31" s="943">
        <v>8</v>
      </c>
      <c r="AV31" s="1116">
        <v>28</v>
      </c>
      <c r="AW31" s="943">
        <v>30</v>
      </c>
      <c r="AX31" s="943">
        <v>8</v>
      </c>
      <c r="AY31" s="943">
        <v>-122</v>
      </c>
      <c r="AZ31" s="943">
        <v>8</v>
      </c>
      <c r="BA31" s="943">
        <v>8</v>
      </c>
      <c r="BB31" s="943">
        <v>28</v>
      </c>
      <c r="BC31" s="943">
        <v>8</v>
      </c>
      <c r="BD31" s="943">
        <v>8</v>
      </c>
      <c r="BE31" s="943">
        <v>8</v>
      </c>
      <c r="BF31" s="943">
        <v>-48</v>
      </c>
      <c r="BG31" s="943">
        <v>8</v>
      </c>
      <c r="BH31" s="943">
        <v>-98</v>
      </c>
      <c r="BI31" s="943">
        <v>30</v>
      </c>
      <c r="BJ31" s="943">
        <v>8</v>
      </c>
      <c r="BK31" s="943">
        <v>-48</v>
      </c>
      <c r="BL31" s="943">
        <v>8</v>
      </c>
      <c r="BM31" s="943">
        <v>8</v>
      </c>
      <c r="BN31" s="943">
        <v>28</v>
      </c>
      <c r="BO31" s="943">
        <v>8</v>
      </c>
      <c r="BP31" s="943">
        <v>8</v>
      </c>
      <c r="BQ31" s="943">
        <v>8</v>
      </c>
      <c r="BR31" s="943">
        <v>-48</v>
      </c>
      <c r="BS31" s="943">
        <v>8</v>
      </c>
      <c r="BT31" s="943">
        <v>-98</v>
      </c>
      <c r="BU31" s="943">
        <v>30</v>
      </c>
      <c r="BV31" s="933">
        <v>-80</v>
      </c>
      <c r="BW31" s="933">
        <v>-154</v>
      </c>
      <c r="BX31" s="951">
        <v>155</v>
      </c>
      <c r="BY31" s="1187">
        <v>1702</v>
      </c>
      <c r="BZ31" s="1210">
        <v>378</v>
      </c>
      <c r="CA31" s="929">
        <v>2097</v>
      </c>
      <c r="CB31" s="877">
        <f t="shared" si="20"/>
        <v>378</v>
      </c>
      <c r="CC31" s="797">
        <f t="shared" si="21"/>
        <v>2097</v>
      </c>
    </row>
    <row r="32" spans="1:86" ht="17.850000000000001" customHeight="1" x14ac:dyDescent="0.35">
      <c r="A32" s="787" t="s">
        <v>128</v>
      </c>
      <c r="B32" s="788">
        <v>1073</v>
      </c>
      <c r="C32" s="788">
        <v>526</v>
      </c>
      <c r="D32" s="788">
        <v>-985</v>
      </c>
      <c r="E32" s="788">
        <v>416</v>
      </c>
      <c r="F32" s="788">
        <v>38</v>
      </c>
      <c r="G32" s="788">
        <v>39</v>
      </c>
      <c r="H32" s="788">
        <v>1255</v>
      </c>
      <c r="I32" s="788">
        <v>-578</v>
      </c>
      <c r="J32" s="788">
        <v>-852</v>
      </c>
      <c r="K32" s="788">
        <v>-116</v>
      </c>
      <c r="L32" s="788">
        <v>928</v>
      </c>
      <c r="M32" s="788">
        <v>-206</v>
      </c>
      <c r="N32" s="789">
        <f t="shared" ref="N32:AK32" si="22">N33-N38</f>
        <v>1695</v>
      </c>
      <c r="O32" s="789">
        <f t="shared" si="22"/>
        <v>142</v>
      </c>
      <c r="P32" s="789">
        <f t="shared" si="22"/>
        <v>836</v>
      </c>
      <c r="Q32" s="789">
        <f t="shared" si="22"/>
        <v>638</v>
      </c>
      <c r="R32" s="789">
        <f t="shared" si="22"/>
        <v>552</v>
      </c>
      <c r="S32" s="789">
        <f t="shared" si="22"/>
        <v>-299</v>
      </c>
      <c r="T32" s="789">
        <f t="shared" si="22"/>
        <v>387</v>
      </c>
      <c r="U32" s="789">
        <f t="shared" si="22"/>
        <v>262</v>
      </c>
      <c r="V32" s="789">
        <f t="shared" si="22"/>
        <v>143</v>
      </c>
      <c r="W32" s="789">
        <f t="shared" si="22"/>
        <v>563</v>
      </c>
      <c r="X32" s="789">
        <f t="shared" si="22"/>
        <v>239</v>
      </c>
      <c r="Y32" s="789">
        <f t="shared" si="22"/>
        <v>-595</v>
      </c>
      <c r="Z32" s="789">
        <f t="shared" si="22"/>
        <v>1250</v>
      </c>
      <c r="AA32" s="789">
        <f t="shared" si="22"/>
        <v>342</v>
      </c>
      <c r="AB32" s="789">
        <f t="shared" si="22"/>
        <v>468</v>
      </c>
      <c r="AC32" s="789">
        <f t="shared" si="22"/>
        <v>1009</v>
      </c>
      <c r="AD32" s="789">
        <f t="shared" si="22"/>
        <v>1312</v>
      </c>
      <c r="AE32" s="789">
        <f t="shared" si="22"/>
        <v>1251</v>
      </c>
      <c r="AF32" s="789">
        <f t="shared" si="22"/>
        <v>723</v>
      </c>
      <c r="AG32" s="789">
        <f t="shared" si="22"/>
        <v>871</v>
      </c>
      <c r="AH32" s="789">
        <f t="shared" si="22"/>
        <v>522</v>
      </c>
      <c r="AI32" s="789">
        <f t="shared" si="22"/>
        <v>54</v>
      </c>
      <c r="AJ32" s="789">
        <f t="shared" si="22"/>
        <v>455</v>
      </c>
      <c r="AK32" s="1024">
        <f t="shared" si="22"/>
        <v>-101</v>
      </c>
      <c r="AL32" s="1099">
        <v>1854</v>
      </c>
      <c r="AM32" s="859">
        <v>288</v>
      </c>
      <c r="AN32" s="859">
        <v>3259</v>
      </c>
      <c r="AO32" s="859">
        <v>2786</v>
      </c>
      <c r="AP32" s="859">
        <v>2564</v>
      </c>
      <c r="AQ32" s="859">
        <v>4014</v>
      </c>
      <c r="AR32" s="859">
        <v>1873</v>
      </c>
      <c r="AS32" s="859">
        <v>440</v>
      </c>
      <c r="AT32" s="859">
        <v>2998</v>
      </c>
      <c r="AU32" s="859">
        <v>2058</v>
      </c>
      <c r="AV32" s="859">
        <v>70</v>
      </c>
      <c r="AW32" s="1117">
        <v>1201</v>
      </c>
      <c r="AX32" s="1117">
        <v>1370</v>
      </c>
      <c r="AY32" s="1117">
        <v>989</v>
      </c>
      <c r="AZ32" s="1117">
        <v>171</v>
      </c>
      <c r="BA32" s="1117">
        <v>800</v>
      </c>
      <c r="BB32" s="1117">
        <v>561</v>
      </c>
      <c r="BC32" s="1117">
        <v>963</v>
      </c>
      <c r="BD32" s="984">
        <v>-58</v>
      </c>
      <c r="BE32" s="984">
        <v>538</v>
      </c>
      <c r="BF32" s="984">
        <v>843</v>
      </c>
      <c r="BG32" s="984">
        <v>1600</v>
      </c>
      <c r="BH32" s="984">
        <v>928</v>
      </c>
      <c r="BI32" s="984">
        <v>1869.5323082133743</v>
      </c>
      <c r="BJ32" s="1117">
        <v>1237.3064795869836</v>
      </c>
      <c r="BK32" s="1117">
        <v>1156.5806186131456</v>
      </c>
      <c r="BL32" s="1117">
        <v>1456.7262875019658</v>
      </c>
      <c r="BM32" s="1117">
        <v>616.41473586097118</v>
      </c>
      <c r="BN32" s="1117">
        <v>957.34093903694418</v>
      </c>
      <c r="BO32" s="1117">
        <v>629.35855698177136</v>
      </c>
      <c r="BP32" s="984">
        <v>382.51041558621819</v>
      </c>
      <c r="BQ32" s="984">
        <v>-218.85434017521948</v>
      </c>
      <c r="BR32" s="984">
        <v>207.32538099151731</v>
      </c>
      <c r="BS32" s="984">
        <v>-79.818858813501038</v>
      </c>
      <c r="BT32" s="984">
        <v>146.44727924019946</v>
      </c>
      <c r="BU32" s="984">
        <v>398.2274451169859</v>
      </c>
      <c r="BV32" s="984">
        <v>6889.5649395279825</v>
      </c>
      <c r="BW32" s="984">
        <v>10574.532308213375</v>
      </c>
      <c r="BX32" s="984">
        <v>23405</v>
      </c>
      <c r="BY32" s="1085">
        <v>8156</v>
      </c>
      <c r="BZ32" s="1198">
        <v>4563</v>
      </c>
      <c r="CA32" s="923">
        <v>1538</v>
      </c>
      <c r="CB32" s="877">
        <f t="shared" si="20"/>
        <v>4563</v>
      </c>
      <c r="CC32" s="797">
        <f t="shared" si="21"/>
        <v>1538</v>
      </c>
    </row>
    <row r="33" spans="1:82" s="825" customFormat="1" ht="17.850000000000001" customHeight="1" x14ac:dyDescent="0.35">
      <c r="A33" s="827" t="s">
        <v>94</v>
      </c>
      <c r="B33" s="822">
        <v>677</v>
      </c>
      <c r="C33" s="822">
        <v>593</v>
      </c>
      <c r="D33" s="822">
        <v>-144</v>
      </c>
      <c r="E33" s="822">
        <v>544</v>
      </c>
      <c r="F33" s="822">
        <v>282</v>
      </c>
      <c r="G33" s="822">
        <v>716</v>
      </c>
      <c r="H33" s="822">
        <v>1484</v>
      </c>
      <c r="I33" s="822">
        <v>-177</v>
      </c>
      <c r="J33" s="822">
        <v>-389</v>
      </c>
      <c r="K33" s="822">
        <v>465</v>
      </c>
      <c r="L33" s="822">
        <v>1170</v>
      </c>
      <c r="M33" s="822">
        <v>757</v>
      </c>
      <c r="N33" s="826">
        <f>N34+N35</f>
        <v>1419</v>
      </c>
      <c r="O33" s="826">
        <f t="shared" ref="O33:U33" si="23">O34+O35</f>
        <v>360</v>
      </c>
      <c r="P33" s="826">
        <f t="shared" si="23"/>
        <v>533</v>
      </c>
      <c r="Q33" s="826">
        <f t="shared" si="23"/>
        <v>434</v>
      </c>
      <c r="R33" s="826">
        <f t="shared" si="23"/>
        <v>843</v>
      </c>
      <c r="S33" s="826">
        <f t="shared" si="23"/>
        <v>209</v>
      </c>
      <c r="T33" s="826">
        <f t="shared" si="23"/>
        <v>834</v>
      </c>
      <c r="U33" s="826">
        <f t="shared" si="23"/>
        <v>362</v>
      </c>
      <c r="V33" s="826">
        <f>V34+V35</f>
        <v>497</v>
      </c>
      <c r="W33" s="826">
        <f>W34+W35</f>
        <v>534</v>
      </c>
      <c r="X33" s="826">
        <f>X34+X35</f>
        <v>530</v>
      </c>
      <c r="Y33" s="826">
        <f>Y34+Y35</f>
        <v>-205</v>
      </c>
      <c r="Z33" s="826">
        <f>Z34+Z35</f>
        <v>707</v>
      </c>
      <c r="AA33" s="826">
        <f t="shared" ref="AA33:AK33" si="24">AA34+AA35</f>
        <v>574</v>
      </c>
      <c r="AB33" s="826">
        <f t="shared" si="24"/>
        <v>937</v>
      </c>
      <c r="AC33" s="826">
        <f t="shared" si="24"/>
        <v>850</v>
      </c>
      <c r="AD33" s="826">
        <f t="shared" si="24"/>
        <v>1411</v>
      </c>
      <c r="AE33" s="826">
        <f t="shared" si="24"/>
        <v>801</v>
      </c>
      <c r="AF33" s="826">
        <f t="shared" si="24"/>
        <v>731</v>
      </c>
      <c r="AG33" s="826">
        <f t="shared" si="24"/>
        <v>686</v>
      </c>
      <c r="AH33" s="826">
        <f t="shared" si="24"/>
        <v>620</v>
      </c>
      <c r="AI33" s="826">
        <f t="shared" si="24"/>
        <v>358</v>
      </c>
      <c r="AJ33" s="826">
        <f t="shared" si="24"/>
        <v>753</v>
      </c>
      <c r="AK33" s="1034">
        <f t="shared" si="24"/>
        <v>-216</v>
      </c>
      <c r="AL33" s="1101">
        <v>1296</v>
      </c>
      <c r="AM33" s="870">
        <v>1268</v>
      </c>
      <c r="AN33" s="870">
        <v>2802</v>
      </c>
      <c r="AO33" s="870">
        <v>2452</v>
      </c>
      <c r="AP33" s="870">
        <v>2121</v>
      </c>
      <c r="AQ33" s="870">
        <v>3674</v>
      </c>
      <c r="AR33" s="870">
        <v>1670</v>
      </c>
      <c r="AS33" s="870">
        <v>256</v>
      </c>
      <c r="AT33" s="870">
        <v>2038</v>
      </c>
      <c r="AU33" s="870">
        <v>2091</v>
      </c>
      <c r="AV33" s="870">
        <v>289</v>
      </c>
      <c r="AW33" s="870">
        <v>834</v>
      </c>
      <c r="AX33" s="870">
        <v>2159</v>
      </c>
      <c r="AY33" s="870">
        <v>1579</v>
      </c>
      <c r="AZ33" s="870">
        <v>760</v>
      </c>
      <c r="BA33" s="870">
        <v>820</v>
      </c>
      <c r="BB33" s="870">
        <v>597</v>
      </c>
      <c r="BC33" s="870">
        <v>1093</v>
      </c>
      <c r="BD33" s="1160">
        <v>-57</v>
      </c>
      <c r="BE33" s="1160">
        <v>619</v>
      </c>
      <c r="BF33" s="1160">
        <v>536</v>
      </c>
      <c r="BG33" s="1160">
        <v>1417</v>
      </c>
      <c r="BH33" s="1160">
        <v>608</v>
      </c>
      <c r="BI33" s="1160">
        <v>1565.4037927831914</v>
      </c>
      <c r="BJ33" s="870">
        <v>1103.7826088052793</v>
      </c>
      <c r="BK33" s="870">
        <v>1070.5857213243671</v>
      </c>
      <c r="BL33" s="870">
        <v>1400</v>
      </c>
      <c r="BM33" s="870">
        <v>596.58094127950528</v>
      </c>
      <c r="BN33" s="870">
        <v>935.59227337153288</v>
      </c>
      <c r="BO33" s="870">
        <v>691.54452757559397</v>
      </c>
      <c r="BP33" s="1160">
        <v>701.92637515162482</v>
      </c>
      <c r="BQ33" s="1160">
        <v>148.32992390151736</v>
      </c>
      <c r="BR33" s="1160">
        <v>655.78619152367571</v>
      </c>
      <c r="BS33" s="1160">
        <v>400</v>
      </c>
      <c r="BT33" s="1160">
        <v>474.27998461472225</v>
      </c>
      <c r="BU33" s="1160">
        <v>609.39674285551473</v>
      </c>
      <c r="BV33" s="1160">
        <v>8787.8052904033339</v>
      </c>
      <c r="BW33" s="1160">
        <v>11696.403792783192</v>
      </c>
      <c r="BX33" s="1160">
        <v>20791</v>
      </c>
      <c r="BY33" s="1188">
        <v>8212</v>
      </c>
      <c r="BZ33" s="1211">
        <v>6350</v>
      </c>
      <c r="CA33" s="924">
        <v>5978</v>
      </c>
      <c r="CB33" s="882">
        <f t="shared" si="20"/>
        <v>6350</v>
      </c>
      <c r="CC33" s="828">
        <f t="shared" si="21"/>
        <v>5978</v>
      </c>
      <c r="CD33" s="829"/>
    </row>
    <row r="34" spans="1:82" s="832" customFormat="1" ht="17.850000000000001" customHeight="1" x14ac:dyDescent="0.35">
      <c r="A34" s="830" t="s">
        <v>92</v>
      </c>
      <c r="B34" s="799">
        <v>170</v>
      </c>
      <c r="C34" s="799">
        <v>875</v>
      </c>
      <c r="D34" s="799">
        <v>-888</v>
      </c>
      <c r="E34" s="799">
        <v>283</v>
      </c>
      <c r="F34" s="799">
        <v>99</v>
      </c>
      <c r="G34" s="799">
        <v>995</v>
      </c>
      <c r="H34" s="799">
        <v>1381</v>
      </c>
      <c r="I34" s="799">
        <v>-490</v>
      </c>
      <c r="J34" s="799">
        <v>-225</v>
      </c>
      <c r="K34" s="799">
        <v>142</v>
      </c>
      <c r="L34" s="799">
        <v>780</v>
      </c>
      <c r="M34" s="799">
        <v>-354</v>
      </c>
      <c r="N34" s="798">
        <v>1088</v>
      </c>
      <c r="O34" s="798">
        <v>284</v>
      </c>
      <c r="P34" s="798">
        <v>-64</v>
      </c>
      <c r="Q34" s="798">
        <v>-419</v>
      </c>
      <c r="R34" s="798">
        <v>214</v>
      </c>
      <c r="S34" s="798">
        <v>-107</v>
      </c>
      <c r="T34" s="798">
        <v>643</v>
      </c>
      <c r="U34" s="798">
        <v>40</v>
      </c>
      <c r="V34" s="798">
        <v>152</v>
      </c>
      <c r="W34" s="798">
        <v>-71</v>
      </c>
      <c r="X34" s="798">
        <v>-130</v>
      </c>
      <c r="Y34" s="798">
        <v>-811</v>
      </c>
      <c r="Z34" s="798">
        <v>227</v>
      </c>
      <c r="AA34" s="798">
        <v>0</v>
      </c>
      <c r="AB34" s="798">
        <v>337</v>
      </c>
      <c r="AC34" s="798">
        <v>221</v>
      </c>
      <c r="AD34" s="798">
        <v>574</v>
      </c>
      <c r="AE34" s="798">
        <v>312</v>
      </c>
      <c r="AF34" s="798">
        <v>508</v>
      </c>
      <c r="AG34" s="798">
        <v>-173</v>
      </c>
      <c r="AH34" s="798">
        <v>-32</v>
      </c>
      <c r="AI34" s="798">
        <v>-401</v>
      </c>
      <c r="AJ34" s="798">
        <v>-33</v>
      </c>
      <c r="AK34" s="1030">
        <v>-637</v>
      </c>
      <c r="AL34" s="1004">
        <v>-106</v>
      </c>
      <c r="AM34" s="933">
        <v>-113</v>
      </c>
      <c r="AN34" s="933">
        <v>-811</v>
      </c>
      <c r="AO34" s="933">
        <v>383</v>
      </c>
      <c r="AP34" s="933">
        <v>-241</v>
      </c>
      <c r="AQ34" s="933">
        <v>1764</v>
      </c>
      <c r="AR34" s="933">
        <v>398</v>
      </c>
      <c r="AS34" s="933">
        <v>-734</v>
      </c>
      <c r="AT34" s="933">
        <v>666</v>
      </c>
      <c r="AU34" s="933">
        <v>848</v>
      </c>
      <c r="AV34" s="933">
        <v>-528</v>
      </c>
      <c r="AW34" s="933">
        <v>-70</v>
      </c>
      <c r="AX34" s="933">
        <v>912</v>
      </c>
      <c r="AY34" s="933">
        <v>557</v>
      </c>
      <c r="AZ34" s="933">
        <v>-104</v>
      </c>
      <c r="BA34" s="933">
        <v>-161</v>
      </c>
      <c r="BB34" s="933">
        <v>-307</v>
      </c>
      <c r="BC34" s="1115">
        <v>288</v>
      </c>
      <c r="BD34" s="933">
        <v>-189</v>
      </c>
      <c r="BE34" s="933">
        <v>-14</v>
      </c>
      <c r="BF34" s="933">
        <v>-339</v>
      </c>
      <c r="BG34" s="933">
        <v>405</v>
      </c>
      <c r="BH34" s="933">
        <v>-427</v>
      </c>
      <c r="BI34" s="933">
        <v>425.07638510154067</v>
      </c>
      <c r="BJ34" s="933">
        <v>-96.217391194720733</v>
      </c>
      <c r="BK34" s="933">
        <v>81.656695302455645</v>
      </c>
      <c r="BL34" s="933">
        <v>200</v>
      </c>
      <c r="BM34" s="933">
        <v>-167.43882803074561</v>
      </c>
      <c r="BN34" s="933">
        <v>-153.5427017334757</v>
      </c>
      <c r="BO34" s="1115">
        <v>200</v>
      </c>
      <c r="BP34" s="933">
        <v>200</v>
      </c>
      <c r="BQ34" s="933">
        <v>-293.95756110723289</v>
      </c>
      <c r="BR34" s="933">
        <v>-119.89936461349218</v>
      </c>
      <c r="BS34" s="933">
        <v>-200</v>
      </c>
      <c r="BT34" s="933">
        <v>-200</v>
      </c>
      <c r="BU34" s="933">
        <v>-250</v>
      </c>
      <c r="BV34" s="933">
        <v>-799.39915137721141</v>
      </c>
      <c r="BW34" s="933">
        <v>1046.0763851015406</v>
      </c>
      <c r="BX34" s="933">
        <v>1456</v>
      </c>
      <c r="BY34" s="1181">
        <v>903</v>
      </c>
      <c r="BZ34" s="1200">
        <v>819</v>
      </c>
      <c r="CA34" s="919">
        <v>2768</v>
      </c>
      <c r="CB34" s="888">
        <f t="shared" si="20"/>
        <v>819</v>
      </c>
      <c r="CC34" s="835">
        <f t="shared" si="21"/>
        <v>2768</v>
      </c>
    </row>
    <row r="35" spans="1:82" s="832" customFormat="1" ht="17.850000000000001" customHeight="1" x14ac:dyDescent="0.35">
      <c r="A35" s="830" t="s">
        <v>93</v>
      </c>
      <c r="B35" s="799">
        <v>509</v>
      </c>
      <c r="C35" s="799">
        <v>-284</v>
      </c>
      <c r="D35" s="799">
        <v>744</v>
      </c>
      <c r="E35" s="799">
        <v>268</v>
      </c>
      <c r="F35" s="799">
        <v>187</v>
      </c>
      <c r="G35" s="799">
        <v>-286</v>
      </c>
      <c r="H35" s="799">
        <v>104</v>
      </c>
      <c r="I35" s="799">
        <v>140</v>
      </c>
      <c r="J35" s="799">
        <v>7</v>
      </c>
      <c r="K35" s="799">
        <v>322</v>
      </c>
      <c r="L35" s="799">
        <v>392</v>
      </c>
      <c r="M35" s="799">
        <v>114</v>
      </c>
      <c r="N35" s="831">
        <v>331</v>
      </c>
      <c r="O35" s="831">
        <v>76</v>
      </c>
      <c r="P35" s="831">
        <v>597</v>
      </c>
      <c r="Q35" s="831">
        <v>853</v>
      </c>
      <c r="R35" s="831">
        <v>629</v>
      </c>
      <c r="S35" s="831">
        <v>316</v>
      </c>
      <c r="T35" s="831">
        <v>191</v>
      </c>
      <c r="U35" s="831">
        <v>322</v>
      </c>
      <c r="V35" s="831">
        <v>345</v>
      </c>
      <c r="W35" s="831">
        <v>605</v>
      </c>
      <c r="X35" s="831">
        <v>660</v>
      </c>
      <c r="Y35" s="831">
        <v>606</v>
      </c>
      <c r="Z35" s="798">
        <v>480</v>
      </c>
      <c r="AA35" s="798">
        <v>574</v>
      </c>
      <c r="AB35" s="798">
        <v>600</v>
      </c>
      <c r="AC35" s="798">
        <v>629</v>
      </c>
      <c r="AD35" s="798">
        <v>837</v>
      </c>
      <c r="AE35" s="831">
        <v>489</v>
      </c>
      <c r="AF35" s="799">
        <v>223</v>
      </c>
      <c r="AG35" s="799">
        <v>859</v>
      </c>
      <c r="AH35" s="799">
        <v>652</v>
      </c>
      <c r="AI35" s="799">
        <v>759</v>
      </c>
      <c r="AJ35" s="799">
        <v>786</v>
      </c>
      <c r="AK35" s="1026">
        <v>421</v>
      </c>
      <c r="AL35" s="871">
        <v>1402</v>
      </c>
      <c r="AM35" s="871">
        <v>1381</v>
      </c>
      <c r="AN35" s="871">
        <v>3613</v>
      </c>
      <c r="AO35" s="871">
        <v>2069</v>
      </c>
      <c r="AP35" s="871">
        <v>2362</v>
      </c>
      <c r="AQ35" s="871">
        <v>1910</v>
      </c>
      <c r="AR35" s="871">
        <v>1272</v>
      </c>
      <c r="AS35" s="871">
        <v>990</v>
      </c>
      <c r="AT35" s="871">
        <v>1372</v>
      </c>
      <c r="AU35" s="871">
        <v>1243</v>
      </c>
      <c r="AV35" s="871">
        <v>817</v>
      </c>
      <c r="AW35" s="871">
        <v>904</v>
      </c>
      <c r="AX35" s="871">
        <v>1247</v>
      </c>
      <c r="AY35" s="871">
        <v>1022</v>
      </c>
      <c r="AZ35" s="871">
        <v>864</v>
      </c>
      <c r="BA35" s="871">
        <v>981</v>
      </c>
      <c r="BB35" s="871">
        <v>904</v>
      </c>
      <c r="BC35" s="871">
        <v>805</v>
      </c>
      <c r="BD35" s="933">
        <v>132</v>
      </c>
      <c r="BE35" s="933">
        <v>633</v>
      </c>
      <c r="BF35" s="933">
        <v>875</v>
      </c>
      <c r="BG35" s="933">
        <v>1012</v>
      </c>
      <c r="BH35" s="933">
        <v>1035</v>
      </c>
      <c r="BI35" s="933">
        <v>1140.3274076816508</v>
      </c>
      <c r="BJ35" s="871">
        <v>1200</v>
      </c>
      <c r="BK35" s="871">
        <v>988.92902602191157</v>
      </c>
      <c r="BL35" s="871">
        <v>1200</v>
      </c>
      <c r="BM35" s="871">
        <v>764.01976931025092</v>
      </c>
      <c r="BN35" s="871">
        <v>1089.1349751050086</v>
      </c>
      <c r="BO35" s="871">
        <v>491.54452757559403</v>
      </c>
      <c r="BP35" s="933">
        <v>501.92637515162482</v>
      </c>
      <c r="BQ35" s="933">
        <v>442.28748500875025</v>
      </c>
      <c r="BR35" s="933">
        <v>775.68555613716785</v>
      </c>
      <c r="BS35" s="933">
        <v>600</v>
      </c>
      <c r="BT35" s="933">
        <v>674.27998461472225</v>
      </c>
      <c r="BU35" s="933">
        <v>859.39674285551473</v>
      </c>
      <c r="BV35" s="933">
        <v>9587.2044417805446</v>
      </c>
      <c r="BW35" s="933">
        <v>10650.327407681651</v>
      </c>
      <c r="BX35" s="933">
        <v>19335</v>
      </c>
      <c r="BY35" s="1181">
        <v>7309</v>
      </c>
      <c r="BZ35" s="1200">
        <v>5531</v>
      </c>
      <c r="CA35" s="919">
        <v>2217</v>
      </c>
      <c r="CB35" s="888">
        <f t="shared" si="20"/>
        <v>5531</v>
      </c>
      <c r="CC35" s="835">
        <f t="shared" si="21"/>
        <v>2217</v>
      </c>
    </row>
    <row r="36" spans="1:82" s="840" customFormat="1" ht="20.45" customHeight="1" x14ac:dyDescent="0.35">
      <c r="A36" s="852" t="s">
        <v>95</v>
      </c>
      <c r="B36" s="837">
        <v>-32</v>
      </c>
      <c r="C36" s="837">
        <v>-65</v>
      </c>
      <c r="D36" s="837">
        <v>383</v>
      </c>
      <c r="E36" s="837">
        <v>379</v>
      </c>
      <c r="F36" s="837">
        <v>285</v>
      </c>
      <c r="G36" s="837">
        <v>-28</v>
      </c>
      <c r="H36" s="837">
        <v>314</v>
      </c>
      <c r="I36" s="837">
        <v>324</v>
      </c>
      <c r="J36" s="837">
        <v>171</v>
      </c>
      <c r="K36" s="837">
        <v>372</v>
      </c>
      <c r="L36" s="837">
        <v>412</v>
      </c>
      <c r="M36" s="837">
        <v>96</v>
      </c>
      <c r="N36" s="839">
        <v>274</v>
      </c>
      <c r="O36" s="839">
        <v>54</v>
      </c>
      <c r="P36" s="839">
        <v>591</v>
      </c>
      <c r="Q36" s="839">
        <v>803</v>
      </c>
      <c r="R36" s="839">
        <v>566</v>
      </c>
      <c r="S36" s="839">
        <v>252</v>
      </c>
      <c r="T36" s="839">
        <v>279</v>
      </c>
      <c r="U36" s="839">
        <v>325</v>
      </c>
      <c r="V36" s="839">
        <v>361</v>
      </c>
      <c r="W36" s="839">
        <v>452</v>
      </c>
      <c r="X36" s="837">
        <v>616</v>
      </c>
      <c r="Y36" s="837">
        <v>555</v>
      </c>
      <c r="Z36" s="839">
        <v>523</v>
      </c>
      <c r="AA36" s="839">
        <v>570</v>
      </c>
      <c r="AB36" s="839">
        <v>290</v>
      </c>
      <c r="AC36" s="839">
        <v>169</v>
      </c>
      <c r="AD36" s="839">
        <v>306</v>
      </c>
      <c r="AE36" s="837">
        <v>196</v>
      </c>
      <c r="AF36" s="837">
        <v>194</v>
      </c>
      <c r="AG36" s="837">
        <v>647</v>
      </c>
      <c r="AH36" s="837">
        <v>499</v>
      </c>
      <c r="AI36" s="837">
        <v>536</v>
      </c>
      <c r="AJ36" s="837">
        <v>824</v>
      </c>
      <c r="AK36" s="1027">
        <v>367</v>
      </c>
      <c r="AL36" s="1005">
        <v>797</v>
      </c>
      <c r="AM36" s="934">
        <v>931</v>
      </c>
      <c r="AN36" s="934">
        <v>731</v>
      </c>
      <c r="AO36" s="934">
        <v>847</v>
      </c>
      <c r="AP36" s="934">
        <v>1089</v>
      </c>
      <c r="AQ36" s="934">
        <v>746</v>
      </c>
      <c r="AR36" s="934">
        <v>776</v>
      </c>
      <c r="AS36" s="934">
        <v>771</v>
      </c>
      <c r="AT36" s="934">
        <v>1087</v>
      </c>
      <c r="AU36" s="934">
        <v>838</v>
      </c>
      <c r="AV36" s="934">
        <v>628</v>
      </c>
      <c r="AW36" s="934">
        <v>832</v>
      </c>
      <c r="AX36" s="934">
        <v>1012</v>
      </c>
      <c r="AY36" s="934">
        <v>1044</v>
      </c>
      <c r="AZ36" s="934">
        <v>1200</v>
      </c>
      <c r="BA36" s="934">
        <v>1040</v>
      </c>
      <c r="BB36" s="934">
        <v>1078</v>
      </c>
      <c r="BC36" s="1121">
        <v>751</v>
      </c>
      <c r="BD36" s="934">
        <v>557</v>
      </c>
      <c r="BE36" s="934">
        <v>655</v>
      </c>
      <c r="BF36" s="934">
        <v>771</v>
      </c>
      <c r="BG36" s="934">
        <v>1090</v>
      </c>
      <c r="BH36" s="934">
        <v>1114</v>
      </c>
      <c r="BI36" s="934">
        <v>1200</v>
      </c>
      <c r="BJ36" s="934">
        <v>1100</v>
      </c>
      <c r="BK36" s="934">
        <v>1000</v>
      </c>
      <c r="BL36" s="934">
        <v>1100</v>
      </c>
      <c r="BM36" s="934">
        <v>900</v>
      </c>
      <c r="BN36" s="934">
        <v>850</v>
      </c>
      <c r="BO36" s="1121">
        <v>850</v>
      </c>
      <c r="BP36" s="934">
        <v>800</v>
      </c>
      <c r="BQ36" s="934">
        <v>700</v>
      </c>
      <c r="BR36" s="934">
        <v>700</v>
      </c>
      <c r="BS36" s="934">
        <v>750</v>
      </c>
      <c r="BT36" s="934">
        <v>900</v>
      </c>
      <c r="BU36" s="934">
        <v>900</v>
      </c>
      <c r="BV36" s="934">
        <v>10550</v>
      </c>
      <c r="BW36" s="934">
        <v>11512</v>
      </c>
      <c r="BX36" s="934">
        <v>10073</v>
      </c>
      <c r="BY36" s="1189">
        <v>5121</v>
      </c>
      <c r="BZ36" s="1212">
        <v>5128</v>
      </c>
      <c r="CA36" s="926">
        <v>2611</v>
      </c>
      <c r="CB36" s="887">
        <f t="shared" si="20"/>
        <v>5128</v>
      </c>
      <c r="CC36" s="853">
        <f t="shared" si="21"/>
        <v>2611</v>
      </c>
    </row>
    <row r="37" spans="1:82" s="840" customFormat="1" ht="23.1" customHeight="1" x14ac:dyDescent="0.35">
      <c r="A37" s="852" t="s">
        <v>97</v>
      </c>
      <c r="B37" s="837"/>
      <c r="C37" s="837"/>
      <c r="D37" s="837"/>
      <c r="E37" s="837"/>
      <c r="F37" s="837"/>
      <c r="G37" s="837"/>
      <c r="H37" s="837"/>
      <c r="I37" s="837"/>
      <c r="J37" s="837"/>
      <c r="K37" s="837"/>
      <c r="L37" s="837"/>
      <c r="M37" s="837"/>
      <c r="N37" s="839">
        <v>22</v>
      </c>
      <c r="O37" s="839">
        <v>-3</v>
      </c>
      <c r="P37" s="839">
        <v>-35</v>
      </c>
      <c r="Q37" s="839">
        <v>-15</v>
      </c>
      <c r="R37" s="839">
        <v>-4</v>
      </c>
      <c r="S37" s="839">
        <v>-5</v>
      </c>
      <c r="T37" s="839">
        <v>-91</v>
      </c>
      <c r="U37" s="839">
        <v>3</v>
      </c>
      <c r="V37" s="838">
        <v>-15</v>
      </c>
      <c r="W37" s="838">
        <v>128</v>
      </c>
      <c r="X37" s="838">
        <v>41</v>
      </c>
      <c r="Y37" s="838">
        <v>25</v>
      </c>
      <c r="Z37" s="839">
        <v>-81</v>
      </c>
      <c r="AA37" s="839">
        <v>22</v>
      </c>
      <c r="AB37" s="839">
        <v>180</v>
      </c>
      <c r="AC37" s="839">
        <v>367</v>
      </c>
      <c r="AD37" s="839">
        <v>424</v>
      </c>
      <c r="AE37" s="837">
        <v>147</v>
      </c>
      <c r="AF37" s="837">
        <v>-97</v>
      </c>
      <c r="AG37" s="837">
        <v>15</v>
      </c>
      <c r="AH37" s="837">
        <v>-79</v>
      </c>
      <c r="AI37" s="837">
        <v>182</v>
      </c>
      <c r="AJ37" s="837">
        <v>-51</v>
      </c>
      <c r="AK37" s="1027">
        <v>-50</v>
      </c>
      <c r="AL37" s="1005">
        <v>446</v>
      </c>
      <c r="AM37" s="934">
        <v>264</v>
      </c>
      <c r="AN37" s="934">
        <v>2834</v>
      </c>
      <c r="AO37" s="934">
        <v>1234</v>
      </c>
      <c r="AP37" s="934">
        <v>1304</v>
      </c>
      <c r="AQ37" s="934">
        <v>1205</v>
      </c>
      <c r="AR37" s="934">
        <v>548</v>
      </c>
      <c r="AS37" s="934">
        <v>278</v>
      </c>
      <c r="AT37" s="934">
        <v>427</v>
      </c>
      <c r="AU37" s="934">
        <v>584</v>
      </c>
      <c r="AV37" s="934">
        <v>344</v>
      </c>
      <c r="AW37" s="934">
        <v>334</v>
      </c>
      <c r="AX37" s="934">
        <v>266</v>
      </c>
      <c r="AY37" s="934">
        <v>-5</v>
      </c>
      <c r="AZ37" s="934">
        <v>-304</v>
      </c>
      <c r="BA37" s="934">
        <v>3</v>
      </c>
      <c r="BB37" s="934">
        <v>-119</v>
      </c>
      <c r="BC37" s="1121">
        <v>166</v>
      </c>
      <c r="BD37" s="934">
        <v>-405</v>
      </c>
      <c r="BE37" s="934">
        <v>3</v>
      </c>
      <c r="BF37" s="934">
        <v>98</v>
      </c>
      <c r="BG37" s="934">
        <v>-49</v>
      </c>
      <c r="BH37" s="934">
        <v>-88</v>
      </c>
      <c r="BI37" s="934">
        <v>-59.672592318349132</v>
      </c>
      <c r="BJ37" s="934">
        <v>100</v>
      </c>
      <c r="BK37" s="934">
        <v>-11.070973978088407</v>
      </c>
      <c r="BL37" s="934">
        <v>100</v>
      </c>
      <c r="BM37" s="934">
        <v>-135.98023068974911</v>
      </c>
      <c r="BN37" s="934">
        <v>239.13497510500864</v>
      </c>
      <c r="BO37" s="1121">
        <v>-358.45547242440597</v>
      </c>
      <c r="BP37" s="934">
        <v>-298.07362484837518</v>
      </c>
      <c r="BQ37" s="934">
        <v>-257.71251499124975</v>
      </c>
      <c r="BR37" s="934">
        <v>75.685556137167865</v>
      </c>
      <c r="BS37" s="934">
        <v>-150</v>
      </c>
      <c r="BT37" s="934">
        <v>-225.72001538527769</v>
      </c>
      <c r="BU37" s="934">
        <v>-40.603257144485241</v>
      </c>
      <c r="BV37" s="934">
        <v>-962.79555821945496</v>
      </c>
      <c r="BW37" s="934">
        <v>-493.67259231834913</v>
      </c>
      <c r="BX37" s="934">
        <v>9802</v>
      </c>
      <c r="BY37" s="1189">
        <v>979</v>
      </c>
      <c r="BZ37" s="1212"/>
      <c r="CA37" s="926"/>
      <c r="CB37" s="887"/>
      <c r="CC37" s="845"/>
    </row>
    <row r="38" spans="1:82" s="825" customFormat="1" ht="17.850000000000001" customHeight="1" x14ac:dyDescent="0.35">
      <c r="A38" s="827" t="s">
        <v>96</v>
      </c>
      <c r="B38" s="822">
        <v>-396</v>
      </c>
      <c r="C38" s="822">
        <v>67</v>
      </c>
      <c r="D38" s="822">
        <v>841</v>
      </c>
      <c r="E38" s="822">
        <v>128</v>
      </c>
      <c r="F38" s="822">
        <v>244</v>
      </c>
      <c r="G38" s="822">
        <v>677</v>
      </c>
      <c r="H38" s="822">
        <v>229</v>
      </c>
      <c r="I38" s="822">
        <v>401</v>
      </c>
      <c r="J38" s="822">
        <v>463</v>
      </c>
      <c r="K38" s="822">
        <v>581</v>
      </c>
      <c r="L38" s="822">
        <v>242</v>
      </c>
      <c r="M38" s="822">
        <v>963</v>
      </c>
      <c r="N38" s="826">
        <f t="shared" ref="N38:AK38" si="25">N39+N40</f>
        <v>-276</v>
      </c>
      <c r="O38" s="826">
        <f t="shared" si="25"/>
        <v>218</v>
      </c>
      <c r="P38" s="826">
        <f t="shared" si="25"/>
        <v>-303</v>
      </c>
      <c r="Q38" s="826">
        <f t="shared" si="25"/>
        <v>-204</v>
      </c>
      <c r="R38" s="826">
        <f t="shared" si="25"/>
        <v>291</v>
      </c>
      <c r="S38" s="826">
        <f t="shared" si="25"/>
        <v>508</v>
      </c>
      <c r="T38" s="826">
        <f t="shared" si="25"/>
        <v>447</v>
      </c>
      <c r="U38" s="826">
        <f t="shared" si="25"/>
        <v>100</v>
      </c>
      <c r="V38" s="826">
        <f t="shared" si="25"/>
        <v>354</v>
      </c>
      <c r="W38" s="826">
        <f t="shared" si="25"/>
        <v>-29</v>
      </c>
      <c r="X38" s="826">
        <f t="shared" si="25"/>
        <v>291</v>
      </c>
      <c r="Y38" s="826">
        <f t="shared" si="25"/>
        <v>390</v>
      </c>
      <c r="Z38" s="826">
        <f t="shared" si="25"/>
        <v>-543</v>
      </c>
      <c r="AA38" s="826">
        <f t="shared" si="25"/>
        <v>232</v>
      </c>
      <c r="AB38" s="826">
        <f t="shared" si="25"/>
        <v>469</v>
      </c>
      <c r="AC38" s="826">
        <f t="shared" si="25"/>
        <v>-159</v>
      </c>
      <c r="AD38" s="826">
        <f>AD39+AD40</f>
        <v>99</v>
      </c>
      <c r="AE38" s="826">
        <f>AE39+AE40</f>
        <v>-450</v>
      </c>
      <c r="AF38" s="826">
        <f t="shared" si="25"/>
        <v>8</v>
      </c>
      <c r="AG38" s="826">
        <f t="shared" si="25"/>
        <v>-185</v>
      </c>
      <c r="AH38" s="826">
        <f>AH39+AH40</f>
        <v>98</v>
      </c>
      <c r="AI38" s="826">
        <f t="shared" si="25"/>
        <v>304</v>
      </c>
      <c r="AJ38" s="826">
        <f>AJ39+AJ40</f>
        <v>298</v>
      </c>
      <c r="AK38" s="1034">
        <f t="shared" si="25"/>
        <v>-115</v>
      </c>
      <c r="AL38" s="1101">
        <v>-558</v>
      </c>
      <c r="AM38" s="870">
        <v>980</v>
      </c>
      <c r="AN38" s="870">
        <v>-457</v>
      </c>
      <c r="AO38" s="870">
        <v>-334</v>
      </c>
      <c r="AP38" s="870">
        <v>-443</v>
      </c>
      <c r="AQ38" s="870">
        <v>-340</v>
      </c>
      <c r="AR38" s="870">
        <v>-203</v>
      </c>
      <c r="AS38" s="870">
        <v>-184</v>
      </c>
      <c r="AT38" s="870">
        <v>-960</v>
      </c>
      <c r="AU38" s="870">
        <v>33</v>
      </c>
      <c r="AV38" s="870">
        <v>219</v>
      </c>
      <c r="AW38" s="870">
        <v>-367</v>
      </c>
      <c r="AX38" s="870">
        <v>789</v>
      </c>
      <c r="AY38" s="870">
        <v>590</v>
      </c>
      <c r="AZ38" s="870">
        <v>589</v>
      </c>
      <c r="BA38" s="870">
        <v>20</v>
      </c>
      <c r="BB38" s="870">
        <v>36</v>
      </c>
      <c r="BC38" s="870">
        <v>130</v>
      </c>
      <c r="BD38" s="1160">
        <v>1</v>
      </c>
      <c r="BE38" s="1160">
        <v>81</v>
      </c>
      <c r="BF38" s="1160">
        <v>-307</v>
      </c>
      <c r="BG38" s="1160">
        <v>-183</v>
      </c>
      <c r="BH38" s="1160">
        <v>-320</v>
      </c>
      <c r="BI38" s="1160">
        <v>-304.12851543018292</v>
      </c>
      <c r="BJ38" s="870">
        <v>-133.52387078170432</v>
      </c>
      <c r="BK38" s="870">
        <v>-85.994897288778432</v>
      </c>
      <c r="BL38" s="870">
        <v>-56.726287501965878</v>
      </c>
      <c r="BM38" s="870">
        <v>-19.83379458146592</v>
      </c>
      <c r="BN38" s="870">
        <v>-21.748665665411281</v>
      </c>
      <c r="BO38" s="870">
        <v>62.18597059382261</v>
      </c>
      <c r="BP38" s="1160">
        <v>319.41595956540664</v>
      </c>
      <c r="BQ38" s="1160">
        <v>367.18426407673684</v>
      </c>
      <c r="BR38" s="1160">
        <v>448.4608105321584</v>
      </c>
      <c r="BS38" s="1160">
        <v>479.81885881350104</v>
      </c>
      <c r="BT38" s="1160">
        <v>327.83270537452279</v>
      </c>
      <c r="BU38" s="1160">
        <v>211.16929773852883</v>
      </c>
      <c r="BV38" s="1160">
        <v>1898.2403508753514</v>
      </c>
      <c r="BW38" s="1160">
        <v>1121.8714845698171</v>
      </c>
      <c r="BX38" s="1160">
        <v>-2614</v>
      </c>
      <c r="BY38" s="1188">
        <v>56</v>
      </c>
      <c r="BZ38" s="1211">
        <v>1787</v>
      </c>
      <c r="CA38" s="924"/>
      <c r="CB38" s="882">
        <f>SUM(N38:Y38)</f>
        <v>1787</v>
      </c>
      <c r="CC38" s="824"/>
    </row>
    <row r="39" spans="1:82" s="832" customFormat="1" ht="17.850000000000001" customHeight="1" x14ac:dyDescent="0.35">
      <c r="A39" s="830" t="s">
        <v>215</v>
      </c>
      <c r="B39" s="799">
        <v>6</v>
      </c>
      <c r="C39" s="799">
        <v>-329</v>
      </c>
      <c r="D39" s="799">
        <v>-14</v>
      </c>
      <c r="E39" s="799">
        <v>16</v>
      </c>
      <c r="F39" s="799">
        <v>194</v>
      </c>
      <c r="G39" s="799">
        <v>70</v>
      </c>
      <c r="H39" s="799">
        <v>-178</v>
      </c>
      <c r="I39" s="799">
        <v>69</v>
      </c>
      <c r="J39" s="799">
        <v>0</v>
      </c>
      <c r="K39" s="799">
        <v>-3</v>
      </c>
      <c r="L39" s="799">
        <v>-3</v>
      </c>
      <c r="M39" s="799">
        <v>-152</v>
      </c>
      <c r="N39" s="798">
        <v>-26</v>
      </c>
      <c r="O39" s="798">
        <v>78</v>
      </c>
      <c r="P39" s="798">
        <v>-263</v>
      </c>
      <c r="Q39" s="798">
        <v>-61</v>
      </c>
      <c r="R39" s="798">
        <v>111</v>
      </c>
      <c r="S39" s="798">
        <v>137</v>
      </c>
      <c r="T39" s="798">
        <v>10</v>
      </c>
      <c r="U39" s="798">
        <v>-116</v>
      </c>
      <c r="V39" s="798">
        <v>5</v>
      </c>
      <c r="W39" s="798">
        <v>-97</v>
      </c>
      <c r="X39" s="831">
        <v>41</v>
      </c>
      <c r="Y39" s="831">
        <v>17</v>
      </c>
      <c r="Z39" s="798">
        <v>7</v>
      </c>
      <c r="AA39" s="798">
        <v>10</v>
      </c>
      <c r="AB39" s="798">
        <v>48</v>
      </c>
      <c r="AC39" s="798">
        <v>3</v>
      </c>
      <c r="AD39" s="798">
        <v>10</v>
      </c>
      <c r="AE39" s="831">
        <v>39</v>
      </c>
      <c r="AF39" s="831">
        <v>152</v>
      </c>
      <c r="AG39" s="831">
        <v>29</v>
      </c>
      <c r="AH39" s="831">
        <v>39</v>
      </c>
      <c r="AI39" s="831">
        <v>61</v>
      </c>
      <c r="AJ39" s="831">
        <v>51</v>
      </c>
      <c r="AK39" s="1035">
        <v>-77</v>
      </c>
      <c r="AL39" s="1010">
        <v>-54</v>
      </c>
      <c r="AM39" s="935">
        <v>150</v>
      </c>
      <c r="AN39" s="935">
        <v>-247</v>
      </c>
      <c r="AO39" s="935">
        <v>-31</v>
      </c>
      <c r="AP39" s="935">
        <v>17</v>
      </c>
      <c r="AQ39" s="935">
        <v>-100</v>
      </c>
      <c r="AR39" s="935">
        <v>41</v>
      </c>
      <c r="AS39" s="935">
        <v>49</v>
      </c>
      <c r="AT39" s="935">
        <v>-5</v>
      </c>
      <c r="AU39" s="935">
        <v>-138</v>
      </c>
      <c r="AV39" s="935">
        <v>77</v>
      </c>
      <c r="AW39" s="1120">
        <v>-192</v>
      </c>
      <c r="AX39" s="935">
        <v>-43</v>
      </c>
      <c r="AY39" s="935">
        <v>15</v>
      </c>
      <c r="AZ39" s="935">
        <v>-37</v>
      </c>
      <c r="BA39" s="935">
        <v>38</v>
      </c>
      <c r="BB39" s="935">
        <v>-29</v>
      </c>
      <c r="BC39" s="1120">
        <v>-88</v>
      </c>
      <c r="BD39" s="935">
        <v>-65</v>
      </c>
      <c r="BE39" s="935">
        <v>22</v>
      </c>
      <c r="BF39" s="935">
        <v>49</v>
      </c>
      <c r="BG39" s="935">
        <v>-57</v>
      </c>
      <c r="BH39" s="935">
        <v>132</v>
      </c>
      <c r="BI39" s="935">
        <v>-9.4328114568496346</v>
      </c>
      <c r="BJ39" s="935">
        <v>22.42218622496236</v>
      </c>
      <c r="BK39" s="935">
        <v>19.951159717888242</v>
      </c>
      <c r="BL39" s="935">
        <v>-0.7802304952992003</v>
      </c>
      <c r="BM39" s="935">
        <v>27.328949298534074</v>
      </c>
      <c r="BN39" s="935">
        <v>25.414078214588713</v>
      </c>
      <c r="BO39" s="1120">
        <v>9.3487144738226036</v>
      </c>
      <c r="BP39" s="935">
        <v>24.533719358739997</v>
      </c>
      <c r="BQ39" s="935">
        <v>22.302023870070176</v>
      </c>
      <c r="BR39" s="935">
        <v>3.5785703254917323</v>
      </c>
      <c r="BS39" s="935">
        <v>26.700050230167662</v>
      </c>
      <c r="BT39" s="935">
        <v>24.713896791189416</v>
      </c>
      <c r="BU39" s="935">
        <v>8.0504891551954998</v>
      </c>
      <c r="BV39" s="935">
        <v>213.56360716535127</v>
      </c>
      <c r="BW39" s="935">
        <v>-72.432811456849635</v>
      </c>
      <c r="BX39" s="935">
        <v>-433</v>
      </c>
      <c r="BY39" s="1184">
        <v>372</v>
      </c>
      <c r="BZ39" s="1205">
        <v>-164</v>
      </c>
      <c r="CA39" s="919">
        <v>-324</v>
      </c>
      <c r="CB39" s="888">
        <f>SUM(N39:Y39)</f>
        <v>-164</v>
      </c>
      <c r="CC39" s="835">
        <f>SUM(B39:M39)</f>
        <v>-324</v>
      </c>
    </row>
    <row r="40" spans="1:82" s="832" customFormat="1" ht="17.850000000000001" customHeight="1" x14ac:dyDescent="0.35">
      <c r="A40" s="830" t="s">
        <v>93</v>
      </c>
      <c r="B40" s="799">
        <v>-403</v>
      </c>
      <c r="C40" s="799">
        <v>402</v>
      </c>
      <c r="D40" s="799">
        <v>248</v>
      </c>
      <c r="E40" s="799">
        <v>89</v>
      </c>
      <c r="F40" s="799">
        <v>73</v>
      </c>
      <c r="G40" s="799">
        <v>572</v>
      </c>
      <c r="H40" s="799">
        <v>407</v>
      </c>
      <c r="I40" s="799">
        <v>381</v>
      </c>
      <c r="J40" s="799">
        <v>497</v>
      </c>
      <c r="K40" s="799">
        <v>272</v>
      </c>
      <c r="L40" s="799">
        <v>256</v>
      </c>
      <c r="M40" s="799">
        <v>933</v>
      </c>
      <c r="N40" s="798">
        <v>-250</v>
      </c>
      <c r="O40" s="798">
        <v>140</v>
      </c>
      <c r="P40" s="798">
        <v>-40</v>
      </c>
      <c r="Q40" s="798">
        <v>-143</v>
      </c>
      <c r="R40" s="798">
        <v>180</v>
      </c>
      <c r="S40" s="798">
        <v>371</v>
      </c>
      <c r="T40" s="798">
        <v>437</v>
      </c>
      <c r="U40" s="798">
        <v>216</v>
      </c>
      <c r="V40" s="798">
        <v>349</v>
      </c>
      <c r="W40" s="798">
        <v>68</v>
      </c>
      <c r="X40" s="798">
        <v>250</v>
      </c>
      <c r="Y40" s="798">
        <v>373</v>
      </c>
      <c r="Z40" s="798">
        <v>-550</v>
      </c>
      <c r="AA40" s="798">
        <v>222</v>
      </c>
      <c r="AB40" s="798">
        <v>421</v>
      </c>
      <c r="AC40" s="798">
        <v>-162</v>
      </c>
      <c r="AD40" s="798">
        <v>89</v>
      </c>
      <c r="AE40" s="798">
        <v>-489</v>
      </c>
      <c r="AF40" s="798">
        <v>-144</v>
      </c>
      <c r="AG40" s="798">
        <v>-214</v>
      </c>
      <c r="AH40" s="798">
        <v>59</v>
      </c>
      <c r="AI40" s="798">
        <v>243</v>
      </c>
      <c r="AJ40" s="798">
        <v>247</v>
      </c>
      <c r="AK40" s="1030">
        <v>-38</v>
      </c>
      <c r="AL40" s="867">
        <v>-504</v>
      </c>
      <c r="AM40" s="867">
        <v>830</v>
      </c>
      <c r="AN40" s="867">
        <v>-210</v>
      </c>
      <c r="AO40" s="867">
        <v>-303</v>
      </c>
      <c r="AP40" s="867">
        <v>-460</v>
      </c>
      <c r="AQ40" s="867">
        <v>-240</v>
      </c>
      <c r="AR40" s="867">
        <v>-244</v>
      </c>
      <c r="AS40" s="867">
        <v>-233</v>
      </c>
      <c r="AT40" s="867">
        <v>-955</v>
      </c>
      <c r="AU40" s="867">
        <v>171</v>
      </c>
      <c r="AV40" s="867">
        <v>142</v>
      </c>
      <c r="AW40" s="867">
        <v>-175</v>
      </c>
      <c r="AX40" s="867">
        <v>832</v>
      </c>
      <c r="AY40" s="867">
        <v>575</v>
      </c>
      <c r="AZ40" s="867">
        <v>626</v>
      </c>
      <c r="BA40" s="867">
        <v>-18</v>
      </c>
      <c r="BB40" s="867">
        <v>65</v>
      </c>
      <c r="BC40" s="867">
        <v>218</v>
      </c>
      <c r="BD40" s="956">
        <v>66</v>
      </c>
      <c r="BE40" s="956">
        <v>59</v>
      </c>
      <c r="BF40" s="956">
        <v>-356</v>
      </c>
      <c r="BG40" s="956">
        <v>-126</v>
      </c>
      <c r="BH40" s="956">
        <v>-452</v>
      </c>
      <c r="BI40" s="956">
        <v>-294.69570397333331</v>
      </c>
      <c r="BJ40" s="867">
        <v>-155.94605700666668</v>
      </c>
      <c r="BK40" s="867">
        <v>-105.94605700666668</v>
      </c>
      <c r="BL40" s="867">
        <v>-55.946057006666678</v>
      </c>
      <c r="BM40" s="867">
        <v>-47.162743879999994</v>
      </c>
      <c r="BN40" s="867">
        <v>-47.162743879999994</v>
      </c>
      <c r="BO40" s="867">
        <v>52.837256120000006</v>
      </c>
      <c r="BP40" s="956">
        <v>294.88224020666667</v>
      </c>
      <c r="BQ40" s="956">
        <v>344.88224020666667</v>
      </c>
      <c r="BR40" s="956">
        <v>444.88224020666667</v>
      </c>
      <c r="BS40" s="956">
        <v>453.11880858333336</v>
      </c>
      <c r="BT40" s="956">
        <v>303.11880858333336</v>
      </c>
      <c r="BU40" s="956">
        <v>203.11880858333333</v>
      </c>
      <c r="BV40" s="935">
        <v>1684.6767437099998</v>
      </c>
      <c r="BW40" s="935">
        <v>1194.3042960266666</v>
      </c>
      <c r="BX40" s="935">
        <v>-2181</v>
      </c>
      <c r="BY40" s="1184">
        <v>-316</v>
      </c>
      <c r="BZ40" s="1205">
        <v>1951</v>
      </c>
      <c r="CA40" s="919">
        <v>3727</v>
      </c>
      <c r="CB40" s="888">
        <f>SUM(N40:Y40)</f>
        <v>1951</v>
      </c>
      <c r="CC40" s="835">
        <f>SUM(B40:M40)</f>
        <v>3727</v>
      </c>
    </row>
    <row r="41" spans="1:82" s="840" customFormat="1" ht="18" customHeight="1" x14ac:dyDescent="0.35">
      <c r="A41" s="852" t="s">
        <v>168</v>
      </c>
      <c r="B41" s="837">
        <v>-138</v>
      </c>
      <c r="C41" s="837">
        <v>248</v>
      </c>
      <c r="D41" s="837">
        <v>-266</v>
      </c>
      <c r="E41" s="837">
        <v>2</v>
      </c>
      <c r="F41" s="837">
        <v>67</v>
      </c>
      <c r="G41" s="837">
        <v>313</v>
      </c>
      <c r="H41" s="837">
        <v>78</v>
      </c>
      <c r="I41" s="837">
        <v>131</v>
      </c>
      <c r="J41" s="837">
        <v>118</v>
      </c>
      <c r="K41" s="837">
        <v>-30</v>
      </c>
      <c r="L41" s="837">
        <v>-60</v>
      </c>
      <c r="M41" s="837">
        <v>842</v>
      </c>
      <c r="N41" s="839">
        <v>-42</v>
      </c>
      <c r="O41" s="839">
        <v>-349</v>
      </c>
      <c r="P41" s="839">
        <v>-301</v>
      </c>
      <c r="Q41" s="839">
        <v>-35</v>
      </c>
      <c r="R41" s="839">
        <v>17</v>
      </c>
      <c r="S41" s="839">
        <v>184</v>
      </c>
      <c r="T41" s="839">
        <v>105</v>
      </c>
      <c r="U41" s="837">
        <v>102</v>
      </c>
      <c r="V41" s="837">
        <v>40</v>
      </c>
      <c r="W41" s="837">
        <v>-72</v>
      </c>
      <c r="X41" s="837">
        <v>-194</v>
      </c>
      <c r="Y41" s="837">
        <v>317</v>
      </c>
      <c r="Z41" s="837">
        <v>-101</v>
      </c>
      <c r="AA41" s="837">
        <v>-45</v>
      </c>
      <c r="AB41" s="837">
        <v>-65</v>
      </c>
      <c r="AC41" s="837">
        <v>-14</v>
      </c>
      <c r="AD41" s="837">
        <v>56</v>
      </c>
      <c r="AE41" s="837">
        <v>-12</v>
      </c>
      <c r="AF41" s="837">
        <v>-79</v>
      </c>
      <c r="AG41" s="837">
        <v>-57</v>
      </c>
      <c r="AH41" s="837">
        <v>21</v>
      </c>
      <c r="AI41" s="837">
        <v>216</v>
      </c>
      <c r="AJ41" s="837">
        <v>124</v>
      </c>
      <c r="AK41" s="1027">
        <v>308</v>
      </c>
      <c r="AL41" s="1005">
        <v>-4</v>
      </c>
      <c r="AM41" s="934">
        <v>23</v>
      </c>
      <c r="AN41" s="934">
        <v>107</v>
      </c>
      <c r="AO41" s="934">
        <v>26</v>
      </c>
      <c r="AP41" s="934">
        <v>40</v>
      </c>
      <c r="AQ41" s="934">
        <v>27</v>
      </c>
      <c r="AR41" s="934">
        <v>31</v>
      </c>
      <c r="AS41" s="934">
        <v>94</v>
      </c>
      <c r="AT41" s="934">
        <v>-8</v>
      </c>
      <c r="AU41" s="934">
        <v>263</v>
      </c>
      <c r="AV41" s="934">
        <v>73</v>
      </c>
      <c r="AW41" s="1121">
        <v>81</v>
      </c>
      <c r="AX41" s="934">
        <v>333</v>
      </c>
      <c r="AY41" s="934">
        <v>-165</v>
      </c>
      <c r="AZ41" s="934">
        <v>-147</v>
      </c>
      <c r="BA41" s="934">
        <v>24</v>
      </c>
      <c r="BB41" s="934">
        <v>42</v>
      </c>
      <c r="BC41" s="1121">
        <v>180</v>
      </c>
      <c r="BD41" s="934">
        <v>-12</v>
      </c>
      <c r="BE41" s="934">
        <v>263</v>
      </c>
      <c r="BF41" s="934">
        <v>50</v>
      </c>
      <c r="BG41" s="934">
        <v>-48</v>
      </c>
      <c r="BH41" s="934">
        <v>159</v>
      </c>
      <c r="BI41" s="934">
        <v>105.30429602666668</v>
      </c>
      <c r="BJ41" s="934">
        <v>94.053942993333322</v>
      </c>
      <c r="BK41" s="934">
        <v>94.053942993333322</v>
      </c>
      <c r="BL41" s="934">
        <v>94.053942993333322</v>
      </c>
      <c r="BM41" s="934">
        <v>102.83725612000001</v>
      </c>
      <c r="BN41" s="934">
        <v>102.83725612000001</v>
      </c>
      <c r="BO41" s="1121">
        <v>102.83725612000001</v>
      </c>
      <c r="BP41" s="934">
        <v>94.882240206666665</v>
      </c>
      <c r="BQ41" s="934">
        <v>94.882240206666665</v>
      </c>
      <c r="BR41" s="934">
        <v>94.882240206666665</v>
      </c>
      <c r="BS41" s="934">
        <v>103.11880858333333</v>
      </c>
      <c r="BT41" s="934">
        <v>103.11880858333333</v>
      </c>
      <c r="BU41" s="934">
        <v>103.11880858333333</v>
      </c>
      <c r="BV41" s="935">
        <v>1184.67674371</v>
      </c>
      <c r="BW41" s="935">
        <v>784.30429602666663</v>
      </c>
      <c r="BX41" s="935">
        <v>753</v>
      </c>
      <c r="BY41" s="1184">
        <v>352</v>
      </c>
      <c r="BZ41" s="1205">
        <v>-228</v>
      </c>
      <c r="CA41" s="926">
        <v>1305</v>
      </c>
      <c r="CB41" s="887">
        <f>SUM(N41:Y41)</f>
        <v>-228</v>
      </c>
      <c r="CC41" s="845">
        <f>SUM(B41:M41)</f>
        <v>1305</v>
      </c>
    </row>
    <row r="42" spans="1:82" s="840" customFormat="1" ht="21.6" customHeight="1" x14ac:dyDescent="0.35">
      <c r="A42" s="852" t="s">
        <v>97</v>
      </c>
      <c r="B42" s="837">
        <v>-265</v>
      </c>
      <c r="C42" s="837">
        <v>154</v>
      </c>
      <c r="D42" s="837">
        <v>514</v>
      </c>
      <c r="E42" s="837">
        <v>87</v>
      </c>
      <c r="F42" s="837">
        <v>6</v>
      </c>
      <c r="G42" s="837">
        <v>259</v>
      </c>
      <c r="H42" s="837">
        <v>329</v>
      </c>
      <c r="I42" s="837">
        <v>250</v>
      </c>
      <c r="J42" s="837">
        <v>379</v>
      </c>
      <c r="K42" s="837">
        <v>302</v>
      </c>
      <c r="L42" s="837">
        <v>316</v>
      </c>
      <c r="M42" s="837">
        <v>91</v>
      </c>
      <c r="N42" s="854">
        <v>-208</v>
      </c>
      <c r="O42" s="854">
        <v>489</v>
      </c>
      <c r="P42" s="854">
        <v>261</v>
      </c>
      <c r="Q42" s="854">
        <v>-108</v>
      </c>
      <c r="R42" s="854">
        <v>163</v>
      </c>
      <c r="S42" s="854">
        <v>187</v>
      </c>
      <c r="T42" s="854">
        <v>332</v>
      </c>
      <c r="U42" s="854">
        <v>114</v>
      </c>
      <c r="V42" s="838">
        <v>309</v>
      </c>
      <c r="W42" s="838">
        <v>140</v>
      </c>
      <c r="X42" s="838">
        <v>444</v>
      </c>
      <c r="Y42" s="838">
        <v>56</v>
      </c>
      <c r="Z42" s="839">
        <v>-449</v>
      </c>
      <c r="AA42" s="838">
        <v>267</v>
      </c>
      <c r="AB42" s="838">
        <v>486</v>
      </c>
      <c r="AC42" s="838">
        <v>-148</v>
      </c>
      <c r="AD42" s="838">
        <v>33</v>
      </c>
      <c r="AE42" s="838">
        <v>-477</v>
      </c>
      <c r="AF42" s="838">
        <v>-65</v>
      </c>
      <c r="AG42" s="838">
        <v>-157</v>
      </c>
      <c r="AH42" s="838">
        <v>38</v>
      </c>
      <c r="AI42" s="838">
        <v>27</v>
      </c>
      <c r="AJ42" s="838">
        <v>123</v>
      </c>
      <c r="AK42" s="1028">
        <v>-346</v>
      </c>
      <c r="AL42" s="1005">
        <v>-500</v>
      </c>
      <c r="AM42" s="934">
        <v>807</v>
      </c>
      <c r="AN42" s="934">
        <v>-317</v>
      </c>
      <c r="AO42" s="934">
        <v>-329</v>
      </c>
      <c r="AP42" s="934">
        <v>-500</v>
      </c>
      <c r="AQ42" s="934">
        <v>-267</v>
      </c>
      <c r="AR42" s="934">
        <v>-275</v>
      </c>
      <c r="AS42" s="934">
        <v>-327</v>
      </c>
      <c r="AT42" s="934">
        <v>-947</v>
      </c>
      <c r="AU42" s="934">
        <v>-92</v>
      </c>
      <c r="AV42" s="934">
        <v>69</v>
      </c>
      <c r="AW42" s="1121">
        <v>-256</v>
      </c>
      <c r="AX42" s="934">
        <v>499</v>
      </c>
      <c r="AY42" s="934">
        <v>740</v>
      </c>
      <c r="AZ42" s="934">
        <v>773</v>
      </c>
      <c r="BA42" s="934">
        <v>-42</v>
      </c>
      <c r="BB42" s="934">
        <v>23</v>
      </c>
      <c r="BC42" s="1121">
        <v>38</v>
      </c>
      <c r="BD42" s="934">
        <v>78</v>
      </c>
      <c r="BE42" s="934">
        <v>-204</v>
      </c>
      <c r="BF42" s="934">
        <v>-406</v>
      </c>
      <c r="BG42" s="934">
        <v>-78</v>
      </c>
      <c r="BH42" s="934">
        <v>-611</v>
      </c>
      <c r="BI42" s="934">
        <v>-400</v>
      </c>
      <c r="BJ42" s="934">
        <v>-250</v>
      </c>
      <c r="BK42" s="934">
        <v>-200</v>
      </c>
      <c r="BL42" s="934">
        <v>-150</v>
      </c>
      <c r="BM42" s="934">
        <v>-150</v>
      </c>
      <c r="BN42" s="934">
        <v>-150</v>
      </c>
      <c r="BO42" s="1121">
        <v>-50</v>
      </c>
      <c r="BP42" s="934">
        <v>200</v>
      </c>
      <c r="BQ42" s="934">
        <v>250</v>
      </c>
      <c r="BR42" s="934">
        <v>350</v>
      </c>
      <c r="BS42" s="934">
        <v>350</v>
      </c>
      <c r="BT42" s="934">
        <v>200</v>
      </c>
      <c r="BU42" s="934">
        <v>100</v>
      </c>
      <c r="BV42" s="934">
        <v>500</v>
      </c>
      <c r="BW42" s="934">
        <v>410</v>
      </c>
      <c r="BX42" s="935">
        <v>-2934</v>
      </c>
      <c r="BY42" s="1184">
        <v>-668</v>
      </c>
      <c r="BZ42" s="1205">
        <v>2179</v>
      </c>
      <c r="CA42" s="926">
        <v>2422</v>
      </c>
      <c r="CB42" s="887">
        <f>SUM(N42:Y42)</f>
        <v>2179</v>
      </c>
      <c r="CC42" s="845">
        <f>SUM(B42:M42)</f>
        <v>2422</v>
      </c>
    </row>
    <row r="43" spans="1:82" s="858" customFormat="1" ht="17.850000000000001" customHeight="1" x14ac:dyDescent="0.35">
      <c r="A43" s="855" t="s">
        <v>98</v>
      </c>
      <c r="B43" s="810">
        <v>36</v>
      </c>
      <c r="C43" s="810">
        <v>297</v>
      </c>
      <c r="D43" s="810">
        <v>76</v>
      </c>
      <c r="E43" s="810">
        <v>-53</v>
      </c>
      <c r="F43" s="810">
        <v>-172</v>
      </c>
      <c r="G43" s="810">
        <v>-132</v>
      </c>
      <c r="H43" s="810">
        <v>397</v>
      </c>
      <c r="I43" s="810">
        <v>-3</v>
      </c>
      <c r="J43" s="810">
        <v>230</v>
      </c>
      <c r="K43" s="810">
        <v>220</v>
      </c>
      <c r="L43" s="810">
        <v>206</v>
      </c>
      <c r="M43" s="810">
        <v>144</v>
      </c>
      <c r="N43" s="856">
        <v>193</v>
      </c>
      <c r="O43" s="856">
        <v>167</v>
      </c>
      <c r="P43" s="856">
        <v>19</v>
      </c>
      <c r="Q43" s="856">
        <v>84</v>
      </c>
      <c r="R43" s="856">
        <v>147</v>
      </c>
      <c r="S43" s="856">
        <v>4</v>
      </c>
      <c r="T43" s="856">
        <v>-78</v>
      </c>
      <c r="U43" s="856">
        <v>311</v>
      </c>
      <c r="V43" s="856">
        <v>69</v>
      </c>
      <c r="W43" s="856">
        <v>-54</v>
      </c>
      <c r="X43" s="856">
        <v>47</v>
      </c>
      <c r="Y43" s="856">
        <v>7</v>
      </c>
      <c r="Z43" s="856">
        <v>31</v>
      </c>
      <c r="AA43" s="856">
        <v>76</v>
      </c>
      <c r="AB43" s="856">
        <v>151</v>
      </c>
      <c r="AC43" s="856">
        <v>56</v>
      </c>
      <c r="AD43" s="856">
        <v>263</v>
      </c>
      <c r="AE43" s="856">
        <v>231</v>
      </c>
      <c r="AF43" s="856">
        <v>226</v>
      </c>
      <c r="AG43" s="856">
        <v>299</v>
      </c>
      <c r="AH43" s="856">
        <v>189</v>
      </c>
      <c r="AI43" s="856">
        <v>133</v>
      </c>
      <c r="AJ43" s="856">
        <v>169</v>
      </c>
      <c r="AK43" s="1036">
        <v>-210</v>
      </c>
      <c r="AL43" s="1011">
        <v>-88</v>
      </c>
      <c r="AM43" s="938">
        <v>-21</v>
      </c>
      <c r="AN43" s="938">
        <v>-31</v>
      </c>
      <c r="AO43" s="938">
        <v>-67</v>
      </c>
      <c r="AP43" s="938">
        <v>-143</v>
      </c>
      <c r="AQ43" s="938">
        <v>85</v>
      </c>
      <c r="AR43" s="938">
        <v>149</v>
      </c>
      <c r="AS43" s="938">
        <v>145</v>
      </c>
      <c r="AT43" s="938">
        <v>82</v>
      </c>
      <c r="AU43" s="938">
        <v>-102</v>
      </c>
      <c r="AV43" s="938">
        <v>-273</v>
      </c>
      <c r="AW43" s="1122">
        <v>0</v>
      </c>
      <c r="AX43" s="938">
        <v>134</v>
      </c>
      <c r="AY43" s="938">
        <v>386</v>
      </c>
      <c r="AZ43" s="938">
        <v>62</v>
      </c>
      <c r="BA43" s="938">
        <v>197</v>
      </c>
      <c r="BB43" s="938">
        <v>188</v>
      </c>
      <c r="BC43" s="1122">
        <v>68</v>
      </c>
      <c r="BD43" s="938">
        <v>-48</v>
      </c>
      <c r="BE43" s="938">
        <v>62</v>
      </c>
      <c r="BF43" s="938">
        <v>187</v>
      </c>
      <c r="BG43" s="938">
        <v>201</v>
      </c>
      <c r="BH43" s="938">
        <v>391</v>
      </c>
      <c r="BI43" s="938"/>
      <c r="BJ43" s="938"/>
      <c r="BK43" s="938"/>
      <c r="BL43" s="938"/>
      <c r="BM43" s="938"/>
      <c r="BN43" s="938"/>
      <c r="BO43" s="1122"/>
      <c r="BP43" s="938"/>
      <c r="BQ43" s="938"/>
      <c r="BR43" s="938"/>
      <c r="BS43" s="938"/>
      <c r="BT43" s="938"/>
      <c r="BU43" s="938"/>
      <c r="BV43" s="938">
        <v>0</v>
      </c>
      <c r="BW43" s="938">
        <v>1828</v>
      </c>
      <c r="BX43" s="938">
        <v>-264</v>
      </c>
      <c r="BY43" s="1190">
        <v>1614</v>
      </c>
      <c r="BZ43" s="1213">
        <v>947</v>
      </c>
      <c r="CA43" s="987"/>
      <c r="CB43" s="884">
        <f>SUM(N43:Z43)</f>
        <v>947</v>
      </c>
      <c r="CC43" s="857"/>
    </row>
    <row r="44" spans="1:82" ht="17.850000000000001" customHeight="1" x14ac:dyDescent="0.35">
      <c r="A44" s="787" t="s">
        <v>129</v>
      </c>
      <c r="B44" s="788"/>
      <c r="C44" s="788"/>
      <c r="D44" s="788"/>
      <c r="E44" s="788"/>
      <c r="F44" s="788"/>
      <c r="G44" s="788"/>
      <c r="H44" s="788"/>
      <c r="I44" s="788"/>
      <c r="J44" s="788"/>
      <c r="K44" s="788"/>
      <c r="L44" s="788"/>
      <c r="M44" s="788"/>
      <c r="N44" s="789" t="s">
        <v>68</v>
      </c>
      <c r="O44" s="789" t="s">
        <v>69</v>
      </c>
      <c r="P44" s="789" t="s">
        <v>70</v>
      </c>
      <c r="Q44" s="789" t="s">
        <v>71</v>
      </c>
      <c r="R44" s="789" t="s">
        <v>72</v>
      </c>
      <c r="S44" s="789" t="s">
        <v>73</v>
      </c>
      <c r="T44" s="789" t="s">
        <v>74</v>
      </c>
      <c r="U44" s="789" t="s">
        <v>75</v>
      </c>
      <c r="V44" s="789" t="s">
        <v>76</v>
      </c>
      <c r="W44" s="789" t="s">
        <v>77</v>
      </c>
      <c r="X44" s="789" t="s">
        <v>78</v>
      </c>
      <c r="Y44" s="789" t="s">
        <v>79</v>
      </c>
      <c r="Z44" s="789" t="s">
        <v>68</v>
      </c>
      <c r="AA44" s="789" t="s">
        <v>69</v>
      </c>
      <c r="AB44" s="789" t="s">
        <v>70</v>
      </c>
      <c r="AC44" s="789" t="s">
        <v>71</v>
      </c>
      <c r="AD44" s="789" t="s">
        <v>72</v>
      </c>
      <c r="AE44" s="789" t="s">
        <v>73</v>
      </c>
      <c r="AF44" s="789" t="s">
        <v>74</v>
      </c>
      <c r="AG44" s="789" t="s">
        <v>75</v>
      </c>
      <c r="AH44" s="789" t="s">
        <v>76</v>
      </c>
      <c r="AI44" s="789" t="s">
        <v>77</v>
      </c>
      <c r="AJ44" s="789" t="s">
        <v>78</v>
      </c>
      <c r="AK44" s="1024" t="s">
        <v>79</v>
      </c>
      <c r="AL44" s="1002" t="s">
        <v>68</v>
      </c>
      <c r="AM44" s="789" t="s">
        <v>69</v>
      </c>
      <c r="AN44" s="789" t="s">
        <v>70</v>
      </c>
      <c r="AO44" s="789" t="s">
        <v>71</v>
      </c>
      <c r="AP44" s="789" t="s">
        <v>72</v>
      </c>
      <c r="AQ44" s="789" t="s">
        <v>73</v>
      </c>
      <c r="AR44" s="789" t="s">
        <v>74</v>
      </c>
      <c r="AS44" s="789" t="s">
        <v>75</v>
      </c>
      <c r="AT44" s="789" t="s">
        <v>76</v>
      </c>
      <c r="AU44" s="789" t="s">
        <v>77</v>
      </c>
      <c r="AV44" s="789" t="s">
        <v>78</v>
      </c>
      <c r="AW44" s="789" t="s">
        <v>79</v>
      </c>
      <c r="AX44" s="1108" t="s">
        <v>68</v>
      </c>
      <c r="AY44" s="1108" t="s">
        <v>69</v>
      </c>
      <c r="AZ44" s="1108" t="s">
        <v>70</v>
      </c>
      <c r="BA44" s="1108" t="s">
        <v>71</v>
      </c>
      <c r="BB44" s="1108" t="s">
        <v>72</v>
      </c>
      <c r="BC44" s="1108" t="s">
        <v>73</v>
      </c>
      <c r="BD44" s="1108" t="s">
        <v>74</v>
      </c>
      <c r="BE44" s="1108" t="s">
        <v>75</v>
      </c>
      <c r="BF44" s="1108" t="s">
        <v>76</v>
      </c>
      <c r="BG44" s="1108" t="s">
        <v>77</v>
      </c>
      <c r="BH44" s="1108" t="s">
        <v>78</v>
      </c>
      <c r="BI44" s="1108" t="s">
        <v>79</v>
      </c>
      <c r="BJ44" s="1108" t="s">
        <v>68</v>
      </c>
      <c r="BK44" s="1108" t="s">
        <v>69</v>
      </c>
      <c r="BL44" s="1108" t="s">
        <v>70</v>
      </c>
      <c r="BM44" s="1108" t="s">
        <v>71</v>
      </c>
      <c r="BN44" s="1108" t="s">
        <v>72</v>
      </c>
      <c r="BO44" s="1108" t="s">
        <v>73</v>
      </c>
      <c r="BP44" s="1108" t="s">
        <v>74</v>
      </c>
      <c r="BQ44" s="1108" t="s">
        <v>75</v>
      </c>
      <c r="BR44" s="1108" t="s">
        <v>76</v>
      </c>
      <c r="BS44" s="1108" t="s">
        <v>77</v>
      </c>
      <c r="BT44" s="1108" t="s">
        <v>78</v>
      </c>
      <c r="BU44" s="1108" t="s">
        <v>79</v>
      </c>
      <c r="BV44" s="941"/>
      <c r="BW44" s="941"/>
      <c r="BX44" s="941"/>
      <c r="BY44" s="1186"/>
      <c r="BZ44" s="1208">
        <v>0</v>
      </c>
      <c r="CA44" s="930"/>
      <c r="CB44" s="877">
        <f>SUM(N44:Y44)</f>
        <v>0</v>
      </c>
      <c r="CC44" s="786"/>
    </row>
    <row r="45" spans="1:82" s="817" customFormat="1" ht="17.850000000000001" customHeight="1" x14ac:dyDescent="0.35">
      <c r="A45" s="819" t="s">
        <v>223</v>
      </c>
      <c r="B45" s="814"/>
      <c r="C45" s="814"/>
      <c r="D45" s="814"/>
      <c r="E45" s="814"/>
      <c r="F45" s="815"/>
      <c r="G45" s="815"/>
      <c r="H45" s="815"/>
      <c r="I45" s="815"/>
      <c r="J45" s="815"/>
      <c r="K45" s="815"/>
      <c r="L45" s="815"/>
      <c r="M45" s="815"/>
      <c r="N45" s="818">
        <f>(N46+N47)</f>
        <v>612.27075484814168</v>
      </c>
      <c r="O45" s="818">
        <f t="shared" ref="O45:X45" si="26">(O46+O47)</f>
        <v>522.50608642142504</v>
      </c>
      <c r="P45" s="818">
        <f t="shared" si="26"/>
        <v>406.60799999999995</v>
      </c>
      <c r="Q45" s="818">
        <f t="shared" si="26"/>
        <v>156.62940378781687</v>
      </c>
      <c r="R45" s="818">
        <f t="shared" si="26"/>
        <v>1392.8766521100904</v>
      </c>
      <c r="S45" s="818">
        <f t="shared" si="26"/>
        <v>1288.6873800683784</v>
      </c>
      <c r="T45" s="818">
        <f t="shared" si="26"/>
        <v>2235.1437706828151</v>
      </c>
      <c r="U45" s="818">
        <f t="shared" si="26"/>
        <v>631.98193260799997</v>
      </c>
      <c r="V45" s="818">
        <f t="shared" si="26"/>
        <v>2071.2929999999997</v>
      </c>
      <c r="W45" s="818">
        <f t="shared" si="26"/>
        <v>259.70296335361763</v>
      </c>
      <c r="X45" s="818">
        <f t="shared" si="26"/>
        <v>302.6206089152347</v>
      </c>
      <c r="Y45" s="818">
        <f t="shared" ref="Y45:AK45" si="27">(Y46+Y47)</f>
        <v>669.169525414737</v>
      </c>
      <c r="Z45" s="818">
        <f t="shared" si="27"/>
        <v>223.04911366733418</v>
      </c>
      <c r="AA45" s="818">
        <f t="shared" si="27"/>
        <v>611.01126452139999</v>
      </c>
      <c r="AB45" s="818">
        <f t="shared" si="27"/>
        <v>835.1464610214</v>
      </c>
      <c r="AC45" s="818">
        <f t="shared" si="27"/>
        <v>413.25761551163623</v>
      </c>
      <c r="AD45" s="818">
        <f t="shared" si="27"/>
        <v>610.15464745340478</v>
      </c>
      <c r="AE45" s="818">
        <f t="shared" si="27"/>
        <v>1082.5139003398453</v>
      </c>
      <c r="AF45" s="818">
        <f t="shared" si="27"/>
        <v>387.31471672253059</v>
      </c>
      <c r="AG45" s="818">
        <f t="shared" si="27"/>
        <v>141.43826452139999</v>
      </c>
      <c r="AH45" s="818">
        <f t="shared" si="27"/>
        <v>2484.4244610214</v>
      </c>
      <c r="AI45" s="818">
        <f t="shared" si="27"/>
        <v>932.08863155143467</v>
      </c>
      <c r="AJ45" s="818">
        <f t="shared" si="27"/>
        <v>376.56089952748846</v>
      </c>
      <c r="AK45" s="1037">
        <f t="shared" si="27"/>
        <v>780.66109759809422</v>
      </c>
      <c r="AL45" s="1012">
        <v>210.12870603870516</v>
      </c>
      <c r="AM45" s="872">
        <v>1007.2258913571011</v>
      </c>
      <c r="AN45" s="872">
        <v>722.01341986</v>
      </c>
      <c r="AO45" s="872">
        <v>700.90778221426115</v>
      </c>
      <c r="AP45" s="872">
        <v>76.284796024597568</v>
      </c>
      <c r="AQ45" s="872">
        <v>832.36919319999993</v>
      </c>
      <c r="AR45" s="872">
        <v>618.56100000000004</v>
      </c>
      <c r="AS45" s="872">
        <v>139.88183285999997</v>
      </c>
      <c r="AT45" s="872">
        <v>624.6</v>
      </c>
      <c r="AU45" s="872">
        <v>635.3420000000001</v>
      </c>
      <c r="AV45" s="872">
        <v>864.41679590905778</v>
      </c>
      <c r="AW45" s="872">
        <v>999.53249999999991</v>
      </c>
      <c r="AX45" s="1128">
        <v>41.408951400108251</v>
      </c>
      <c r="AY45" s="1128">
        <v>487.88531260671675</v>
      </c>
      <c r="AZ45" s="1128">
        <v>1039.0232640240802</v>
      </c>
      <c r="BA45" s="1128">
        <v>351.92318522408004</v>
      </c>
      <c r="BB45" s="1128">
        <v>802.93064949656195</v>
      </c>
      <c r="BC45" s="1128">
        <v>753.61934500000007</v>
      </c>
      <c r="BD45" s="1128">
        <v>350.37043393020213</v>
      </c>
      <c r="BE45" s="1128">
        <v>197.55381514906213</v>
      </c>
      <c r="BF45" s="1128">
        <v>1275.36726402408</v>
      </c>
      <c r="BG45" s="1128">
        <v>789.61118522407992</v>
      </c>
      <c r="BH45" s="1128">
        <v>70.97226181622635</v>
      </c>
      <c r="BI45" s="1128">
        <v>581.93700000000001</v>
      </c>
      <c r="BJ45" s="1128">
        <v>425.87562262695343</v>
      </c>
      <c r="BK45" s="1128">
        <v>997.28993297999273</v>
      </c>
      <c r="BL45" s="1128">
        <v>982.89726402407996</v>
      </c>
      <c r="BM45" s="1128">
        <v>780.7500731542475</v>
      </c>
      <c r="BN45" s="1128">
        <v>384.68520426826126</v>
      </c>
      <c r="BO45" s="1128">
        <v>699.22756366706517</v>
      </c>
      <c r="BP45" s="1128">
        <v>47.255072599534302</v>
      </c>
      <c r="BQ45" s="1128">
        <v>148.60812600348044</v>
      </c>
      <c r="BR45" s="1128">
        <v>1154.2985928240801</v>
      </c>
      <c r="BS45" s="1128">
        <v>922.20613485846866</v>
      </c>
      <c r="BT45" s="1128">
        <v>469.40085966674781</v>
      </c>
      <c r="BU45" s="1128">
        <v>378.05856733392307</v>
      </c>
      <c r="BV45" s="1012">
        <v>7390.5530140068349</v>
      </c>
      <c r="BW45" s="1012">
        <v>6742.6026678951976</v>
      </c>
      <c r="BX45" s="872">
        <v>7431.2639174637225</v>
      </c>
      <c r="BY45" s="1012">
        <v>8877.6210734573688</v>
      </c>
      <c r="BZ45" s="1214"/>
      <c r="CA45" s="931">
        <v>11112.065132569331</v>
      </c>
      <c r="CB45" s="889"/>
      <c r="CC45" s="820">
        <f>CA45+CA48</f>
        <v>11112.065132569331</v>
      </c>
    </row>
    <row r="46" spans="1:82" ht="17.850000000000001" customHeight="1" x14ac:dyDescent="0.35">
      <c r="A46" s="992" t="s">
        <v>15</v>
      </c>
      <c r="B46" s="788"/>
      <c r="C46" s="788"/>
      <c r="D46" s="788"/>
      <c r="E46" s="788"/>
      <c r="F46" s="790"/>
      <c r="G46" s="790"/>
      <c r="H46" s="790"/>
      <c r="I46" s="790"/>
      <c r="J46" s="790"/>
      <c r="K46" s="790"/>
      <c r="L46" s="790"/>
      <c r="M46" s="790"/>
      <c r="N46" s="791">
        <v>37.156577087277924</v>
      </c>
      <c r="O46" s="791">
        <v>135.54746620799997</v>
      </c>
      <c r="P46" s="791">
        <v>406.60799999999995</v>
      </c>
      <c r="Q46" s="791">
        <v>42.291077930468916</v>
      </c>
      <c r="R46" s="791">
        <v>1068.3043149458852</v>
      </c>
      <c r="S46" s="791">
        <v>220.90109407226691</v>
      </c>
      <c r="T46" s="791">
        <f>1528.26743237239</f>
        <v>1528.26743237239</v>
      </c>
      <c r="U46" s="791">
        <v>135.54746620799997</v>
      </c>
      <c r="V46" s="791">
        <f>1771.293+300</f>
        <v>2071.2929999999997</v>
      </c>
      <c r="W46" s="791">
        <v>49.396700853617631</v>
      </c>
      <c r="X46" s="791">
        <v>82.620608915234669</v>
      </c>
      <c r="Y46" s="791">
        <v>293.402525414737</v>
      </c>
      <c r="Z46" s="791">
        <v>35.709113667334179</v>
      </c>
      <c r="AA46" s="791">
        <v>141.43826452139999</v>
      </c>
      <c r="AB46" s="791">
        <v>509.9614610214</v>
      </c>
      <c r="AC46" s="791">
        <v>47.380615511636222</v>
      </c>
      <c r="AD46" s="791">
        <v>96.936247453404803</v>
      </c>
      <c r="AE46" s="791">
        <v>276.32790033984543</v>
      </c>
      <c r="AF46" s="791">
        <v>37.615716722530635</v>
      </c>
      <c r="AG46" s="791">
        <v>141.43826452139999</v>
      </c>
      <c r="AH46" s="791">
        <v>2484.4244610214</v>
      </c>
      <c r="AI46" s="791">
        <v>270.74063155143466</v>
      </c>
      <c r="AJ46" s="791">
        <v>119.72849952748851</v>
      </c>
      <c r="AK46" s="1032">
        <f>116.960850472375+91.1442471257193</f>
        <v>208.10509759809429</v>
      </c>
      <c r="AL46" s="1013">
        <v>33.534706038705167</v>
      </c>
      <c r="AM46" s="869">
        <v>247.5693390571011</v>
      </c>
      <c r="AN46" s="869">
        <v>681.84968286000003</v>
      </c>
      <c r="AO46" s="869">
        <v>296.91778221426114</v>
      </c>
      <c r="AP46" s="869">
        <v>76.284796024597568</v>
      </c>
      <c r="AQ46" s="869">
        <v>177.5</v>
      </c>
      <c r="AR46" s="869">
        <v>0</v>
      </c>
      <c r="AS46" s="869">
        <v>139.88183285999997</v>
      </c>
      <c r="AT46" s="952">
        <v>624.6</v>
      </c>
      <c r="AU46" s="952">
        <v>84.5</v>
      </c>
      <c r="AV46" s="952">
        <v>864.41679590905778</v>
      </c>
      <c r="AW46" s="952">
        <v>163.60749999999999</v>
      </c>
      <c r="AX46" s="955">
        <v>41.408951400108251</v>
      </c>
      <c r="AY46" s="955">
        <v>140.6103126067168</v>
      </c>
      <c r="AZ46" s="955">
        <v>637.55826402408002</v>
      </c>
      <c r="BA46" s="955">
        <v>81.220185224080012</v>
      </c>
      <c r="BB46" s="955">
        <v>77.04259989656191</v>
      </c>
      <c r="BC46" s="955">
        <v>165.97</v>
      </c>
      <c r="BD46" s="955">
        <v>35.867433930202139</v>
      </c>
      <c r="BE46" s="955">
        <v>134.45919514906214</v>
      </c>
      <c r="BF46" s="955">
        <v>886.51326402408006</v>
      </c>
      <c r="BG46" s="955">
        <v>81.220185224080012</v>
      </c>
      <c r="BH46" s="955">
        <v>70.97226181622635</v>
      </c>
      <c r="BI46" s="955">
        <v>414.92500000000001</v>
      </c>
      <c r="BJ46" s="955">
        <v>72.482169426953419</v>
      </c>
      <c r="BK46" s="955">
        <v>198.4130765799928</v>
      </c>
      <c r="BL46" s="955">
        <v>720.54326402408003</v>
      </c>
      <c r="BM46" s="955">
        <v>780.7500731542475</v>
      </c>
      <c r="BN46" s="955">
        <v>74.176663068261234</v>
      </c>
      <c r="BO46" s="955">
        <v>383.48856366706514</v>
      </c>
      <c r="BP46" s="955">
        <v>47.255072599534302</v>
      </c>
      <c r="BQ46" s="955">
        <v>148.60812600348044</v>
      </c>
      <c r="BR46" s="955">
        <v>720.54326402408003</v>
      </c>
      <c r="BS46" s="955">
        <v>222.2061348584686</v>
      </c>
      <c r="BT46" s="955">
        <v>169.40085966674781</v>
      </c>
      <c r="BU46" s="955">
        <v>378.05856733392307</v>
      </c>
      <c r="BV46" s="1105">
        <v>3915.9258344068339</v>
      </c>
      <c r="BW46" s="1105">
        <v>2767.7676532951982</v>
      </c>
      <c r="BX46" s="953">
        <v>3390.6624349637227</v>
      </c>
      <c r="BY46" s="953">
        <v>4369.8062734573687</v>
      </c>
      <c r="BZ46" s="1215">
        <v>6071.3362640078776</v>
      </c>
      <c r="CA46" s="953"/>
      <c r="CB46" s="881">
        <f>SUM(N46:Y46)</f>
        <v>6071.3362640078776</v>
      </c>
      <c r="CC46" s="786"/>
    </row>
    <row r="47" spans="1:82" ht="17.850000000000001" customHeight="1" x14ac:dyDescent="0.35">
      <c r="A47" s="992" t="s">
        <v>16</v>
      </c>
      <c r="B47" s="788"/>
      <c r="C47" s="788"/>
      <c r="D47" s="788"/>
      <c r="E47" s="788"/>
      <c r="F47" s="790"/>
      <c r="G47" s="790"/>
      <c r="H47" s="790"/>
      <c r="I47" s="790"/>
      <c r="J47" s="790"/>
      <c r="K47" s="790"/>
      <c r="L47" s="790"/>
      <c r="M47" s="790"/>
      <c r="N47" s="791">
        <v>575.11417776086375</v>
      </c>
      <c r="O47" s="791">
        <v>386.95862021342504</v>
      </c>
      <c r="P47" s="791">
        <v>0</v>
      </c>
      <c r="Q47" s="791">
        <v>114.33832585734795</v>
      </c>
      <c r="R47" s="791">
        <v>324.57233716420529</v>
      </c>
      <c r="S47" s="791">
        <v>1067.7862859961115</v>
      </c>
      <c r="T47" s="791">
        <v>706.87633831042501</v>
      </c>
      <c r="U47" s="791">
        <v>496.43446640000002</v>
      </c>
      <c r="V47" s="791">
        <v>0</v>
      </c>
      <c r="W47" s="791">
        <v>210.3062625</v>
      </c>
      <c r="X47" s="791">
        <v>220.00000000000003</v>
      </c>
      <c r="Y47" s="791">
        <v>375.767</v>
      </c>
      <c r="Z47" s="791">
        <v>187.34</v>
      </c>
      <c r="AA47" s="791">
        <v>469.57300000000004</v>
      </c>
      <c r="AB47" s="791">
        <v>325.185</v>
      </c>
      <c r="AC47" s="791">
        <v>365.87700000000001</v>
      </c>
      <c r="AD47" s="791">
        <v>513.21839999999997</v>
      </c>
      <c r="AE47" s="791">
        <v>806.18599999999992</v>
      </c>
      <c r="AF47" s="791">
        <v>349.69899999999996</v>
      </c>
      <c r="AG47" s="791">
        <v>0</v>
      </c>
      <c r="AH47" s="791">
        <v>0</v>
      </c>
      <c r="AI47" s="791">
        <v>661.34800000000007</v>
      </c>
      <c r="AJ47" s="791">
        <v>256.83239999999995</v>
      </c>
      <c r="AK47" s="1032">
        <v>572.55599999999993</v>
      </c>
      <c r="AL47" s="1105">
        <v>176.59399999999999</v>
      </c>
      <c r="AM47" s="952">
        <v>759.65655229999993</v>
      </c>
      <c r="AN47" s="952">
        <v>40.163736999999998</v>
      </c>
      <c r="AO47" s="952">
        <v>403.99</v>
      </c>
      <c r="AP47" s="952">
        <v>0</v>
      </c>
      <c r="AQ47" s="952">
        <v>654.86919319999993</v>
      </c>
      <c r="AR47" s="869">
        <v>618.56100000000004</v>
      </c>
      <c r="AS47" s="869">
        <v>0</v>
      </c>
      <c r="AT47" s="955">
        <v>0</v>
      </c>
      <c r="AU47" s="955">
        <v>550.8420000000001</v>
      </c>
      <c r="AV47" s="955">
        <v>0</v>
      </c>
      <c r="AW47" s="1129">
        <v>835.92499999999995</v>
      </c>
      <c r="AX47" s="955">
        <v>0</v>
      </c>
      <c r="AY47" s="955">
        <v>347.27499999999998</v>
      </c>
      <c r="AZ47" s="955">
        <v>401.46500000000003</v>
      </c>
      <c r="BA47" s="955">
        <v>270.70300000000003</v>
      </c>
      <c r="BB47" s="955">
        <v>725.88804960000004</v>
      </c>
      <c r="BC47" s="955">
        <v>587.64934500000004</v>
      </c>
      <c r="BD47" s="955">
        <v>314.50299999999999</v>
      </c>
      <c r="BE47" s="955">
        <v>63.094620000000006</v>
      </c>
      <c r="BF47" s="955">
        <v>388.85399999999998</v>
      </c>
      <c r="BG47" s="955">
        <v>708.39099999999996</v>
      </c>
      <c r="BH47" s="955">
        <v>0</v>
      </c>
      <c r="BI47" s="955">
        <v>167.012</v>
      </c>
      <c r="BJ47" s="955">
        <v>353.39345320000001</v>
      </c>
      <c r="BK47" s="955">
        <v>798.87685639999995</v>
      </c>
      <c r="BL47" s="955">
        <v>262.35399999999998</v>
      </c>
      <c r="BM47" s="955">
        <v>0</v>
      </c>
      <c r="BN47" s="955">
        <v>310.50854120000002</v>
      </c>
      <c r="BO47" s="955">
        <v>315.73899999999998</v>
      </c>
      <c r="BP47" s="955">
        <v>0</v>
      </c>
      <c r="BQ47" s="955">
        <v>0</v>
      </c>
      <c r="BR47" s="955">
        <v>433.75532880000003</v>
      </c>
      <c r="BS47" s="955">
        <v>700</v>
      </c>
      <c r="BT47" s="955">
        <v>300</v>
      </c>
      <c r="BU47" s="955">
        <v>0</v>
      </c>
      <c r="BV47" s="1130">
        <v>3474.6271796000001</v>
      </c>
      <c r="BW47" s="1130">
        <v>3974.8350146000002</v>
      </c>
      <c r="BX47" s="943">
        <v>4040.6014825000002</v>
      </c>
      <c r="BY47" s="943">
        <v>4507.8147999999992</v>
      </c>
      <c r="BZ47" s="1216">
        <v>4478.1538142023783</v>
      </c>
      <c r="CA47" s="943">
        <v>359.31572249999994</v>
      </c>
      <c r="CB47" s="881">
        <f>SUM(N47:Y47)</f>
        <v>4478.1538142023783</v>
      </c>
      <c r="CC47" s="796">
        <f>AF47+AF50</f>
        <v>359.31572249999994</v>
      </c>
      <c r="CD47" s="1"/>
    </row>
    <row r="48" spans="1:82" ht="17.850000000000001" customHeight="1" x14ac:dyDescent="0.35">
      <c r="A48" s="993" t="s">
        <v>195</v>
      </c>
      <c r="B48" s="788"/>
      <c r="C48" s="788"/>
      <c r="D48" s="788"/>
      <c r="E48" s="788"/>
      <c r="F48" s="790"/>
      <c r="G48" s="790"/>
      <c r="H48" s="790"/>
      <c r="I48" s="790"/>
      <c r="J48" s="790"/>
      <c r="K48" s="790"/>
      <c r="L48" s="790"/>
      <c r="M48" s="790"/>
      <c r="N48" s="798">
        <f t="shared" ref="N48:AJ48" si="28">SUM(N49:N51)</f>
        <v>110.38432677686045</v>
      </c>
      <c r="O48" s="798">
        <f t="shared" si="28"/>
        <v>215.38663161163214</v>
      </c>
      <c r="P48" s="798">
        <f t="shared" si="28"/>
        <v>630.11623765554077</v>
      </c>
      <c r="Q48" s="798">
        <f t="shared" si="28"/>
        <v>171.97997294681412</v>
      </c>
      <c r="R48" s="798">
        <f t="shared" si="28"/>
        <v>233.82010316325318</v>
      </c>
      <c r="S48" s="798">
        <f t="shared" si="28"/>
        <v>151.77473686159632</v>
      </c>
      <c r="T48" s="798">
        <f t="shared" si="28"/>
        <v>167.33897624725057</v>
      </c>
      <c r="U48" s="798">
        <f t="shared" si="28"/>
        <v>179.33112011423677</v>
      </c>
      <c r="V48" s="798">
        <f t="shared" si="28"/>
        <v>691.01450143242482</v>
      </c>
      <c r="W48" s="798">
        <f t="shared" si="28"/>
        <v>73.740489065825628</v>
      </c>
      <c r="X48" s="798">
        <f t="shared" si="28"/>
        <v>199.5410482897687</v>
      </c>
      <c r="Y48" s="798">
        <f t="shared" si="28"/>
        <v>117.35926982225733</v>
      </c>
      <c r="Z48" s="798">
        <f t="shared" si="28"/>
        <v>89.26789837733314</v>
      </c>
      <c r="AA48" s="798">
        <f t="shared" si="28"/>
        <v>125.11018223939999</v>
      </c>
      <c r="AB48" s="798">
        <f t="shared" si="28"/>
        <v>589.9758126045557</v>
      </c>
      <c r="AC48" s="798">
        <f t="shared" si="28"/>
        <v>140.55619305871818</v>
      </c>
      <c r="AD48" s="798">
        <f>SUM(AD49:AD51)</f>
        <v>151.29132684059999</v>
      </c>
      <c r="AE48" s="798">
        <f t="shared" si="28"/>
        <v>138.94205665041031</v>
      </c>
      <c r="AF48" s="798">
        <f t="shared" si="28"/>
        <v>9.6167224999999998</v>
      </c>
      <c r="AG48" s="798">
        <f t="shared" si="28"/>
        <v>115.96031191039999</v>
      </c>
      <c r="AH48" s="798">
        <f t="shared" si="28"/>
        <v>561.80953190048638</v>
      </c>
      <c r="AI48" s="798">
        <f t="shared" si="28"/>
        <v>56.759565273604089</v>
      </c>
      <c r="AJ48" s="798">
        <f t="shared" si="28"/>
        <v>199.4136534756</v>
      </c>
      <c r="AK48" s="867">
        <f>SUM(AK49:AK51)</f>
        <v>55.740804280854405</v>
      </c>
      <c r="AL48" s="956">
        <v>103.4733012800241</v>
      </c>
      <c r="AM48" s="956">
        <v>422.27478895684078</v>
      </c>
      <c r="AN48" s="956">
        <v>539.42646335111874</v>
      </c>
      <c r="AO48" s="956">
        <v>140.05149260982276</v>
      </c>
      <c r="AP48" s="956">
        <v>254.19650890184795</v>
      </c>
      <c r="AQ48" s="956">
        <v>145.41261847993184</v>
      </c>
      <c r="AR48" s="1008">
        <v>27.406576584851777</v>
      </c>
      <c r="AS48" s="867">
        <v>150.64421283673346</v>
      </c>
      <c r="AT48" s="956">
        <v>27.970392512548443</v>
      </c>
      <c r="AU48" s="956">
        <v>101.25858858957078</v>
      </c>
      <c r="AV48" s="956">
        <v>146.28681702830599</v>
      </c>
      <c r="AW48" s="1125">
        <v>71.779938562155891</v>
      </c>
      <c r="AX48" s="956">
        <v>23.551912031907129</v>
      </c>
      <c r="AY48" s="956">
        <v>200.7826762788292</v>
      </c>
      <c r="AZ48" s="956">
        <v>33.658530278162111</v>
      </c>
      <c r="BA48" s="956">
        <v>96.473649689350893</v>
      </c>
      <c r="BB48" s="956">
        <v>197.05006063972897</v>
      </c>
      <c r="BC48" s="956">
        <v>53.818683715537325</v>
      </c>
      <c r="BD48" s="956">
        <v>52.457015903261215</v>
      </c>
      <c r="BE48" s="956">
        <v>305.53282315128257</v>
      </c>
      <c r="BF48" s="956">
        <v>34.09921665117065</v>
      </c>
      <c r="BG48" s="956">
        <v>155.15920042562081</v>
      </c>
      <c r="BH48" s="956">
        <v>244.71522465096004</v>
      </c>
      <c r="BI48" s="956">
        <v>68.893870149529192</v>
      </c>
      <c r="BJ48" s="956">
        <v>116.3769591252872</v>
      </c>
      <c r="BK48" s="956">
        <v>374.28079616441084</v>
      </c>
      <c r="BL48" s="956">
        <v>154.22399675431279</v>
      </c>
      <c r="BM48" s="956">
        <v>214.76526783259536</v>
      </c>
      <c r="BN48" s="956">
        <v>225.40911492960001</v>
      </c>
      <c r="BO48" s="956">
        <v>80.494918795227306</v>
      </c>
      <c r="BP48" s="956">
        <v>100.79425126126273</v>
      </c>
      <c r="BQ48" s="956">
        <v>664.50211457569628</v>
      </c>
      <c r="BR48" s="956">
        <v>83.132089408308701</v>
      </c>
      <c r="BS48" s="956">
        <v>263.72749739602875</v>
      </c>
      <c r="BT48" s="956">
        <v>281.22299742392431</v>
      </c>
      <c r="BU48" s="956">
        <v>75.49823904131064</v>
      </c>
      <c r="BV48" s="1126">
        <v>2634.4282427079652</v>
      </c>
      <c r="BW48" s="1126">
        <v>1466.1928635653398</v>
      </c>
      <c r="BX48" s="956">
        <v>2130.1816996937523</v>
      </c>
      <c r="BY48" s="956">
        <v>2234.4440591119619</v>
      </c>
      <c r="BZ48" s="1217">
        <v>2941.7874139874607</v>
      </c>
      <c r="CA48" s="933"/>
      <c r="CB48" s="881">
        <f>SUM(N48:Y48)</f>
        <v>2941.7874139874607</v>
      </c>
      <c r="CC48" s="786"/>
    </row>
    <row r="49" spans="1:82" ht="17.850000000000001" customHeight="1" x14ac:dyDescent="0.35">
      <c r="A49" s="994" t="s">
        <v>15</v>
      </c>
      <c r="B49" s="788"/>
      <c r="C49" s="788"/>
      <c r="D49" s="788"/>
      <c r="E49" s="788"/>
      <c r="F49" s="790"/>
      <c r="G49" s="790"/>
      <c r="H49" s="790"/>
      <c r="I49" s="790"/>
      <c r="J49" s="790"/>
      <c r="K49" s="790"/>
      <c r="L49" s="790"/>
      <c r="M49" s="790"/>
      <c r="N49" s="798">
        <v>30.384541670097853</v>
      </c>
      <c r="O49" s="798">
        <v>111.676052032</v>
      </c>
      <c r="P49" s="798">
        <v>536.70998125000006</v>
      </c>
      <c r="Q49" s="798">
        <v>124.83337590928619</v>
      </c>
      <c r="R49" s="798">
        <v>147.67342502399998</v>
      </c>
      <c r="S49" s="798">
        <v>93.283332137665553</v>
      </c>
      <c r="T49" s="798">
        <v>94.91474931734102</v>
      </c>
      <c r="U49" s="798">
        <v>96.023619768230162</v>
      </c>
      <c r="V49" s="798">
        <v>604.35267508887603</v>
      </c>
      <c r="W49" s="798">
        <v>48.341502655999996</v>
      </c>
      <c r="X49" s="798">
        <v>126.34150265599999</v>
      </c>
      <c r="Y49" s="798">
        <v>57.324675739298257</v>
      </c>
      <c r="Z49" s="798">
        <v>79.651175877333145</v>
      </c>
      <c r="AA49" s="798">
        <v>105.5193564894</v>
      </c>
      <c r="AB49" s="798">
        <v>589.9758126045557</v>
      </c>
      <c r="AC49" s="798">
        <v>114.90318290871818</v>
      </c>
      <c r="AD49" s="798">
        <v>142.44840570060001</v>
      </c>
      <c r="AE49" s="798">
        <v>97.08077815041031</v>
      </c>
      <c r="AF49" s="798">
        <v>0</v>
      </c>
      <c r="AG49" s="798">
        <v>97.674856010399992</v>
      </c>
      <c r="AH49" s="798">
        <v>559.72757540048633</v>
      </c>
      <c r="AI49" s="798">
        <v>33.147201773604088</v>
      </c>
      <c r="AJ49" s="798">
        <v>196.26745657559999</v>
      </c>
      <c r="AK49" s="867">
        <f>26.0603149308544+14</f>
        <v>40.060314930854403</v>
      </c>
      <c r="AL49" s="956">
        <v>74.878348745874405</v>
      </c>
      <c r="AM49" s="956">
        <v>366.82889715215902</v>
      </c>
      <c r="AN49" s="956">
        <v>498.60429625</v>
      </c>
      <c r="AO49" s="956">
        <v>114.82079575075791</v>
      </c>
      <c r="AP49" s="956">
        <v>208.5561189</v>
      </c>
      <c r="AQ49" s="956">
        <v>111.44328079550172</v>
      </c>
      <c r="AR49" s="1008">
        <v>5.1578728675661427</v>
      </c>
      <c r="AS49" s="867">
        <v>116.79096374</v>
      </c>
      <c r="AT49" s="956">
        <v>12.697376775268932</v>
      </c>
      <c r="AU49" s="956">
        <v>85.1</v>
      </c>
      <c r="AV49" s="956">
        <v>113.67959293627999</v>
      </c>
      <c r="AW49" s="1125">
        <v>46.405501668401257</v>
      </c>
      <c r="AX49" s="956">
        <v>18.53630548440713</v>
      </c>
      <c r="AY49" s="956">
        <v>194.02817752882919</v>
      </c>
      <c r="AZ49" s="956">
        <v>25.829962778162113</v>
      </c>
      <c r="BA49" s="956">
        <v>84.637543689350892</v>
      </c>
      <c r="BB49" s="956">
        <v>191.27304713972896</v>
      </c>
      <c r="BC49" s="956">
        <v>43.881906903037326</v>
      </c>
      <c r="BD49" s="956">
        <v>47.400218207011214</v>
      </c>
      <c r="BE49" s="956">
        <v>305.53282315128257</v>
      </c>
      <c r="BF49" s="956">
        <v>34.09921665117065</v>
      </c>
      <c r="BG49" s="956">
        <v>148.22172442562081</v>
      </c>
      <c r="BH49" s="956">
        <v>244.71522465096004</v>
      </c>
      <c r="BI49" s="956">
        <v>68.893870149529192</v>
      </c>
      <c r="BJ49" s="956">
        <v>111.3594659602872</v>
      </c>
      <c r="BK49" s="956">
        <v>369.54399936441087</v>
      </c>
      <c r="BL49" s="956">
        <v>154.22399675431279</v>
      </c>
      <c r="BM49" s="956">
        <v>214.76526783259536</v>
      </c>
      <c r="BN49" s="956">
        <v>225.40911492960001</v>
      </c>
      <c r="BO49" s="956">
        <v>80.494918795227306</v>
      </c>
      <c r="BP49" s="956">
        <v>100.79425126126273</v>
      </c>
      <c r="BQ49" s="956">
        <v>659.7653177756963</v>
      </c>
      <c r="BR49" s="956">
        <v>83.132089408308701</v>
      </c>
      <c r="BS49" s="956">
        <v>263.72749739602875</v>
      </c>
      <c r="BT49" s="956">
        <v>281.22299742392431</v>
      </c>
      <c r="BU49" s="956">
        <v>75.49823904131064</v>
      </c>
      <c r="BV49" s="1126">
        <v>2619.9371559429651</v>
      </c>
      <c r="BW49" s="1126">
        <v>1407.0500207590901</v>
      </c>
      <c r="BX49" s="956">
        <v>1754.9630455818092</v>
      </c>
      <c r="BY49" s="956">
        <v>2056.4561164219622</v>
      </c>
      <c r="BZ49" s="1217"/>
      <c r="CA49" s="933"/>
      <c r="CB49" s="881"/>
      <c r="CC49" s="786"/>
    </row>
    <row r="50" spans="1:82" ht="17.850000000000001" customHeight="1" x14ac:dyDescent="0.35">
      <c r="A50" s="994" t="s">
        <v>16</v>
      </c>
      <c r="B50" s="788"/>
      <c r="C50" s="788"/>
      <c r="D50" s="788"/>
      <c r="E50" s="788"/>
      <c r="F50" s="790"/>
      <c r="G50" s="790"/>
      <c r="H50" s="790"/>
      <c r="I50" s="790"/>
      <c r="J50" s="790"/>
      <c r="K50" s="790"/>
      <c r="L50" s="790"/>
      <c r="M50" s="790"/>
      <c r="N50" s="798">
        <v>31.489851726597799</v>
      </c>
      <c r="O50" s="798">
        <v>26.567771213057569</v>
      </c>
      <c r="P50" s="798">
        <v>1.5717718691845716E-4</v>
      </c>
      <c r="Q50" s="798">
        <v>14.837058900780621</v>
      </c>
      <c r="R50" s="798">
        <v>13.487379544307203</v>
      </c>
      <c r="S50" s="798">
        <v>31.571385906797424</v>
      </c>
      <c r="T50" s="798">
        <v>27.77835732933821</v>
      </c>
      <c r="U50" s="798">
        <v>22.434466399999998</v>
      </c>
      <c r="V50" s="798">
        <v>0</v>
      </c>
      <c r="W50" s="798">
        <v>10.8592625</v>
      </c>
      <c r="X50" s="798">
        <v>7.6639972200000015</v>
      </c>
      <c r="Y50" s="798">
        <v>39.085609199999993</v>
      </c>
      <c r="Z50" s="798">
        <v>9.6167224999999998</v>
      </c>
      <c r="AA50" s="798">
        <v>19.59082575</v>
      </c>
      <c r="AB50" s="798">
        <v>0</v>
      </c>
      <c r="AC50" s="798">
        <v>25.653010150000004</v>
      </c>
      <c r="AD50" s="798">
        <v>8.8429211400000014</v>
      </c>
      <c r="AE50" s="798">
        <v>41.861278500000004</v>
      </c>
      <c r="AF50" s="798">
        <v>9.6167224999999998</v>
      </c>
      <c r="AG50" s="798">
        <v>18.285455899999999</v>
      </c>
      <c r="AH50" s="798">
        <v>2.0819565</v>
      </c>
      <c r="AI50" s="798">
        <v>23.612363500000001</v>
      </c>
      <c r="AJ50" s="798">
        <v>3.1461969000000001</v>
      </c>
      <c r="AK50" s="867">
        <v>15.680489349999998</v>
      </c>
      <c r="AL50" s="956">
        <v>9.5933785</v>
      </c>
      <c r="AM50" s="956">
        <v>17.94453280375</v>
      </c>
      <c r="AN50" s="956">
        <v>2.43338919875</v>
      </c>
      <c r="AO50" s="956">
        <v>14.5488135</v>
      </c>
      <c r="AP50" s="956">
        <v>0</v>
      </c>
      <c r="AQ50" s="956">
        <v>14.692706005000002</v>
      </c>
      <c r="AR50" s="1008">
        <v>11.4433785</v>
      </c>
      <c r="AS50" s="867">
        <v>0</v>
      </c>
      <c r="AT50" s="956">
        <v>2.0819565</v>
      </c>
      <c r="AU50" s="956">
        <v>8.5814360000000001</v>
      </c>
      <c r="AV50" s="956">
        <v>1.9313075</v>
      </c>
      <c r="AW50" s="1125">
        <v>16.6157115</v>
      </c>
      <c r="AX50" s="956">
        <v>5.0156065475000009</v>
      </c>
      <c r="AY50" s="956">
        <v>6.7544987499999998</v>
      </c>
      <c r="AZ50" s="956">
        <v>7.8285674999999992</v>
      </c>
      <c r="BA50" s="956">
        <v>11.836105999999999</v>
      </c>
      <c r="BB50" s="956">
        <v>5.7770134999999998</v>
      </c>
      <c r="BC50" s="956">
        <v>9.9367768124999998</v>
      </c>
      <c r="BD50" s="956">
        <v>5.0567976962499994</v>
      </c>
      <c r="BE50" s="956">
        <v>0</v>
      </c>
      <c r="BF50" s="956">
        <v>0</v>
      </c>
      <c r="BG50" s="956">
        <v>6.9374759999999993</v>
      </c>
      <c r="BH50" s="956">
        <v>0</v>
      </c>
      <c r="BI50" s="956">
        <v>0</v>
      </c>
      <c r="BJ50" s="956">
        <v>5.0174931650000003</v>
      </c>
      <c r="BK50" s="956">
        <v>4.7367967999999996</v>
      </c>
      <c r="BL50" s="956">
        <v>0</v>
      </c>
      <c r="BM50" s="956">
        <v>0</v>
      </c>
      <c r="BN50" s="956">
        <v>0</v>
      </c>
      <c r="BO50" s="956">
        <v>0</v>
      </c>
      <c r="BP50" s="956">
        <v>0</v>
      </c>
      <c r="BQ50" s="956">
        <v>4.7367967999999996</v>
      </c>
      <c r="BR50" s="956">
        <v>0</v>
      </c>
      <c r="BS50" s="956">
        <v>0</v>
      </c>
      <c r="BT50" s="956">
        <v>0</v>
      </c>
      <c r="BU50" s="956">
        <v>0</v>
      </c>
      <c r="BV50" s="1126">
        <v>14.491086764999999</v>
      </c>
      <c r="BW50" s="1126">
        <v>59.142842806250002</v>
      </c>
      <c r="BX50" s="956">
        <v>99.8666100075</v>
      </c>
      <c r="BY50" s="956">
        <v>177.98794268999998</v>
      </c>
      <c r="BZ50" s="1217"/>
      <c r="CA50" s="933"/>
      <c r="CB50" s="881"/>
      <c r="CC50" s="786"/>
      <c r="CD50" s="1"/>
    </row>
    <row r="51" spans="1:82" ht="19.149999999999999" customHeight="1" x14ac:dyDescent="0.35">
      <c r="A51" s="994" t="s">
        <v>208</v>
      </c>
      <c r="B51" s="788"/>
      <c r="C51" s="788"/>
      <c r="D51" s="788"/>
      <c r="E51" s="788"/>
      <c r="F51" s="790"/>
      <c r="G51" s="790"/>
      <c r="H51" s="790"/>
      <c r="I51" s="790"/>
      <c r="J51" s="790"/>
      <c r="K51" s="790"/>
      <c r="L51" s="790"/>
      <c r="M51" s="790"/>
      <c r="N51" s="798">
        <v>48.509933380164796</v>
      </c>
      <c r="O51" s="798">
        <v>77.142808366574556</v>
      </c>
      <c r="P51" s="798">
        <v>93.406099228353824</v>
      </c>
      <c r="Q51" s="798">
        <v>32.309538136747314</v>
      </c>
      <c r="R51" s="798">
        <v>72.659298594945994</v>
      </c>
      <c r="S51" s="798">
        <v>26.920018817133364</v>
      </c>
      <c r="T51" s="798">
        <v>44.645869600571331</v>
      </c>
      <c r="U51" s="798">
        <v>60.873033946006608</v>
      </c>
      <c r="V51" s="798">
        <v>86.661826343548768</v>
      </c>
      <c r="W51" s="798">
        <v>14.53972390982563</v>
      </c>
      <c r="X51" s="798">
        <v>65.535548413768709</v>
      </c>
      <c r="Y51" s="798">
        <v>20.948984882959078</v>
      </c>
      <c r="Z51" s="798">
        <f>Z106</f>
        <v>0</v>
      </c>
      <c r="AA51" s="798">
        <f>AA106</f>
        <v>0</v>
      </c>
      <c r="AB51" s="798">
        <f>AB106</f>
        <v>0</v>
      </c>
      <c r="AC51" s="798">
        <f t="shared" ref="AC51:AJ51" si="29">AC106</f>
        <v>0</v>
      </c>
      <c r="AD51" s="798">
        <v>0</v>
      </c>
      <c r="AE51" s="798">
        <f t="shared" si="29"/>
        <v>0</v>
      </c>
      <c r="AF51" s="798">
        <f>AF106</f>
        <v>0</v>
      </c>
      <c r="AG51" s="798">
        <f t="shared" si="29"/>
        <v>0</v>
      </c>
      <c r="AH51" s="798">
        <f t="shared" si="29"/>
        <v>0</v>
      </c>
      <c r="AI51" s="798">
        <f>AI106</f>
        <v>0</v>
      </c>
      <c r="AJ51" s="798">
        <f t="shared" si="29"/>
        <v>0</v>
      </c>
      <c r="AK51" s="867">
        <f>AK106</f>
        <v>0</v>
      </c>
      <c r="AL51" s="956">
        <v>19.001574034149701</v>
      </c>
      <c r="AM51" s="956">
        <v>37.501359000931771</v>
      </c>
      <c r="AN51" s="956">
        <v>38.388777902368737</v>
      </c>
      <c r="AO51" s="956">
        <v>10.681883359064836</v>
      </c>
      <c r="AP51" s="956">
        <v>45.640390001847948</v>
      </c>
      <c r="AQ51" s="956">
        <v>19.276631679430121</v>
      </c>
      <c r="AR51" s="1008">
        <v>10.805325217285633</v>
      </c>
      <c r="AS51" s="867">
        <v>33.85324909673345</v>
      </c>
      <c r="AT51" s="956">
        <v>13.191059237279509</v>
      </c>
      <c r="AU51" s="956">
        <v>7.5771525895707832</v>
      </c>
      <c r="AV51" s="1125">
        <v>30.675916592025992</v>
      </c>
      <c r="AW51" s="956">
        <v>8.7587253937546308</v>
      </c>
      <c r="AX51" s="956"/>
      <c r="AY51" s="956"/>
      <c r="AZ51" s="956"/>
      <c r="BA51" s="956"/>
      <c r="BB51" s="956"/>
      <c r="BC51" s="956"/>
      <c r="BD51" s="956"/>
      <c r="BE51" s="956"/>
      <c r="BF51" s="956"/>
      <c r="BG51" s="956"/>
      <c r="BH51" s="956"/>
      <c r="BI51" s="956"/>
      <c r="BJ51" s="956"/>
      <c r="BK51" s="956"/>
      <c r="BL51" s="956"/>
      <c r="BM51" s="956"/>
      <c r="BN51" s="956"/>
      <c r="BO51" s="956"/>
      <c r="BP51" s="956"/>
      <c r="BQ51" s="956"/>
      <c r="BR51" s="956"/>
      <c r="BS51" s="956"/>
      <c r="BT51" s="956"/>
      <c r="BU51" s="956"/>
      <c r="BV51" s="956">
        <v>0</v>
      </c>
      <c r="BW51" s="956">
        <v>0</v>
      </c>
      <c r="BX51" s="1126">
        <v>275.35204410444311</v>
      </c>
      <c r="BY51" s="1126">
        <v>0</v>
      </c>
      <c r="BZ51" s="1218">
        <v>644.15268362059999</v>
      </c>
      <c r="CA51" s="933">
        <v>4140.4680925074999</v>
      </c>
      <c r="CB51" s="890">
        <f>SUM(N51:Y51)</f>
        <v>644.15268362059999</v>
      </c>
      <c r="CC51" s="1000">
        <f>BX47+BX50</f>
        <v>4140.4680925074999</v>
      </c>
    </row>
    <row r="52" spans="1:82" s="817" customFormat="1" ht="17.850000000000001" customHeight="1" x14ac:dyDescent="0.35">
      <c r="A52" s="819" t="s">
        <v>169</v>
      </c>
      <c r="B52" s="814"/>
      <c r="C52" s="814"/>
      <c r="D52" s="814"/>
      <c r="E52" s="814"/>
      <c r="F52" s="815"/>
      <c r="G52" s="815"/>
      <c r="H52" s="815"/>
      <c r="I52" s="815"/>
      <c r="J52" s="815"/>
      <c r="K52" s="815"/>
      <c r="L52" s="815"/>
      <c r="M52" s="815"/>
      <c r="N52" s="818">
        <f t="shared" ref="N52:AF52" si="30">SUM(N53:N54)</f>
        <v>0</v>
      </c>
      <c r="O52" s="818">
        <f t="shared" si="30"/>
        <v>202.33729210000001</v>
      </c>
      <c r="P52" s="818">
        <f t="shared" si="30"/>
        <v>1183.376422258</v>
      </c>
      <c r="Q52" s="818">
        <f t="shared" si="30"/>
        <v>164.34614382000001</v>
      </c>
      <c r="R52" s="818">
        <f t="shared" si="30"/>
        <v>368.80851966</v>
      </c>
      <c r="S52" s="818">
        <f t="shared" si="30"/>
        <v>895.69040000000007</v>
      </c>
      <c r="T52" s="818">
        <f t="shared" si="30"/>
        <v>713.22500000000002</v>
      </c>
      <c r="U52" s="818">
        <f t="shared" si="30"/>
        <v>250.5</v>
      </c>
      <c r="V52" s="818">
        <f t="shared" si="30"/>
        <v>112</v>
      </c>
      <c r="W52" s="818">
        <f t="shared" si="30"/>
        <v>183</v>
      </c>
      <c r="X52" s="818">
        <f t="shared" si="30"/>
        <v>345.5</v>
      </c>
      <c r="Y52" s="818">
        <f t="shared" si="30"/>
        <v>1722.329</v>
      </c>
      <c r="Z52" s="818">
        <f t="shared" si="30"/>
        <v>48.2</v>
      </c>
      <c r="AA52" s="818">
        <f t="shared" si="30"/>
        <v>456.7</v>
      </c>
      <c r="AB52" s="818">
        <f t="shared" si="30"/>
        <v>474</v>
      </c>
      <c r="AC52" s="818">
        <f t="shared" si="30"/>
        <v>121.4</v>
      </c>
      <c r="AD52" s="818">
        <f t="shared" si="30"/>
        <v>353.7</v>
      </c>
      <c r="AE52" s="818">
        <f t="shared" si="30"/>
        <v>726</v>
      </c>
      <c r="AF52" s="818">
        <f t="shared" si="30"/>
        <v>140</v>
      </c>
      <c r="AG52" s="818">
        <f>SUM(AG53:AG53)</f>
        <v>130.4</v>
      </c>
      <c r="AH52" s="818">
        <f>SUM(AH53:AH54)</f>
        <v>216.9</v>
      </c>
      <c r="AI52" s="818">
        <f>SUM(AI53:AI54)</f>
        <v>1015.5</v>
      </c>
      <c r="AJ52" s="818">
        <f>SUM(AJ53:AJ54)</f>
        <v>255</v>
      </c>
      <c r="AK52" s="872">
        <f t="shared" ref="AK52" si="31">SUM(AK53:AK55)</f>
        <v>858.3</v>
      </c>
      <c r="AL52" s="1128">
        <v>-165.03429396129485</v>
      </c>
      <c r="AM52" s="1128">
        <v>-13.720860942898867</v>
      </c>
      <c r="AN52" s="1128">
        <v>3670.75568286</v>
      </c>
      <c r="AO52" s="1128">
        <v>2306.6038922142611</v>
      </c>
      <c r="AP52" s="1128">
        <v>1895.3068260245975</v>
      </c>
      <c r="AQ52" s="1128">
        <v>3884.7</v>
      </c>
      <c r="AR52" s="1012">
        <v>3557</v>
      </c>
      <c r="AS52" s="872">
        <v>4788.3999999999996</v>
      </c>
      <c r="AT52" s="872">
        <v>2837.3</v>
      </c>
      <c r="AU52" s="872">
        <v>4784.3459999999995</v>
      </c>
      <c r="AV52" s="872">
        <v>5737.3762059090577</v>
      </c>
      <c r="AW52" s="1128">
        <v>4813.3074999999999</v>
      </c>
      <c r="AX52" s="1128">
        <v>4663.0089514001083</v>
      </c>
      <c r="AY52" s="1128">
        <v>2287.2103126067168</v>
      </c>
      <c r="AZ52" s="1128">
        <v>5259.3</v>
      </c>
      <c r="BA52" s="1128">
        <v>5851.6</v>
      </c>
      <c r="BB52" s="1128">
        <v>4322.8</v>
      </c>
      <c r="BC52" s="1128">
        <v>4286.5</v>
      </c>
      <c r="BD52" s="1128">
        <v>4681.3</v>
      </c>
      <c r="BE52" s="1128">
        <v>1654.8000000000002</v>
      </c>
      <c r="BF52" s="1128">
        <v>3328.8</v>
      </c>
      <c r="BG52" s="1128">
        <v>3313.1000000000004</v>
      </c>
      <c r="BH52" s="1128">
        <v>2326.6</v>
      </c>
      <c r="BI52" s="1128">
        <v>5546.4000000000005</v>
      </c>
      <c r="BJ52" s="1128">
        <v>2320.8300599333334</v>
      </c>
      <c r="BK52" s="1128">
        <v>3854.8899433515153</v>
      </c>
      <c r="BL52" s="1128">
        <v>5009.5785151515156</v>
      </c>
      <c r="BM52" s="1128">
        <v>3566.7057857515156</v>
      </c>
      <c r="BN52" s="1128">
        <v>3713.8307857515156</v>
      </c>
      <c r="BO52" s="1128">
        <v>5032.2210151515155</v>
      </c>
      <c r="BP52" s="1128">
        <v>3578.8015151515156</v>
      </c>
      <c r="BQ52" s="1128">
        <v>3476.1015151515148</v>
      </c>
      <c r="BR52" s="1128">
        <v>5050.2291795515157</v>
      </c>
      <c r="BS52" s="1128">
        <v>3751.5015151515154</v>
      </c>
      <c r="BT52" s="1128">
        <v>3583.6015151515148</v>
      </c>
      <c r="BU52" s="1128">
        <v>4956.151515151515</v>
      </c>
      <c r="BV52" s="1128">
        <v>47894.442860399999</v>
      </c>
      <c r="BW52" s="1128">
        <v>47521.419264006829</v>
      </c>
      <c r="BX52" s="1127">
        <v>38096.340952103725</v>
      </c>
      <c r="BY52" s="1191">
        <v>4796.1000000000004</v>
      </c>
      <c r="BZ52" s="1219"/>
      <c r="CA52" s="954"/>
      <c r="CB52" s="883"/>
      <c r="CC52" s="816"/>
    </row>
    <row r="53" spans="1:82" ht="29.45" customHeight="1" x14ac:dyDescent="0.35">
      <c r="A53" s="992" t="s">
        <v>18</v>
      </c>
      <c r="B53" s="788"/>
      <c r="C53" s="788"/>
      <c r="D53" s="788"/>
      <c r="E53" s="788"/>
      <c r="F53" s="790"/>
      <c r="G53" s="790"/>
      <c r="H53" s="790"/>
      <c r="I53" s="790"/>
      <c r="J53" s="790"/>
      <c r="K53" s="790"/>
      <c r="L53" s="790"/>
      <c r="M53" s="790"/>
      <c r="N53" s="791">
        <v>0</v>
      </c>
      <c r="O53" s="791">
        <v>202.33729210000001</v>
      </c>
      <c r="P53" s="791">
        <v>1183.376422258</v>
      </c>
      <c r="Q53" s="791">
        <v>164.34614382000001</v>
      </c>
      <c r="R53" s="791">
        <v>368.80851966</v>
      </c>
      <c r="S53" s="791">
        <v>395.69040000000007</v>
      </c>
      <c r="T53" s="791">
        <v>608.22500000000002</v>
      </c>
      <c r="U53" s="791">
        <v>250.5</v>
      </c>
      <c r="V53" s="791">
        <v>112</v>
      </c>
      <c r="W53" s="791">
        <v>183</v>
      </c>
      <c r="X53" s="791">
        <v>345.5</v>
      </c>
      <c r="Y53" s="791">
        <v>1002.329</v>
      </c>
      <c r="Z53" s="791">
        <v>48.2</v>
      </c>
      <c r="AA53" s="791">
        <v>456.7</v>
      </c>
      <c r="AB53" s="791">
        <v>474</v>
      </c>
      <c r="AC53" s="791">
        <v>121.4</v>
      </c>
      <c r="AD53" s="791">
        <v>353.7</v>
      </c>
      <c r="AE53" s="791">
        <v>726</v>
      </c>
      <c r="AF53" s="791">
        <v>140</v>
      </c>
      <c r="AG53" s="791">
        <v>130.4</v>
      </c>
      <c r="AH53" s="791">
        <v>216.9</v>
      </c>
      <c r="AI53" s="791">
        <v>432.2</v>
      </c>
      <c r="AJ53" s="791">
        <v>255</v>
      </c>
      <c r="AK53" s="869">
        <v>858.3</v>
      </c>
      <c r="AL53" s="943">
        <v>143.43099999999998</v>
      </c>
      <c r="AM53" s="943">
        <v>24.709800000000001</v>
      </c>
      <c r="AN53" s="943">
        <v>11.906000000000001</v>
      </c>
      <c r="AO53" s="943">
        <v>270.68610999999999</v>
      </c>
      <c r="AP53" s="943">
        <v>177.02203</v>
      </c>
      <c r="AQ53" s="943">
        <v>354.2</v>
      </c>
      <c r="AR53" s="1009">
        <v>514</v>
      </c>
      <c r="AS53" s="943">
        <v>99.6</v>
      </c>
      <c r="AT53" s="943">
        <v>51.7</v>
      </c>
      <c r="AU53" s="943">
        <v>424.846</v>
      </c>
      <c r="AV53" s="1116">
        <v>433.95940999999999</v>
      </c>
      <c r="AW53" s="943">
        <v>540.70000000000005</v>
      </c>
      <c r="AX53" s="943">
        <v>71.599999999999994</v>
      </c>
      <c r="AY53" s="943">
        <v>330.6</v>
      </c>
      <c r="AZ53" s="943">
        <v>476.5</v>
      </c>
      <c r="BA53" s="943">
        <v>242.6</v>
      </c>
      <c r="BB53" s="943">
        <v>1073.7</v>
      </c>
      <c r="BC53" s="943">
        <v>468.4</v>
      </c>
      <c r="BD53" s="943">
        <v>227.3</v>
      </c>
      <c r="BE53" s="943">
        <v>21.9</v>
      </c>
      <c r="BF53" s="943">
        <v>386.4</v>
      </c>
      <c r="BG53" s="943">
        <v>572.70000000000005</v>
      </c>
      <c r="BH53" s="943">
        <v>286.89999999999998</v>
      </c>
      <c r="BI53" s="943">
        <v>332</v>
      </c>
      <c r="BJ53" s="943">
        <v>212.49672659999999</v>
      </c>
      <c r="BK53" s="943">
        <v>564.73842820000004</v>
      </c>
      <c r="BL53" s="943">
        <v>369.42700000000002</v>
      </c>
      <c r="BM53" s="943">
        <v>276.5542706</v>
      </c>
      <c r="BN53" s="943">
        <v>423.6792706</v>
      </c>
      <c r="BO53" s="943">
        <v>392.06949999999995</v>
      </c>
      <c r="BP53" s="943">
        <v>288.64999999999998</v>
      </c>
      <c r="BQ53" s="943">
        <v>185.95</v>
      </c>
      <c r="BR53" s="943">
        <v>410.0776644</v>
      </c>
      <c r="BS53" s="943">
        <v>461.35</v>
      </c>
      <c r="BT53" s="943">
        <v>293.45</v>
      </c>
      <c r="BU53" s="943">
        <v>316</v>
      </c>
      <c r="BV53" s="943">
        <v>4194.4428604000004</v>
      </c>
      <c r="BW53" s="943">
        <v>4490.6000000000004</v>
      </c>
      <c r="BX53" s="1009">
        <v>3046.7603499999996</v>
      </c>
      <c r="BY53" s="944">
        <v>4212.8</v>
      </c>
      <c r="BZ53" s="1220">
        <v>4816.1127778379996</v>
      </c>
      <c r="CA53" s="929"/>
      <c r="CB53" s="891">
        <f>SUM(N53:Y53)</f>
        <v>4816.1127778379996</v>
      </c>
      <c r="CC53" s="786"/>
    </row>
    <row r="54" spans="1:82" ht="23.1" customHeight="1" x14ac:dyDescent="0.35">
      <c r="A54" s="992" t="s">
        <v>313</v>
      </c>
      <c r="B54" s="788"/>
      <c r="C54" s="788"/>
      <c r="D54" s="788"/>
      <c r="E54" s="788"/>
      <c r="F54" s="790"/>
      <c r="G54" s="790"/>
      <c r="H54" s="790"/>
      <c r="I54" s="790"/>
      <c r="J54" s="790"/>
      <c r="K54" s="790"/>
      <c r="L54" s="790"/>
      <c r="M54" s="790"/>
      <c r="N54" s="791">
        <v>0</v>
      </c>
      <c r="O54" s="791">
        <v>0</v>
      </c>
      <c r="P54" s="791">
        <v>0</v>
      </c>
      <c r="Q54" s="791">
        <v>0</v>
      </c>
      <c r="R54" s="791">
        <v>0</v>
      </c>
      <c r="S54" s="791">
        <v>500</v>
      </c>
      <c r="T54" s="791">
        <v>105</v>
      </c>
      <c r="U54" s="791">
        <v>0</v>
      </c>
      <c r="V54" s="791">
        <v>0</v>
      </c>
      <c r="W54" s="791">
        <v>0</v>
      </c>
      <c r="X54" s="791">
        <v>0</v>
      </c>
      <c r="Y54" s="791">
        <v>720</v>
      </c>
      <c r="Z54" s="791"/>
      <c r="AA54" s="791"/>
      <c r="AB54" s="791"/>
      <c r="AC54" s="791"/>
      <c r="AD54" s="791"/>
      <c r="AE54" s="791"/>
      <c r="AF54" s="791"/>
      <c r="AG54" s="791"/>
      <c r="AH54" s="791"/>
      <c r="AI54" s="791">
        <v>583.29999999999995</v>
      </c>
      <c r="AJ54" s="791"/>
      <c r="AK54" s="869"/>
      <c r="AL54" s="955">
        <v>-465.46529396129483</v>
      </c>
      <c r="AM54" s="943">
        <v>-357.4306609428989</v>
      </c>
      <c r="AN54" s="995">
        <v>3333.84968286</v>
      </c>
      <c r="AO54" s="943">
        <v>1077.917782214261</v>
      </c>
      <c r="AP54" s="943">
        <v>944.28479602459754</v>
      </c>
      <c r="AQ54" s="943">
        <v>1990.5</v>
      </c>
      <c r="AR54" s="1009">
        <v>-39</v>
      </c>
      <c r="AS54" s="943">
        <v>1511.88183286</v>
      </c>
      <c r="AT54" s="943">
        <v>457.6</v>
      </c>
      <c r="AU54" s="943">
        <v>4001.5</v>
      </c>
      <c r="AV54" s="1116">
        <v>3403.4167959090578</v>
      </c>
      <c r="AW54" s="943">
        <v>1589.6075000000001</v>
      </c>
      <c r="AX54" s="697">
        <v>3427.4089514001084</v>
      </c>
      <c r="AY54" s="697">
        <v>359.61031260671678</v>
      </c>
      <c r="AZ54" s="697">
        <v>3375.8</v>
      </c>
      <c r="BA54" s="697">
        <v>4359</v>
      </c>
      <c r="BB54" s="697">
        <v>1999.1</v>
      </c>
      <c r="BC54" s="697">
        <v>2603.4</v>
      </c>
      <c r="BD54" s="697">
        <v>3153.7</v>
      </c>
      <c r="BE54" s="697">
        <v>1632.9</v>
      </c>
      <c r="BF54" s="697">
        <v>1692.4</v>
      </c>
      <c r="BG54" s="697">
        <v>1590.4</v>
      </c>
      <c r="BH54" s="697">
        <v>2039.7</v>
      </c>
      <c r="BI54" s="697">
        <v>5214.4000000000005</v>
      </c>
      <c r="BJ54" s="697">
        <v>2108.3333333333335</v>
      </c>
      <c r="BK54" s="697">
        <v>2108.3333333333335</v>
      </c>
      <c r="BL54" s="697">
        <v>3458.3333333333335</v>
      </c>
      <c r="BM54" s="697">
        <v>2108.3333333333335</v>
      </c>
      <c r="BN54" s="697">
        <v>2108.3333333333335</v>
      </c>
      <c r="BO54" s="697">
        <v>3458.3333333333335</v>
      </c>
      <c r="BP54" s="697">
        <v>2108.3333333333335</v>
      </c>
      <c r="BQ54" s="697">
        <v>2108.3333333333335</v>
      </c>
      <c r="BR54" s="697">
        <v>3458.3333333333335</v>
      </c>
      <c r="BS54" s="697">
        <v>2108.3333333333335</v>
      </c>
      <c r="BT54" s="697">
        <v>2108.3333333333335</v>
      </c>
      <c r="BU54" s="697">
        <v>3458.3333333333335</v>
      </c>
      <c r="BV54" s="943">
        <v>30699.999999999996</v>
      </c>
      <c r="BW54" s="943">
        <v>31447.819264006834</v>
      </c>
      <c r="BX54" s="1009">
        <v>17448.66243496372</v>
      </c>
      <c r="BY54" s="944">
        <v>583.29999999999995</v>
      </c>
      <c r="BZ54" s="1220">
        <v>1325</v>
      </c>
      <c r="CA54" s="929">
        <v>611</v>
      </c>
      <c r="CB54" s="891">
        <f>SUM(N54:Y54)</f>
        <v>1325</v>
      </c>
      <c r="CC54" s="800">
        <v>611</v>
      </c>
      <c r="CD54" s="93"/>
    </row>
    <row r="55" spans="1:82" ht="21" customHeight="1" x14ac:dyDescent="0.35">
      <c r="A55" s="992" t="s">
        <v>312</v>
      </c>
      <c r="B55" s="788"/>
      <c r="C55" s="788"/>
      <c r="D55" s="788"/>
      <c r="E55" s="788"/>
      <c r="F55" s="790"/>
      <c r="G55" s="790"/>
      <c r="H55" s="790"/>
      <c r="I55" s="790"/>
      <c r="J55" s="790"/>
      <c r="K55" s="790"/>
      <c r="L55" s="790"/>
      <c r="M55" s="790"/>
      <c r="N55" s="791">
        <f t="shared" ref="N55:Y55" si="32">N58-N57</f>
        <v>2300.2707548481417</v>
      </c>
      <c r="O55" s="791">
        <f t="shared" si="32"/>
        <v>386.16879432142503</v>
      </c>
      <c r="P55" s="791">
        <f t="shared" si="32"/>
        <v>-1217.7684222580001</v>
      </c>
      <c r="Q55" s="791">
        <f t="shared" si="32"/>
        <v>-326.71674003218311</v>
      </c>
      <c r="R55" s="791">
        <f t="shared" si="32"/>
        <v>-207.93186754990961</v>
      </c>
      <c r="S55" s="791">
        <f t="shared" si="32"/>
        <v>755.99698006837832</v>
      </c>
      <c r="T55" s="791">
        <f t="shared" si="32"/>
        <v>1742.9187706828152</v>
      </c>
      <c r="U55" s="791">
        <f t="shared" si="32"/>
        <v>126.48193260799997</v>
      </c>
      <c r="V55" s="791">
        <f t="shared" si="32"/>
        <v>438.29299999999967</v>
      </c>
      <c r="W55" s="791">
        <f t="shared" si="32"/>
        <v>-45.297036646382367</v>
      </c>
      <c r="X55" s="791">
        <f t="shared" si="32"/>
        <v>-133.8793910847653</v>
      </c>
      <c r="Y55" s="791">
        <f t="shared" si="32"/>
        <v>1473.8405254147369</v>
      </c>
      <c r="Z55" s="791"/>
      <c r="AA55" s="791"/>
      <c r="AB55" s="791"/>
      <c r="AC55" s="791"/>
      <c r="AD55" s="791"/>
      <c r="AE55" s="791"/>
      <c r="AF55" s="791"/>
      <c r="AG55" s="791"/>
      <c r="AH55" s="791"/>
      <c r="AI55" s="791"/>
      <c r="AJ55" s="791"/>
      <c r="AK55" s="869"/>
      <c r="AL55" s="943">
        <v>157</v>
      </c>
      <c r="AM55" s="943">
        <v>319</v>
      </c>
      <c r="AN55" s="943">
        <v>325</v>
      </c>
      <c r="AO55" s="943">
        <v>958</v>
      </c>
      <c r="AP55" s="943">
        <v>774</v>
      </c>
      <c r="AQ55" s="943">
        <v>1540</v>
      </c>
      <c r="AR55" s="943">
        <v>3082</v>
      </c>
      <c r="AS55" s="943">
        <v>3353</v>
      </c>
      <c r="AT55" s="943">
        <v>2328</v>
      </c>
      <c r="AU55" s="943">
        <v>358</v>
      </c>
      <c r="AV55" s="943">
        <v>1900</v>
      </c>
      <c r="AW55" s="943">
        <v>2683</v>
      </c>
      <c r="AX55" s="943">
        <v>1164</v>
      </c>
      <c r="AY55" s="943">
        <v>1597</v>
      </c>
      <c r="AZ55" s="943">
        <v>1407</v>
      </c>
      <c r="BA55" s="943">
        <v>1250</v>
      </c>
      <c r="BB55" s="943">
        <v>1250</v>
      </c>
      <c r="BC55" s="943">
        <v>1214.7</v>
      </c>
      <c r="BD55" s="943">
        <v>1300.3</v>
      </c>
      <c r="BE55" s="943">
        <v>0</v>
      </c>
      <c r="BF55" s="943">
        <v>1250</v>
      </c>
      <c r="BG55" s="943">
        <v>1150</v>
      </c>
      <c r="BH55" s="943">
        <v>0</v>
      </c>
      <c r="BI55" s="943">
        <v>0</v>
      </c>
      <c r="BJ55" s="943">
        <v>0</v>
      </c>
      <c r="BK55" s="943">
        <v>1181.8181818181818</v>
      </c>
      <c r="BL55" s="943">
        <v>1181.8181818181818</v>
      </c>
      <c r="BM55" s="943">
        <v>1181.8181818181818</v>
      </c>
      <c r="BN55" s="943">
        <v>1181.8181818181818</v>
      </c>
      <c r="BO55" s="943">
        <v>1181.8181818181818</v>
      </c>
      <c r="BP55" s="943">
        <v>1181.8181818181818</v>
      </c>
      <c r="BQ55" s="943">
        <v>1181.8181818181818</v>
      </c>
      <c r="BR55" s="943">
        <v>1181.8181818181818</v>
      </c>
      <c r="BS55" s="943">
        <v>1181.8181818181818</v>
      </c>
      <c r="BT55" s="943">
        <v>1181.8181818181818</v>
      </c>
      <c r="BU55" s="943">
        <v>1181.8181818181818</v>
      </c>
      <c r="BV55" s="943">
        <v>13000</v>
      </c>
      <c r="BW55" s="943">
        <v>11583</v>
      </c>
      <c r="BX55" s="1009">
        <v>17777</v>
      </c>
      <c r="BY55" s="944">
        <v>0</v>
      </c>
      <c r="BZ55" s="1220">
        <v>-1675.4440591119619</v>
      </c>
      <c r="CA55" s="929" t="e">
        <v>#REF!</v>
      </c>
      <c r="CB55" s="881">
        <f>CA58-CA48</f>
        <v>-6315.9651325693303</v>
      </c>
      <c r="CC55" s="796" t="e">
        <f>CB55-#REF!</f>
        <v>#REF!</v>
      </c>
    </row>
    <row r="56" spans="1:82" ht="38.450000000000003" customHeight="1" x14ac:dyDescent="0.35">
      <c r="A56" s="992" t="s">
        <v>317</v>
      </c>
      <c r="B56" s="788"/>
      <c r="C56" s="788"/>
      <c r="D56" s="788"/>
      <c r="E56" s="788"/>
      <c r="F56" s="790"/>
      <c r="G56" s="790"/>
      <c r="H56" s="790"/>
      <c r="I56" s="790"/>
      <c r="J56" s="790"/>
      <c r="K56" s="790"/>
      <c r="L56" s="790"/>
      <c r="M56" s="790"/>
      <c r="N56" s="791"/>
      <c r="O56" s="791"/>
      <c r="P56" s="791"/>
      <c r="Q56" s="791"/>
      <c r="R56" s="791"/>
      <c r="S56" s="791"/>
      <c r="T56" s="791"/>
      <c r="U56" s="791"/>
      <c r="V56" s="791"/>
      <c r="W56" s="791"/>
      <c r="X56" s="791"/>
      <c r="Y56" s="791"/>
      <c r="Z56" s="791"/>
      <c r="AA56" s="791"/>
      <c r="AB56" s="791"/>
      <c r="AC56" s="791"/>
      <c r="AD56" s="791"/>
      <c r="AE56" s="791"/>
      <c r="AF56" s="791"/>
      <c r="AG56" s="791"/>
      <c r="AH56" s="791"/>
      <c r="AI56" s="791"/>
      <c r="AJ56" s="791"/>
      <c r="AK56" s="869"/>
      <c r="AL56" s="943">
        <v>134.6363012800241</v>
      </c>
      <c r="AM56" s="943">
        <v>1146.2215412568407</v>
      </c>
      <c r="AN56" s="943">
        <v>555.68420035111876</v>
      </c>
      <c r="AO56" s="943">
        <v>283.35538260982298</v>
      </c>
      <c r="AP56" s="943">
        <v>165.17447890184803</v>
      </c>
      <c r="AQ56" s="943">
        <v>363.08181167993234</v>
      </c>
      <c r="AR56" s="943">
        <v>-25.03242341514806</v>
      </c>
      <c r="AS56" s="943">
        <v>279.12604569673385</v>
      </c>
      <c r="AT56" s="943">
        <v>-28.729607487451631</v>
      </c>
      <c r="AU56" s="943">
        <v>210.25458858957199</v>
      </c>
      <c r="AV56" s="943">
        <v>-324.67259297169312</v>
      </c>
      <c r="AW56" s="943">
        <v>266.00493856215598</v>
      </c>
      <c r="AX56" s="943">
        <v>-51.048087968093569</v>
      </c>
      <c r="AY56" s="943">
        <v>217.45767627882924</v>
      </c>
      <c r="AZ56" s="943">
        <v>-70.61820569775773</v>
      </c>
      <c r="BA56" s="943">
        <v>-31.203165086569243</v>
      </c>
      <c r="BB56" s="943">
        <v>-193.81928986370895</v>
      </c>
      <c r="BC56" s="943">
        <v>269.63802871553708</v>
      </c>
      <c r="BD56" s="943">
        <v>215.82744983346311</v>
      </c>
      <c r="BE56" s="943">
        <v>215.28663830034452</v>
      </c>
      <c r="BF56" s="943">
        <v>6.6664806752505683</v>
      </c>
      <c r="BG56" s="943">
        <v>239.67038564970062</v>
      </c>
      <c r="BH56" s="943">
        <v>-137.91251353281359</v>
      </c>
      <c r="BI56" s="943">
        <v>0</v>
      </c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3"/>
      <c r="BV56" s="943">
        <v>0</v>
      </c>
      <c r="BW56" s="943">
        <v>679.94539730418205</v>
      </c>
      <c r="BX56" s="1009">
        <v>3025.104665053756</v>
      </c>
      <c r="BY56" s="944"/>
      <c r="BZ56" s="1220"/>
      <c r="CA56" s="929"/>
      <c r="CB56" s="881"/>
      <c r="CC56" s="796"/>
    </row>
    <row r="57" spans="1:82" ht="24.6" customHeight="1" x14ac:dyDescent="0.35">
      <c r="A57" s="1145" t="s">
        <v>319</v>
      </c>
      <c r="B57" s="788"/>
      <c r="C57" s="788"/>
      <c r="D57" s="788"/>
      <c r="E57" s="788"/>
      <c r="F57" s="790"/>
      <c r="G57" s="790"/>
      <c r="H57" s="790"/>
      <c r="I57" s="790"/>
      <c r="J57" s="790"/>
      <c r="K57" s="790"/>
      <c r="L57" s="790"/>
      <c r="M57" s="790"/>
      <c r="N57" s="791">
        <f t="shared" ref="N57:AE57" si="33">(N52-N45)</f>
        <v>-612.27075484814168</v>
      </c>
      <c r="O57" s="791">
        <f t="shared" si="33"/>
        <v>-320.16879432142503</v>
      </c>
      <c r="P57" s="791">
        <f t="shared" si="33"/>
        <v>776.7684222580001</v>
      </c>
      <c r="Q57" s="791">
        <f t="shared" si="33"/>
        <v>7.7167400321831394</v>
      </c>
      <c r="R57" s="791">
        <f t="shared" si="33"/>
        <v>-1024.0681324500904</v>
      </c>
      <c r="S57" s="791">
        <f t="shared" si="33"/>
        <v>-392.99698006837832</v>
      </c>
      <c r="T57" s="791">
        <f t="shared" si="33"/>
        <v>-1521.9187706828152</v>
      </c>
      <c r="U57" s="791">
        <f t="shared" si="33"/>
        <v>-381.48193260799997</v>
      </c>
      <c r="V57" s="791">
        <f t="shared" si="33"/>
        <v>-1959.2929999999997</v>
      </c>
      <c r="W57" s="791">
        <f t="shared" si="33"/>
        <v>-76.702963353617633</v>
      </c>
      <c r="X57" s="791">
        <f t="shared" si="33"/>
        <v>42.879391084765302</v>
      </c>
      <c r="Y57" s="791">
        <f t="shared" si="33"/>
        <v>1053.1594745852631</v>
      </c>
      <c r="Z57" s="791">
        <f t="shared" si="33"/>
        <v>-174.84911366733417</v>
      </c>
      <c r="AA57" s="791">
        <f t="shared" si="33"/>
        <v>-154.31126452140001</v>
      </c>
      <c r="AB57" s="791">
        <f t="shared" si="33"/>
        <v>-361.1464610214</v>
      </c>
      <c r="AC57" s="791">
        <f t="shared" si="33"/>
        <v>-291.85761551163625</v>
      </c>
      <c r="AD57" s="791">
        <f t="shared" si="33"/>
        <v>-256.45464745340479</v>
      </c>
      <c r="AE57" s="791">
        <f t="shared" si="33"/>
        <v>-356.51390033984535</v>
      </c>
      <c r="AF57" s="791">
        <f>(AF52-AF45)+CD59</f>
        <v>-247.31471672253059</v>
      </c>
      <c r="AG57" s="791">
        <f>(AG52-AG45)</f>
        <v>-11.038264521399981</v>
      </c>
      <c r="AH57" s="791">
        <f>(AH52-AH45)</f>
        <v>-2267.5244610213999</v>
      </c>
      <c r="AI57" s="791">
        <f>(AI52-AI45)</f>
        <v>83.411368448565327</v>
      </c>
      <c r="AJ57" s="791">
        <f>(AJ52-AJ45)</f>
        <v>-121.56089952748846</v>
      </c>
      <c r="AK57" s="869">
        <f>(AK52-AK45)</f>
        <v>77.638902401905739</v>
      </c>
      <c r="AL57" s="1150">
        <v>-635.6363012800241</v>
      </c>
      <c r="AM57" s="1150">
        <v>-1762.2215412568407</v>
      </c>
      <c r="AN57" s="1150">
        <v>2084.3157996488812</v>
      </c>
      <c r="AO57" s="1150">
        <v>507.64461739017702</v>
      </c>
      <c r="AP57" s="1150">
        <v>790.82552109815197</v>
      </c>
      <c r="AQ57" s="1150">
        <v>1366.9181883200677</v>
      </c>
      <c r="AR57" s="1150">
        <v>-170.96757658485194</v>
      </c>
      <c r="AS57" s="955">
        <v>1144.8739543032661</v>
      </c>
      <c r="AT57" s="955">
        <v>-143.27039251254837</v>
      </c>
      <c r="AU57" s="955">
        <v>3689.745411410428</v>
      </c>
      <c r="AV57" s="955">
        <v>2826.6725929716931</v>
      </c>
      <c r="AW57" s="955">
        <v>1058.995061437844</v>
      </c>
      <c r="AX57" s="955">
        <v>3434.0480879680936</v>
      </c>
      <c r="AY57" s="955">
        <v>1.5423237211707601</v>
      </c>
      <c r="AZ57" s="955">
        <v>2779.6182056977577</v>
      </c>
      <c r="BA57" s="955">
        <v>4153.2031650865692</v>
      </c>
      <c r="BB57" s="955">
        <v>2072.8192898637089</v>
      </c>
      <c r="BC57" s="955">
        <v>2264.3619712844629</v>
      </c>
      <c r="BD57" s="955">
        <v>2978.1725501665369</v>
      </c>
      <c r="BE57" s="955">
        <v>1151.7133616996555</v>
      </c>
      <c r="BF57" s="955">
        <v>769.33351932474943</v>
      </c>
      <c r="BG57" s="955">
        <v>1218.3296143502994</v>
      </c>
      <c r="BH57" s="955">
        <v>2010.9125135328136</v>
      </c>
      <c r="BI57" s="955">
        <v>4895.5691298504717</v>
      </c>
      <c r="BJ57" s="955">
        <v>1778.5774781810928</v>
      </c>
      <c r="BK57" s="955">
        <v>1301.5010323889298</v>
      </c>
      <c r="BL57" s="955">
        <v>2690.6390725549409</v>
      </c>
      <c r="BM57" s="955">
        <v>1389.3722629464908</v>
      </c>
      <c r="BN57" s="955">
        <v>1921.9182847354725</v>
      </c>
      <c r="BO57" s="955">
        <v>3070.6803508710409</v>
      </c>
      <c r="BP57" s="955">
        <v>2248.9340094725367</v>
      </c>
      <c r="BQ57" s="955">
        <v>1481.1730927541564</v>
      </c>
      <c r="BR57" s="955">
        <v>2630.9803155009449</v>
      </c>
      <c r="BS57" s="955">
        <v>1383.7497010788363</v>
      </c>
      <c r="BT57" s="955">
        <v>1651.159476242661</v>
      </c>
      <c r="BU57" s="955">
        <v>3320.7765269580996</v>
      </c>
      <c r="BV57" s="955">
        <v>24869.461603685202</v>
      </c>
      <c r="BW57" s="955">
        <v>27729.623732546293</v>
      </c>
      <c r="BX57" s="1009">
        <v>10757.895334946243</v>
      </c>
      <c r="BY57" s="944">
        <v>-4081.5210734573689</v>
      </c>
      <c r="BZ57" s="1220">
        <v>-4408.3773003722563</v>
      </c>
      <c r="CA57" s="929"/>
      <c r="CB57" s="877">
        <f>SUM(N57:Y57)</f>
        <v>-4408.3773003722563</v>
      </c>
      <c r="CC57" s="786"/>
      <c r="CD57" s="94"/>
    </row>
    <row r="58" spans="1:82" ht="45.6" customHeight="1" x14ac:dyDescent="0.35">
      <c r="A58" s="1098" t="s">
        <v>318</v>
      </c>
      <c r="B58" s="788"/>
      <c r="C58" s="788"/>
      <c r="D58" s="788"/>
      <c r="E58" s="788"/>
      <c r="F58" s="790"/>
      <c r="G58" s="790"/>
      <c r="H58" s="790"/>
      <c r="I58" s="790"/>
      <c r="J58" s="790"/>
      <c r="K58" s="790"/>
      <c r="L58" s="790"/>
      <c r="M58" s="790"/>
      <c r="N58" s="791">
        <v>1688</v>
      </c>
      <c r="O58" s="791">
        <v>66</v>
      </c>
      <c r="P58" s="791">
        <v>-441</v>
      </c>
      <c r="Q58" s="791">
        <v>-319</v>
      </c>
      <c r="R58" s="791">
        <v>-1232</v>
      </c>
      <c r="S58" s="791">
        <v>363</v>
      </c>
      <c r="T58" s="791">
        <v>221</v>
      </c>
      <c r="U58" s="791">
        <v>-255</v>
      </c>
      <c r="V58" s="791">
        <v>-1521</v>
      </c>
      <c r="W58" s="791">
        <v>-122</v>
      </c>
      <c r="X58" s="791">
        <v>-91</v>
      </c>
      <c r="Y58" s="791">
        <v>2527</v>
      </c>
      <c r="Z58" s="791">
        <v>333</v>
      </c>
      <c r="AA58" s="791">
        <v>159</v>
      </c>
      <c r="AB58" s="791">
        <v>-256</v>
      </c>
      <c r="AC58" s="791">
        <v>1023</v>
      </c>
      <c r="AD58" s="791">
        <v>64</v>
      </c>
      <c r="AE58" s="791">
        <v>788</v>
      </c>
      <c r="AF58" s="791">
        <v>376</v>
      </c>
      <c r="AG58" s="791">
        <v>-349</v>
      </c>
      <c r="AH58" s="791">
        <v>-1945</v>
      </c>
      <c r="AI58" s="791">
        <v>474</v>
      </c>
      <c r="AJ58" s="791">
        <v>162</v>
      </c>
      <c r="AK58" s="869">
        <v>456</v>
      </c>
      <c r="AL58" s="943">
        <v>-501</v>
      </c>
      <c r="AM58" s="943">
        <v>-616</v>
      </c>
      <c r="AN58" s="943">
        <v>2640</v>
      </c>
      <c r="AO58" s="943">
        <v>791</v>
      </c>
      <c r="AP58" s="943">
        <v>956</v>
      </c>
      <c r="AQ58" s="943">
        <v>1730</v>
      </c>
      <c r="AR58" s="955">
        <v>-196</v>
      </c>
      <c r="AS58" s="955">
        <v>1424</v>
      </c>
      <c r="AT58" s="955">
        <v>-172</v>
      </c>
      <c r="AU58" s="955">
        <v>3900</v>
      </c>
      <c r="AV58" s="955">
        <v>2502</v>
      </c>
      <c r="AW58" s="955">
        <v>1325</v>
      </c>
      <c r="AX58" s="955">
        <v>3383</v>
      </c>
      <c r="AY58" s="955">
        <v>219</v>
      </c>
      <c r="AZ58" s="955">
        <v>2709</v>
      </c>
      <c r="BA58" s="955">
        <v>4122</v>
      </c>
      <c r="BB58" s="955">
        <v>1879</v>
      </c>
      <c r="BC58" s="955">
        <v>2534</v>
      </c>
      <c r="BD58" s="955">
        <v>3194</v>
      </c>
      <c r="BE58" s="955">
        <v>1367</v>
      </c>
      <c r="BF58" s="955">
        <v>776</v>
      </c>
      <c r="BG58" s="955">
        <v>1458</v>
      </c>
      <c r="BH58" s="955">
        <v>1873</v>
      </c>
      <c r="BI58" s="955">
        <v>4895.5691298504717</v>
      </c>
      <c r="BJ58" s="955">
        <v>1778.5774781810928</v>
      </c>
      <c r="BK58" s="955">
        <v>1301.5010323889298</v>
      </c>
      <c r="BL58" s="955">
        <v>2690.6390725549409</v>
      </c>
      <c r="BM58" s="955">
        <v>1389.3722629464908</v>
      </c>
      <c r="BN58" s="955">
        <v>1921.9182847354725</v>
      </c>
      <c r="BO58" s="955">
        <v>3070.6803508710409</v>
      </c>
      <c r="BP58" s="955">
        <v>2248.9340094725367</v>
      </c>
      <c r="BQ58" s="955">
        <v>1481.1730927541564</v>
      </c>
      <c r="BR58" s="955">
        <v>2630.9803155009449</v>
      </c>
      <c r="BS58" s="955">
        <v>1383.7497010788363</v>
      </c>
      <c r="BT58" s="955">
        <v>1651.159476242661</v>
      </c>
      <c r="BU58" s="955">
        <v>3320.7765269580996</v>
      </c>
      <c r="BV58" s="955">
        <v>24869.461603685202</v>
      </c>
      <c r="BW58" s="955">
        <v>28409.569129850472</v>
      </c>
      <c r="BX58" s="1009">
        <v>13783</v>
      </c>
      <c r="BY58" s="944">
        <v>559</v>
      </c>
      <c r="BZ58" s="1220">
        <v>-1675.4440591119619</v>
      </c>
      <c r="CA58" s="929">
        <v>-6315.9651325693303</v>
      </c>
      <c r="CB58" s="877">
        <f>CA58-CA48</f>
        <v>-6315.9651325693303</v>
      </c>
      <c r="CC58" s="796">
        <f>CA57-CA48</f>
        <v>0</v>
      </c>
      <c r="CD58" s="1"/>
    </row>
    <row r="59" spans="1:82" ht="35.450000000000003" customHeight="1" x14ac:dyDescent="0.35">
      <c r="A59" s="992" t="s">
        <v>309</v>
      </c>
      <c r="B59" s="788"/>
      <c r="C59" s="788"/>
      <c r="D59" s="788"/>
      <c r="E59" s="788"/>
      <c r="F59" s="790"/>
      <c r="G59" s="790"/>
      <c r="H59" s="790"/>
      <c r="I59" s="790"/>
      <c r="J59" s="790"/>
      <c r="K59" s="790"/>
      <c r="L59" s="790"/>
      <c r="M59" s="790"/>
      <c r="N59" s="791"/>
      <c r="O59" s="791"/>
      <c r="P59" s="791"/>
      <c r="Q59" s="791"/>
      <c r="R59" s="791"/>
      <c r="S59" s="791"/>
      <c r="T59" s="791"/>
      <c r="U59" s="791"/>
      <c r="V59" s="791"/>
      <c r="W59" s="791"/>
      <c r="X59" s="791"/>
      <c r="Y59" s="791"/>
      <c r="Z59" s="791">
        <v>-1</v>
      </c>
      <c r="AA59" s="791"/>
      <c r="AB59" s="791"/>
      <c r="AC59" s="791"/>
      <c r="AD59" s="791"/>
      <c r="AE59" s="791"/>
      <c r="AF59" s="791"/>
      <c r="AG59" s="791"/>
      <c r="AH59" s="791"/>
      <c r="AI59" s="791"/>
      <c r="AJ59" s="869"/>
      <c r="AK59" s="869"/>
      <c r="AL59" s="955"/>
      <c r="AM59" s="955"/>
      <c r="AN59" s="955"/>
      <c r="AO59" s="955"/>
      <c r="AP59" s="955"/>
      <c r="AQ59" s="955"/>
      <c r="AR59" s="955"/>
      <c r="AS59" s="1163"/>
      <c r="AT59" s="1163"/>
      <c r="AU59" s="1164"/>
      <c r="AV59" s="1165"/>
      <c r="AW59" s="1163"/>
      <c r="AX59" s="1163"/>
      <c r="AY59" s="1163"/>
      <c r="AZ59" s="1163"/>
      <c r="BA59" s="955"/>
      <c r="BB59" s="955"/>
      <c r="BC59" s="955"/>
      <c r="BD59" s="955"/>
      <c r="BE59" s="955"/>
      <c r="BF59" s="955"/>
      <c r="BG59" s="955"/>
      <c r="BH59" s="955"/>
      <c r="BI59" s="955"/>
      <c r="BJ59" s="1163"/>
      <c r="BK59" s="1163"/>
      <c r="BL59" s="1163"/>
      <c r="BM59" s="955"/>
      <c r="BN59" s="955"/>
      <c r="BO59" s="955"/>
      <c r="BP59" s="955"/>
      <c r="BQ59" s="955"/>
      <c r="BR59" s="955"/>
      <c r="BS59" s="955"/>
      <c r="BT59" s="955"/>
      <c r="BU59" s="955"/>
      <c r="BV59" s="955"/>
      <c r="BW59" s="955"/>
      <c r="BX59" s="1013"/>
      <c r="BY59" s="1013">
        <v>-1675.4440591119619</v>
      </c>
      <c r="BZ59" s="1013"/>
      <c r="CA59" s="929"/>
      <c r="CB59" s="877"/>
      <c r="CC59" s="786"/>
      <c r="CD59" s="94"/>
    </row>
    <row r="60" spans="1:82" ht="20.45" customHeight="1" x14ac:dyDescent="0.35">
      <c r="A60" s="992" t="s">
        <v>250</v>
      </c>
      <c r="B60" s="788"/>
      <c r="C60" s="788"/>
      <c r="D60" s="788"/>
      <c r="E60" s="788"/>
      <c r="F60" s="790"/>
      <c r="G60" s="790"/>
      <c r="H60" s="790"/>
      <c r="I60" s="790"/>
      <c r="J60" s="790"/>
      <c r="K60" s="790"/>
      <c r="L60" s="790"/>
      <c r="M60" s="790"/>
      <c r="N60" s="791"/>
      <c r="O60" s="791"/>
      <c r="P60" s="791"/>
      <c r="Q60" s="791"/>
      <c r="R60" s="792"/>
      <c r="S60" s="792"/>
      <c r="T60" s="792"/>
      <c r="U60" s="792"/>
      <c r="V60" s="792"/>
      <c r="W60" s="792"/>
      <c r="X60" s="792"/>
      <c r="Y60" s="791"/>
      <c r="Z60" s="791"/>
      <c r="AA60" s="791"/>
      <c r="AB60" s="791"/>
      <c r="AC60" s="791"/>
      <c r="AD60" s="791"/>
      <c r="AE60" s="791"/>
      <c r="AF60" s="791"/>
      <c r="AG60" s="791"/>
      <c r="AH60" s="791"/>
      <c r="AI60" s="791"/>
      <c r="AJ60" s="791"/>
      <c r="AK60" s="1032"/>
      <c r="AL60" s="175"/>
      <c r="AM60" s="121"/>
      <c r="AN60" s="156"/>
      <c r="AO60" s="121"/>
      <c r="AP60" s="121"/>
      <c r="AQ60" s="121"/>
      <c r="AR60" s="156"/>
      <c r="AS60" s="283"/>
      <c r="AT60" s="121"/>
      <c r="AU60" s="121"/>
      <c r="AV60" s="121"/>
      <c r="AW60" s="121"/>
      <c r="AX60" s="121"/>
      <c r="AY60" s="121"/>
      <c r="AZ60" s="121"/>
      <c r="BA60" s="121"/>
      <c r="BB60" s="121"/>
      <c r="BC60" s="121"/>
      <c r="BD60" s="121"/>
      <c r="BE60" s="121"/>
      <c r="BF60" s="121"/>
      <c r="BG60" s="121"/>
      <c r="BH60" s="121"/>
      <c r="BI60" s="121"/>
      <c r="BJ60" s="121"/>
      <c r="BK60" s="121"/>
      <c r="BL60" s="121"/>
      <c r="BM60" s="121"/>
      <c r="BN60" s="121"/>
      <c r="BO60" s="121"/>
      <c r="BP60" s="121"/>
      <c r="BQ60" s="121"/>
      <c r="BR60" s="121"/>
      <c r="BS60" s="121"/>
      <c r="BT60" s="121"/>
      <c r="BU60" s="121"/>
      <c r="BV60" s="121"/>
      <c r="BW60" s="121"/>
      <c r="BX60" s="997">
        <v>11652.818300306248</v>
      </c>
      <c r="BY60" s="997">
        <v>-1675.4440591119619</v>
      </c>
      <c r="BZ60" s="1221"/>
      <c r="CA60" s="577"/>
      <c r="CB60" s="877"/>
      <c r="CC60" s="786"/>
    </row>
    <row r="61" spans="1:82" ht="30.6" customHeight="1" x14ac:dyDescent="0.35">
      <c r="A61" s="992" t="s">
        <v>248</v>
      </c>
      <c r="B61" s="788"/>
      <c r="C61" s="788"/>
      <c r="D61" s="788"/>
      <c r="E61" s="788"/>
      <c r="F61" s="790"/>
      <c r="G61" s="790"/>
      <c r="H61" s="790"/>
      <c r="I61" s="790"/>
      <c r="J61" s="790"/>
      <c r="K61" s="790"/>
      <c r="L61" s="790"/>
      <c r="M61" s="790"/>
      <c r="N61" s="791"/>
      <c r="O61" s="791"/>
      <c r="P61" s="791"/>
      <c r="Q61" s="791"/>
      <c r="R61" s="791"/>
      <c r="S61" s="791"/>
      <c r="T61" s="791"/>
      <c r="U61" s="791"/>
      <c r="V61" s="791"/>
      <c r="W61" s="791"/>
      <c r="X61" s="791"/>
      <c r="Y61" s="791"/>
      <c r="Z61" s="791"/>
      <c r="AA61" s="791"/>
      <c r="AB61" s="791"/>
      <c r="AC61" s="791"/>
      <c r="AD61" s="791"/>
      <c r="AE61" s="791"/>
      <c r="AF61" s="791"/>
      <c r="AG61" s="791"/>
      <c r="AH61" s="791"/>
      <c r="AI61" s="791"/>
      <c r="AJ61" s="791"/>
      <c r="AK61" s="1032"/>
      <c r="AL61" s="175"/>
      <c r="AM61" s="121"/>
      <c r="AN61" s="121"/>
      <c r="AO61" s="156"/>
      <c r="AP61" s="156"/>
      <c r="AQ61" s="156"/>
      <c r="AR61" s="121"/>
      <c r="AS61" s="121"/>
      <c r="AT61" s="121"/>
      <c r="AU61" s="121"/>
      <c r="AV61" s="121"/>
      <c r="AW61" s="121"/>
      <c r="AX61" s="121"/>
      <c r="AY61" s="121"/>
      <c r="AZ61" s="121"/>
      <c r="BA61" s="121"/>
      <c r="BB61" s="121"/>
      <c r="BC61" s="121"/>
      <c r="BD61" s="121"/>
      <c r="BE61" s="121"/>
      <c r="BF61" s="121"/>
      <c r="BG61" s="121"/>
      <c r="BH61" s="121"/>
      <c r="BI61" s="121"/>
      <c r="BJ61" s="121"/>
      <c r="BK61" s="121"/>
      <c r="BL61" s="121"/>
      <c r="BM61" s="121"/>
      <c r="BN61" s="121"/>
      <c r="BO61" s="121"/>
      <c r="BP61" s="121"/>
      <c r="BQ61" s="121"/>
      <c r="BR61" s="121"/>
      <c r="BS61" s="121"/>
      <c r="BT61" s="121"/>
      <c r="BU61" s="121"/>
      <c r="BV61" s="121"/>
      <c r="BW61" s="121"/>
      <c r="BX61" s="295"/>
      <c r="BY61" s="295"/>
      <c r="BZ61" s="295"/>
      <c r="CA61" s="156"/>
      <c r="CB61" s="877"/>
      <c r="CC61" s="786"/>
      <c r="CD61" s="94"/>
    </row>
    <row r="62" spans="1:82" ht="36.6" customHeight="1" x14ac:dyDescent="0.35">
      <c r="A62" s="787" t="s">
        <v>246</v>
      </c>
      <c r="B62" s="788">
        <f t="shared" ref="B62:M62" si="34">B4+B20-B22+B57+B68</f>
        <v>-68</v>
      </c>
      <c r="C62" s="788">
        <f t="shared" si="34"/>
        <v>-607</v>
      </c>
      <c r="D62" s="788">
        <f t="shared" si="34"/>
        <v>485</v>
      </c>
      <c r="E62" s="788">
        <f t="shared" si="34"/>
        <v>-46</v>
      </c>
      <c r="F62" s="788">
        <f t="shared" si="34"/>
        <v>-1105</v>
      </c>
      <c r="G62" s="788">
        <f t="shared" si="34"/>
        <v>1052</v>
      </c>
      <c r="H62" s="788">
        <f t="shared" si="34"/>
        <v>1292</v>
      </c>
      <c r="I62" s="788">
        <f t="shared" si="34"/>
        <v>69</v>
      </c>
      <c r="J62" s="788">
        <f t="shared" si="34"/>
        <v>-468</v>
      </c>
      <c r="K62" s="788">
        <f t="shared" si="34"/>
        <v>-109</v>
      </c>
      <c r="L62" s="788">
        <f t="shared" si="34"/>
        <v>601</v>
      </c>
      <c r="M62" s="788">
        <f t="shared" si="34"/>
        <v>3236</v>
      </c>
      <c r="N62" s="789">
        <f t="shared" ref="N62:AK62" si="35">N4+N20-N22</f>
        <v>906</v>
      </c>
      <c r="O62" s="789">
        <f t="shared" si="35"/>
        <v>733</v>
      </c>
      <c r="P62" s="789">
        <f t="shared" si="35"/>
        <v>-1778</v>
      </c>
      <c r="Q62" s="789">
        <f t="shared" si="35"/>
        <v>716</v>
      </c>
      <c r="R62" s="789">
        <f t="shared" si="35"/>
        <v>-353</v>
      </c>
      <c r="S62" s="789">
        <f t="shared" si="35"/>
        <v>978</v>
      </c>
      <c r="T62" s="789">
        <f t="shared" si="35"/>
        <v>-88</v>
      </c>
      <c r="U62" s="789">
        <f t="shared" si="35"/>
        <v>353</v>
      </c>
      <c r="V62" s="789">
        <f t="shared" si="35"/>
        <v>-1957</v>
      </c>
      <c r="W62" s="789">
        <f t="shared" si="35"/>
        <v>-343</v>
      </c>
      <c r="X62" s="789">
        <f t="shared" si="35"/>
        <v>-15</v>
      </c>
      <c r="Y62" s="789">
        <f t="shared" si="35"/>
        <v>2838</v>
      </c>
      <c r="Z62" s="789">
        <f t="shared" si="35"/>
        <v>-219</v>
      </c>
      <c r="AA62" s="789">
        <f t="shared" si="35"/>
        <v>-24</v>
      </c>
      <c r="AB62" s="789">
        <f t="shared" si="35"/>
        <v>-715</v>
      </c>
      <c r="AC62" s="789">
        <f t="shared" si="35"/>
        <v>707</v>
      </c>
      <c r="AD62" s="789">
        <f t="shared" si="35"/>
        <v>-398</v>
      </c>
      <c r="AE62" s="789">
        <f t="shared" si="35"/>
        <v>608</v>
      </c>
      <c r="AF62" s="789">
        <f t="shared" si="35"/>
        <v>290</v>
      </c>
      <c r="AG62" s="789">
        <f t="shared" si="35"/>
        <v>-137</v>
      </c>
      <c r="AH62" s="789">
        <f t="shared" si="35"/>
        <v>-2538</v>
      </c>
      <c r="AI62" s="789">
        <f t="shared" si="35"/>
        <v>1060</v>
      </c>
      <c r="AJ62" s="789">
        <f t="shared" si="35"/>
        <v>357</v>
      </c>
      <c r="AK62" s="859">
        <f t="shared" si="35"/>
        <v>353</v>
      </c>
      <c r="AL62" s="1141">
        <v>-1762</v>
      </c>
      <c r="AM62" s="1141">
        <v>-1658</v>
      </c>
      <c r="AN62" s="1141">
        <v>679</v>
      </c>
      <c r="AO62" s="1141">
        <v>-867</v>
      </c>
      <c r="AP62" s="1141">
        <v>-1921</v>
      </c>
      <c r="AQ62" s="1141">
        <v>-2220</v>
      </c>
      <c r="AR62" s="1141">
        <v>-299</v>
      </c>
      <c r="AS62" s="1141">
        <v>3105</v>
      </c>
      <c r="AT62" s="1141">
        <v>-1375</v>
      </c>
      <c r="AU62" s="1141">
        <v>1251</v>
      </c>
      <c r="AV62" s="1141">
        <v>2437</v>
      </c>
      <c r="AW62" s="1141">
        <v>362</v>
      </c>
      <c r="AX62" s="1141">
        <v>1208</v>
      </c>
      <c r="AY62" s="1141">
        <v>-856</v>
      </c>
      <c r="AZ62" s="1141">
        <v>2765</v>
      </c>
      <c r="BA62" s="1141">
        <v>4021</v>
      </c>
      <c r="BB62" s="1141">
        <v>1533</v>
      </c>
      <c r="BC62" s="1141">
        <v>1688</v>
      </c>
      <c r="BD62" s="1141">
        <v>2579</v>
      </c>
      <c r="BE62" s="1141">
        <v>-1297</v>
      </c>
      <c r="BF62" s="1141">
        <v>-609</v>
      </c>
      <c r="BG62" s="1141">
        <v>-847</v>
      </c>
      <c r="BH62" s="1141">
        <v>-355</v>
      </c>
      <c r="BI62" s="1141">
        <v>1146.4890524503166</v>
      </c>
      <c r="BJ62" s="1141">
        <v>-232.99787369862486</v>
      </c>
      <c r="BK62" s="1141">
        <v>-676.43982731900735</v>
      </c>
      <c r="BL62" s="1141">
        <v>236.56588660407374</v>
      </c>
      <c r="BM62" s="1141">
        <v>359.02079590516234</v>
      </c>
      <c r="BN62" s="1141">
        <v>282.57177416106219</v>
      </c>
      <c r="BO62" s="1141">
        <v>1627.2049399829514</v>
      </c>
      <c r="BP62" s="1141">
        <v>850.64734420255854</v>
      </c>
      <c r="BQ62" s="1141">
        <v>1604.9295993719618</v>
      </c>
      <c r="BR62" s="1141">
        <v>1981.3790423396867</v>
      </c>
      <c r="BS62" s="1141">
        <v>1140.1944691993506</v>
      </c>
      <c r="BT62" s="1141">
        <v>1277.5093975393313</v>
      </c>
      <c r="BU62" s="1141">
        <v>2708.9606702932301</v>
      </c>
      <c r="BV62" s="1141">
        <v>11159.546218581738</v>
      </c>
      <c r="BW62" s="1141">
        <v>10976.489052450317</v>
      </c>
      <c r="BX62" s="996">
        <v>-2268</v>
      </c>
      <c r="BY62" s="996">
        <v>-1382</v>
      </c>
      <c r="BZ62" s="1222">
        <v>1990</v>
      </c>
      <c r="CA62" s="984">
        <v>4332</v>
      </c>
      <c r="CB62" s="877">
        <f>SUM(N62:Y62)</f>
        <v>1990</v>
      </c>
      <c r="CC62" s="794">
        <f>SUM(B62:M62)</f>
        <v>4332</v>
      </c>
    </row>
    <row r="63" spans="1:82" ht="27.6" customHeight="1" x14ac:dyDescent="0.35">
      <c r="A63" s="787" t="s">
        <v>260</v>
      </c>
      <c r="B63" s="789"/>
      <c r="C63" s="789"/>
      <c r="D63" s="789"/>
      <c r="E63" s="789"/>
      <c r="F63" s="789"/>
      <c r="G63" s="789"/>
      <c r="H63" s="789"/>
      <c r="I63" s="789"/>
      <c r="J63" s="789"/>
      <c r="K63" s="789"/>
      <c r="L63" s="789"/>
      <c r="M63" s="789"/>
      <c r="N63" s="789">
        <f>N111</f>
        <v>0</v>
      </c>
      <c r="O63" s="789">
        <f t="shared" ref="O63:Y63" si="36">O111</f>
        <v>0</v>
      </c>
      <c r="P63" s="789">
        <f t="shared" si="36"/>
        <v>0</v>
      </c>
      <c r="Q63" s="789">
        <f t="shared" si="36"/>
        <v>0</v>
      </c>
      <c r="R63" s="789">
        <f t="shared" si="36"/>
        <v>0</v>
      </c>
      <c r="S63" s="789">
        <f t="shared" si="36"/>
        <v>0</v>
      </c>
      <c r="T63" s="789">
        <f t="shared" si="36"/>
        <v>0</v>
      </c>
      <c r="U63" s="789">
        <f t="shared" si="36"/>
        <v>0</v>
      </c>
      <c r="V63" s="789">
        <f t="shared" si="36"/>
        <v>0</v>
      </c>
      <c r="W63" s="789">
        <f t="shared" si="36"/>
        <v>0</v>
      </c>
      <c r="X63" s="789">
        <f t="shared" si="36"/>
        <v>0</v>
      </c>
      <c r="Y63" s="789">
        <f t="shared" si="36"/>
        <v>0</v>
      </c>
      <c r="Z63" s="789">
        <f t="shared" ref="Z63:AG63" si="37">(Z4-Z23)+IF(Z58&gt;0,Z58*0.15,Z58*0.4)+(Z47+Z50-Z53)*0.1</f>
        <v>-489.17432775000003</v>
      </c>
      <c r="AA63" s="789">
        <f t="shared" si="37"/>
        <v>-157.90361742499999</v>
      </c>
      <c r="AB63" s="789">
        <f t="shared" si="37"/>
        <v>-578.28149999999994</v>
      </c>
      <c r="AC63" s="789">
        <f t="shared" si="37"/>
        <v>-136.53699898500003</v>
      </c>
      <c r="AD63" s="789">
        <f t="shared" si="37"/>
        <v>-440.56386788599997</v>
      </c>
      <c r="AE63" s="789">
        <f t="shared" si="37"/>
        <v>-50.595272150000014</v>
      </c>
      <c r="AF63" s="789">
        <f t="shared" si="37"/>
        <v>-9.6684277500000064</v>
      </c>
      <c r="AG63" s="789">
        <f t="shared" si="37"/>
        <v>64.188545590000004</v>
      </c>
      <c r="AH63" s="789">
        <f>(AH4-AH23)+IF(AH58&gt;0,AH58*0.15,AH58*0)+(AI47+AI50-AI53)*0.2+(AI36*0.3)</f>
        <v>-380.64792729999999</v>
      </c>
      <c r="AI63" s="789">
        <f>(AI4-AI23)+IF(AI58&gt;0,AI58*0.1,AI58*0.05)+(AI47+AI50-AI53)*0.2+(AI36*0.3)</f>
        <v>842.75207269999999</v>
      </c>
      <c r="AJ63" s="789">
        <f>(AJ4-AJ23)+IF(AJ58&gt;0,AJ58*0.15,AJ58*0.05)+(AJ36*0.15)</f>
        <v>341.9</v>
      </c>
      <c r="AK63" s="859">
        <f>(AK4-AK23)+IF(AK58&gt;0,AK58*0.1,AK58*0.05)+(AK47+AK50-AK53)*0.2</f>
        <v>-112.41270213000001</v>
      </c>
      <c r="AL63" s="1141">
        <v>-1439.5230864499999</v>
      </c>
      <c r="AM63" s="1141">
        <v>-1130.9108714896252</v>
      </c>
      <c r="AN63" s="1141"/>
      <c r="AO63" s="1141"/>
      <c r="AP63" s="1141"/>
      <c r="AQ63" s="1141"/>
      <c r="AR63" s="1141"/>
      <c r="AS63" s="1141"/>
      <c r="AT63" s="1141"/>
      <c r="AU63" s="1141"/>
      <c r="AV63" s="1141"/>
      <c r="AW63" s="1141"/>
      <c r="AX63" s="1141"/>
      <c r="AY63" s="1141"/>
      <c r="AZ63" s="1141"/>
      <c r="BA63" s="1141"/>
      <c r="BB63" s="1141"/>
      <c r="BC63" s="1141"/>
      <c r="BD63" s="1141"/>
      <c r="BE63" s="1141"/>
      <c r="BF63" s="1141"/>
      <c r="BG63" s="1141"/>
      <c r="BH63" s="1141"/>
      <c r="BI63" s="1141"/>
      <c r="BJ63" s="1141"/>
      <c r="BK63" s="1141"/>
      <c r="BL63" s="1141"/>
      <c r="BM63" s="1141"/>
      <c r="BN63" s="1141"/>
      <c r="BO63" s="1141"/>
      <c r="BP63" s="1141"/>
      <c r="BQ63" s="1141"/>
      <c r="BR63" s="1141"/>
      <c r="BS63" s="1141"/>
      <c r="BT63" s="1141"/>
      <c r="BU63" s="1141"/>
      <c r="BV63" s="1141"/>
      <c r="BW63" s="1141"/>
      <c r="BX63" s="984">
        <v>-2570.4339579396251</v>
      </c>
      <c r="BY63" s="984">
        <v>-1299.0440230859997</v>
      </c>
      <c r="BZ63" s="1223">
        <v>-8612</v>
      </c>
      <c r="CA63" s="984"/>
      <c r="CB63" s="877">
        <f>CA62-2730-1500-3000</f>
        <v>-2898</v>
      </c>
      <c r="CC63" s="794"/>
    </row>
    <row r="64" spans="1:82" ht="42" customHeight="1" x14ac:dyDescent="0.35">
      <c r="A64" s="787" t="s">
        <v>311</v>
      </c>
      <c r="B64" s="788"/>
      <c r="C64" s="788"/>
      <c r="D64" s="788"/>
      <c r="E64" s="788"/>
      <c r="F64" s="788"/>
      <c r="G64" s="788"/>
      <c r="H64" s="788"/>
      <c r="I64" s="788"/>
      <c r="J64" s="788"/>
      <c r="K64" s="788"/>
      <c r="L64" s="788"/>
      <c r="M64" s="788"/>
      <c r="N64" s="789">
        <v>98</v>
      </c>
      <c r="O64" s="789">
        <v>689</v>
      </c>
      <c r="P64" s="789">
        <v>-2190</v>
      </c>
      <c r="Q64" s="789">
        <v>679</v>
      </c>
      <c r="R64" s="789">
        <v>661</v>
      </c>
      <c r="S64" s="789">
        <v>1155</v>
      </c>
      <c r="T64" s="789">
        <v>-369</v>
      </c>
      <c r="U64" s="789">
        <v>460.5</v>
      </c>
      <c r="V64" s="789">
        <v>-198</v>
      </c>
      <c r="W64" s="789">
        <v>-208</v>
      </c>
      <c r="X64" s="789">
        <v>-46</v>
      </c>
      <c r="Y64" s="789">
        <v>289.2</v>
      </c>
      <c r="Z64" s="789">
        <v>20</v>
      </c>
      <c r="AA64" s="789">
        <v>200</v>
      </c>
      <c r="AB64" s="789">
        <v>50.5</v>
      </c>
      <c r="AC64" s="789">
        <v>-50</v>
      </c>
      <c r="AD64" s="789">
        <v>0</v>
      </c>
      <c r="AE64" s="789">
        <v>583</v>
      </c>
      <c r="AF64" s="789">
        <v>188</v>
      </c>
      <c r="AG64" s="789">
        <v>348.3</v>
      </c>
      <c r="AH64" s="789">
        <v>139.6</v>
      </c>
      <c r="AI64" s="789">
        <v>752.2</v>
      </c>
      <c r="AJ64" s="789">
        <v>1300</v>
      </c>
      <c r="AK64" s="859">
        <v>-152.5</v>
      </c>
      <c r="AL64" s="1141">
        <v>-1313.5</v>
      </c>
      <c r="AM64" s="1141">
        <v>-357.8</v>
      </c>
      <c r="AN64" s="1141">
        <v>-1728</v>
      </c>
      <c r="AO64" s="1141">
        <v>-2201</v>
      </c>
      <c r="AP64" s="1141">
        <v>-3354.2</v>
      </c>
      <c r="AQ64" s="1141">
        <v>-3956.3</v>
      </c>
      <c r="AR64" s="1141">
        <v>-1195</v>
      </c>
      <c r="AS64" s="1141">
        <v>-1329.7</v>
      </c>
      <c r="AT64" s="1141">
        <v>-2737.7</v>
      </c>
      <c r="AU64" s="1141">
        <v>-2046.9</v>
      </c>
      <c r="AV64" s="1141">
        <v>-1568.8</v>
      </c>
      <c r="AW64" s="1141">
        <v>-3163.5</v>
      </c>
      <c r="AX64" s="1141">
        <v>-3082.1299999999997</v>
      </c>
      <c r="AY64" s="1141">
        <v>-2431</v>
      </c>
      <c r="AZ64" s="1141">
        <v>-1668.97</v>
      </c>
      <c r="BA64" s="1141">
        <v>-1370.3799999999999</v>
      </c>
      <c r="BB64" s="1141">
        <v>-1927.6100000000001</v>
      </c>
      <c r="BC64" s="1141">
        <v>-1797.8799999999999</v>
      </c>
      <c r="BD64" s="1141">
        <v>-1932.92</v>
      </c>
      <c r="BE64" s="1141">
        <v>-2364.23</v>
      </c>
      <c r="BF64" s="1141">
        <v>-2691.4</v>
      </c>
      <c r="BG64" s="1141">
        <v>-3337.4700000000003</v>
      </c>
      <c r="BH64" s="1141">
        <v>-2452.8599999999997</v>
      </c>
      <c r="BI64" s="1141">
        <v>-3553.0400000000004</v>
      </c>
      <c r="BJ64" s="1141">
        <v>-1810.4178166917461</v>
      </c>
      <c r="BK64" s="1141">
        <v>-2843.7831373735075</v>
      </c>
      <c r="BL64" s="1141">
        <v>-3272.3022309921439</v>
      </c>
      <c r="BM64" s="1141">
        <v>-2101.5611664165344</v>
      </c>
      <c r="BN64" s="1141">
        <v>-2680.1064577729621</v>
      </c>
      <c r="BO64" s="1141">
        <v>-2494.0289130709571</v>
      </c>
      <c r="BP64" s="1141">
        <v>-2451.0996047337517</v>
      </c>
      <c r="BQ64" s="1141">
        <v>-1005.1585914403573</v>
      </c>
      <c r="BR64" s="1141">
        <v>-1739.8484822304677</v>
      </c>
      <c r="BS64" s="1141">
        <v>-1354.104743012784</v>
      </c>
      <c r="BT64" s="1141">
        <v>-1477.6948474954359</v>
      </c>
      <c r="BU64" s="1141">
        <v>-1703.9523365588987</v>
      </c>
      <c r="BV64" s="1141">
        <v>-24934.058327789546</v>
      </c>
      <c r="BW64" s="1141">
        <v>-28609.890000000003</v>
      </c>
      <c r="BX64" s="984">
        <v>-24952.400000000001</v>
      </c>
      <c r="BY64" s="984">
        <v>3379.1</v>
      </c>
      <c r="BZ64" s="1223"/>
      <c r="CA64" s="984"/>
      <c r="CB64" s="877"/>
      <c r="CC64" s="794"/>
      <c r="CD64" s="1"/>
    </row>
    <row r="65" spans="1:82" ht="41.45" customHeight="1" x14ac:dyDescent="0.35">
      <c r="A65" s="787" t="s">
        <v>220</v>
      </c>
      <c r="B65" s="788"/>
      <c r="C65" s="788"/>
      <c r="D65" s="788"/>
      <c r="E65" s="788"/>
      <c r="F65" s="788"/>
      <c r="G65" s="788"/>
      <c r="H65" s="788"/>
      <c r="I65" s="788"/>
      <c r="J65" s="788"/>
      <c r="K65" s="788"/>
      <c r="L65" s="788"/>
      <c r="M65" s="788"/>
      <c r="N65" s="789">
        <f t="shared" ref="N65:Y65" si="38">N63-N64</f>
        <v>-98</v>
      </c>
      <c r="O65" s="789">
        <f t="shared" si="38"/>
        <v>-689</v>
      </c>
      <c r="P65" s="789">
        <f t="shared" si="38"/>
        <v>2190</v>
      </c>
      <c r="Q65" s="789">
        <f t="shared" si="38"/>
        <v>-679</v>
      </c>
      <c r="R65" s="789">
        <f t="shared" si="38"/>
        <v>-661</v>
      </c>
      <c r="S65" s="789">
        <f t="shared" si="38"/>
        <v>-1155</v>
      </c>
      <c r="T65" s="789">
        <f t="shared" si="38"/>
        <v>369</v>
      </c>
      <c r="U65" s="789">
        <f t="shared" si="38"/>
        <v>-460.5</v>
      </c>
      <c r="V65" s="789">
        <f t="shared" si="38"/>
        <v>198</v>
      </c>
      <c r="W65" s="789">
        <f t="shared" si="38"/>
        <v>208</v>
      </c>
      <c r="X65" s="789">
        <f t="shared" si="38"/>
        <v>46</v>
      </c>
      <c r="Y65" s="789">
        <f t="shared" si="38"/>
        <v>-289.2</v>
      </c>
      <c r="Z65" s="789">
        <f>Z63-Z64</f>
        <v>-509.17432775000003</v>
      </c>
      <c r="AA65" s="789">
        <f>AA63-AA64</f>
        <v>-357.90361742499999</v>
      </c>
      <c r="AB65" s="789">
        <f>AB63-AB64</f>
        <v>-628.78149999999994</v>
      </c>
      <c r="AC65" s="789">
        <f>AC63-AC64</f>
        <v>-86.536998985000025</v>
      </c>
      <c r="AD65" s="789">
        <f t="shared" ref="AD65:AJ65" si="39">AD63-AD64</f>
        <v>-440.56386788599997</v>
      </c>
      <c r="AE65" s="789">
        <f t="shared" si="39"/>
        <v>-633.59527215000003</v>
      </c>
      <c r="AF65" s="789">
        <f>AF63-AF64</f>
        <v>-197.66842775000001</v>
      </c>
      <c r="AG65" s="789">
        <f t="shared" si="39"/>
        <v>-284.11145441000002</v>
      </c>
      <c r="AH65" s="789">
        <f>AH63-AH64</f>
        <v>-520.24792730000001</v>
      </c>
      <c r="AI65" s="789">
        <f t="shared" si="39"/>
        <v>90.55207269999994</v>
      </c>
      <c r="AJ65" s="789">
        <f t="shared" si="39"/>
        <v>-958.1</v>
      </c>
      <c r="AK65" s="940">
        <f>AK63-AK64</f>
        <v>40.087297869999986</v>
      </c>
      <c r="AL65" s="1132">
        <v>-126.02308644999994</v>
      </c>
      <c r="AM65" s="1132">
        <v>-773.1108714896252</v>
      </c>
      <c r="AN65" s="1132"/>
      <c r="AO65" s="1132"/>
      <c r="AP65" s="1132"/>
      <c r="AQ65" s="1132"/>
      <c r="AR65" s="1132"/>
      <c r="AS65" s="1132"/>
      <c r="AT65" s="1132"/>
      <c r="AU65" s="1132"/>
      <c r="AV65" s="1132"/>
      <c r="AW65" s="1132"/>
      <c r="AX65" s="984"/>
      <c r="AY65" s="984"/>
      <c r="AZ65" s="984"/>
      <c r="BA65" s="984"/>
      <c r="BB65" s="984"/>
      <c r="BC65" s="984"/>
      <c r="BD65" s="984"/>
      <c r="BE65" s="984"/>
      <c r="BF65" s="984"/>
      <c r="BG65" s="984"/>
      <c r="BH65" s="984"/>
      <c r="BI65" s="984"/>
      <c r="BJ65" s="984"/>
      <c r="BK65" s="984"/>
      <c r="BL65" s="984"/>
      <c r="BM65" s="984"/>
      <c r="BN65" s="984"/>
      <c r="BO65" s="984"/>
      <c r="BP65" s="984"/>
      <c r="BQ65" s="984"/>
      <c r="BR65" s="984"/>
      <c r="BS65" s="984"/>
      <c r="BT65" s="984"/>
      <c r="BU65" s="984"/>
      <c r="BV65" s="984"/>
      <c r="BW65" s="984"/>
      <c r="BX65" s="984">
        <v>-899.13395793962513</v>
      </c>
      <c r="BY65" s="984">
        <v>-4678.1440230859989</v>
      </c>
      <c r="BZ65" s="1223"/>
      <c r="CA65" s="984"/>
      <c r="CB65" s="877"/>
      <c r="CC65" s="794"/>
    </row>
    <row r="66" spans="1:82" ht="36" customHeight="1" x14ac:dyDescent="0.35">
      <c r="A66" s="801" t="s">
        <v>100</v>
      </c>
      <c r="B66" s="802">
        <v>-68</v>
      </c>
      <c r="C66" s="802">
        <v>-248</v>
      </c>
      <c r="D66" s="802">
        <v>645</v>
      </c>
      <c r="E66" s="802">
        <v>-46</v>
      </c>
      <c r="F66" s="802">
        <v>-749</v>
      </c>
      <c r="G66" s="802">
        <v>1210</v>
      </c>
      <c r="H66" s="802">
        <v>1292</v>
      </c>
      <c r="I66" s="802">
        <v>69</v>
      </c>
      <c r="J66" s="802">
        <v>93</v>
      </c>
      <c r="K66" s="802">
        <v>-109</v>
      </c>
      <c r="L66" s="802">
        <v>601</v>
      </c>
      <c r="M66" s="802">
        <v>3290</v>
      </c>
      <c r="N66" s="803">
        <f t="shared" ref="N66:Y66" si="40">N67-N68</f>
        <v>0</v>
      </c>
      <c r="O66" s="803">
        <f>O67-O68</f>
        <v>0</v>
      </c>
      <c r="P66" s="803">
        <f t="shared" si="40"/>
        <v>0</v>
      </c>
      <c r="Q66" s="803">
        <f t="shared" si="40"/>
        <v>0</v>
      </c>
      <c r="R66" s="803">
        <f t="shared" si="40"/>
        <v>0</v>
      </c>
      <c r="S66" s="803">
        <f t="shared" si="40"/>
        <v>0</v>
      </c>
      <c r="T66" s="803">
        <f t="shared" si="40"/>
        <v>0</v>
      </c>
      <c r="U66" s="803">
        <f>U67-U68</f>
        <v>0</v>
      </c>
      <c r="V66" s="803">
        <f t="shared" si="40"/>
        <v>0</v>
      </c>
      <c r="W66" s="803">
        <f t="shared" si="40"/>
        <v>0</v>
      </c>
      <c r="X66" s="803">
        <f t="shared" si="40"/>
        <v>0</v>
      </c>
      <c r="Y66" s="803">
        <f t="shared" si="40"/>
        <v>0</v>
      </c>
      <c r="Z66" s="803"/>
      <c r="AA66" s="803"/>
      <c r="AB66" s="803"/>
      <c r="AC66" s="803"/>
      <c r="AD66" s="803"/>
      <c r="AE66" s="803"/>
      <c r="AF66" s="803"/>
      <c r="AG66" s="803"/>
      <c r="AH66" s="803"/>
      <c r="AI66" s="803"/>
      <c r="AJ66" s="1131"/>
      <c r="AK66" s="1136"/>
      <c r="AL66" s="1137"/>
      <c r="AM66" s="1137"/>
      <c r="AN66" s="1138"/>
      <c r="AO66" s="1138"/>
      <c r="AP66" s="1138"/>
      <c r="AQ66" s="1138"/>
      <c r="AR66" s="1138"/>
      <c r="AS66" s="1138"/>
      <c r="AT66" s="1138"/>
      <c r="AU66" s="1138"/>
      <c r="AV66" s="1138"/>
      <c r="AW66" s="1138"/>
      <c r="AX66" s="1137"/>
      <c r="AY66" s="1137"/>
      <c r="AZ66" s="1137"/>
      <c r="BA66" s="1"/>
      <c r="BB66" s="1"/>
      <c r="BC66" s="1"/>
      <c r="BD66" s="1"/>
      <c r="BE66" s="1"/>
      <c r="BF66" s="1"/>
      <c r="BG66" s="1"/>
      <c r="BH66" s="1"/>
      <c r="BI66" s="1"/>
      <c r="BJ66" s="1137"/>
      <c r="BK66" s="1137"/>
      <c r="BL66" s="1137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CA66" s="983"/>
      <c r="CB66" s="892"/>
      <c r="CC66" s="786"/>
    </row>
    <row r="67" spans="1:82" x14ac:dyDescent="0.35">
      <c r="A67" s="804" t="s">
        <v>101</v>
      </c>
      <c r="B67" s="805">
        <v>-68</v>
      </c>
      <c r="C67" s="805">
        <v>-607</v>
      </c>
      <c r="D67" s="805">
        <v>485</v>
      </c>
      <c r="E67" s="805">
        <v>-46</v>
      </c>
      <c r="F67" s="805">
        <v>-1105</v>
      </c>
      <c r="G67" s="805">
        <v>1052</v>
      </c>
      <c r="H67" s="805">
        <v>1292</v>
      </c>
      <c r="I67" s="805">
        <v>69</v>
      </c>
      <c r="J67" s="805">
        <v>-468</v>
      </c>
      <c r="K67" s="805">
        <v>-109</v>
      </c>
      <c r="L67" s="805">
        <v>601</v>
      </c>
      <c r="M67" s="805">
        <v>3290</v>
      </c>
      <c r="N67" s="806"/>
      <c r="O67" s="806"/>
      <c r="P67" s="806"/>
      <c r="Q67" s="806"/>
      <c r="R67" s="806"/>
      <c r="S67" s="806"/>
      <c r="T67" s="806"/>
      <c r="U67" s="806"/>
      <c r="V67" s="806"/>
      <c r="W67" s="806"/>
      <c r="X67" s="806"/>
      <c r="Y67" s="806"/>
      <c r="Z67" s="807"/>
      <c r="AA67" s="807"/>
      <c r="AB67" s="807"/>
      <c r="AC67" s="806"/>
      <c r="AD67" s="806"/>
      <c r="AE67" s="806"/>
      <c r="AF67" s="806"/>
      <c r="AG67" s="806"/>
      <c r="AH67" s="806"/>
      <c r="AI67" s="806"/>
      <c r="AJ67" s="806"/>
      <c r="AK67" s="1133"/>
      <c r="AL67" s="1134"/>
      <c r="AM67" s="1135"/>
      <c r="AN67" s="1135"/>
      <c r="AO67" s="1135"/>
      <c r="AP67" s="1135"/>
      <c r="AQ67" s="1135"/>
      <c r="AR67" s="1135"/>
      <c r="AS67" s="1139"/>
      <c r="AT67" s="1142"/>
      <c r="AU67" s="1135"/>
      <c r="AV67" s="1135"/>
      <c r="AW67" s="1135"/>
      <c r="AX67" s="1135"/>
      <c r="AY67" s="1135"/>
      <c r="AZ67" s="1135"/>
      <c r="BA67" s="873"/>
      <c r="BB67" s="873"/>
      <c r="BC67" s="873"/>
      <c r="BD67" s="873"/>
      <c r="BE67" s="873"/>
      <c r="BF67" s="873"/>
      <c r="BG67" s="873"/>
      <c r="BH67" s="873"/>
      <c r="BI67" s="873"/>
      <c r="BJ67" s="1135"/>
      <c r="BK67" s="1135"/>
      <c r="BL67" s="1135"/>
      <c r="BM67" s="873"/>
      <c r="BN67" s="873"/>
      <c r="BO67" s="873"/>
      <c r="BP67" s="873"/>
      <c r="BQ67" s="873"/>
      <c r="BR67" s="873"/>
      <c r="BS67" s="873"/>
      <c r="BT67" s="873"/>
      <c r="BU67" s="873"/>
      <c r="BV67" s="873"/>
      <c r="BW67" s="873"/>
      <c r="BX67" s="873"/>
      <c r="BY67" s="1192"/>
      <c r="BZ67" s="1192"/>
      <c r="CA67" s="898"/>
      <c r="CB67" s="892"/>
      <c r="CC67" s="786"/>
    </row>
    <row r="68" spans="1:82" x14ac:dyDescent="0.35">
      <c r="A68" s="804" t="s">
        <v>102</v>
      </c>
      <c r="B68" s="805">
        <v>0</v>
      </c>
      <c r="C68" s="805">
        <v>-359</v>
      </c>
      <c r="D68" s="805">
        <v>-160</v>
      </c>
      <c r="E68" s="805">
        <v>0</v>
      </c>
      <c r="F68" s="805">
        <v>-356</v>
      </c>
      <c r="G68" s="805">
        <v>-158</v>
      </c>
      <c r="H68" s="805">
        <v>0</v>
      </c>
      <c r="I68" s="805">
        <v>0</v>
      </c>
      <c r="J68" s="805">
        <v>-561</v>
      </c>
      <c r="K68" s="805">
        <v>0</v>
      </c>
      <c r="L68" s="805">
        <v>0</v>
      </c>
      <c r="M68" s="805">
        <v>0</v>
      </c>
      <c r="N68" s="808"/>
      <c r="O68" s="808"/>
      <c r="P68" s="808"/>
      <c r="Q68" s="808"/>
      <c r="R68" s="808"/>
      <c r="S68" s="808"/>
      <c r="T68" s="808"/>
      <c r="U68" s="808"/>
      <c r="V68" s="808"/>
      <c r="W68" s="808"/>
      <c r="X68" s="808"/>
      <c r="Y68" s="808"/>
      <c r="Z68" s="808"/>
      <c r="AA68" s="808"/>
      <c r="AB68" s="808"/>
      <c r="AC68" s="808"/>
      <c r="AD68" s="808"/>
      <c r="AE68" s="808"/>
      <c r="AF68" s="808"/>
      <c r="AG68" s="808"/>
      <c r="AH68" s="808"/>
      <c r="AI68" s="808"/>
      <c r="AJ68" s="808"/>
      <c r="AK68" s="1038"/>
      <c r="AL68" s="1014">
        <v>0</v>
      </c>
      <c r="AM68" s="874">
        <v>-138</v>
      </c>
      <c r="AN68" s="874">
        <v>737</v>
      </c>
      <c r="AO68" s="874">
        <v>-84</v>
      </c>
      <c r="AP68" s="874">
        <v>0</v>
      </c>
      <c r="AQ68" s="874">
        <v>-166</v>
      </c>
      <c r="AR68" s="874">
        <v>0</v>
      </c>
      <c r="AS68" s="918">
        <v>-130</v>
      </c>
      <c r="AT68" s="874">
        <v>-625</v>
      </c>
      <c r="AU68" s="874">
        <v>1204</v>
      </c>
      <c r="AV68" s="874">
        <v>0</v>
      </c>
      <c r="AW68" s="874">
        <v>-166</v>
      </c>
      <c r="AX68" s="874"/>
      <c r="AY68" s="874"/>
      <c r="AZ68" s="874"/>
      <c r="BA68" s="874"/>
      <c r="BB68" s="874"/>
      <c r="BC68" s="874"/>
      <c r="BD68" s="874"/>
      <c r="BE68" s="874"/>
      <c r="BF68" s="874"/>
      <c r="BG68" s="874"/>
      <c r="BH68" s="874"/>
      <c r="BI68" s="874"/>
      <c r="BJ68" s="874"/>
      <c r="BK68" s="874"/>
      <c r="BL68" s="874"/>
      <c r="BM68" s="874"/>
      <c r="BN68" s="874"/>
      <c r="BO68" s="874"/>
      <c r="BP68" s="874"/>
      <c r="BQ68" s="874"/>
      <c r="BR68" s="874"/>
      <c r="BS68" s="874"/>
      <c r="BT68" s="874"/>
      <c r="BU68" s="874"/>
      <c r="BV68" s="874"/>
      <c r="BW68" s="874"/>
      <c r="BX68" s="874"/>
      <c r="BY68" s="1014"/>
      <c r="BZ68" s="1014"/>
      <c r="CA68" s="899"/>
      <c r="CB68" s="892"/>
      <c r="CC68" s="786"/>
    </row>
    <row r="69" spans="1:82" ht="30" x14ac:dyDescent="0.35">
      <c r="A69" s="804" t="s">
        <v>286</v>
      </c>
      <c r="B69" s="805"/>
      <c r="C69" s="805"/>
      <c r="D69" s="805"/>
      <c r="E69" s="805"/>
      <c r="F69" s="805"/>
      <c r="G69" s="805"/>
      <c r="H69" s="805"/>
      <c r="I69" s="805"/>
      <c r="J69" s="805"/>
      <c r="K69" s="805"/>
      <c r="L69" s="805"/>
      <c r="M69" s="805"/>
      <c r="N69" s="808"/>
      <c r="O69" s="808"/>
      <c r="P69" s="808"/>
      <c r="Q69" s="808"/>
      <c r="R69" s="808"/>
      <c r="S69" s="808"/>
      <c r="T69" s="808"/>
      <c r="U69" s="808"/>
      <c r="V69" s="808"/>
      <c r="W69" s="808"/>
      <c r="X69" s="917"/>
      <c r="Y69" s="917"/>
      <c r="Z69" s="917">
        <f t="shared" ref="Z69:AH69" si="41">Z52-Z45-Z48</f>
        <v>-264.11701204466732</v>
      </c>
      <c r="AA69" s="917">
        <f t="shared" si="41"/>
        <v>-279.42144676079999</v>
      </c>
      <c r="AB69" s="917">
        <f t="shared" si="41"/>
        <v>-951.1222736259557</v>
      </c>
      <c r="AC69" s="917">
        <f t="shared" si="41"/>
        <v>-432.41380857035443</v>
      </c>
      <c r="AD69" s="917">
        <f t="shared" si="41"/>
        <v>-407.74597429400478</v>
      </c>
      <c r="AE69" s="917">
        <f t="shared" si="41"/>
        <v>-495.45595699025569</v>
      </c>
      <c r="AF69" s="917">
        <f t="shared" si="41"/>
        <v>-256.93143922253057</v>
      </c>
      <c r="AG69" s="917">
        <f t="shared" si="41"/>
        <v>-126.99857643179998</v>
      </c>
      <c r="AH69" s="917">
        <f t="shared" si="41"/>
        <v>-2829.3339929218864</v>
      </c>
      <c r="AI69" s="917">
        <f>AI52-AI45-AI48</f>
        <v>26.651803174961238</v>
      </c>
      <c r="AJ69" s="917">
        <f>AJ52-AJ45-AJ48</f>
        <v>-320.97455300308843</v>
      </c>
      <c r="AK69" s="1039">
        <f>AK52-AK45-AK48</f>
        <v>21.898098121051333</v>
      </c>
      <c r="AL69" s="1015"/>
      <c r="AM69" s="918"/>
      <c r="AN69" s="918"/>
      <c r="AO69" s="918"/>
      <c r="AP69" s="918"/>
      <c r="AQ69" s="918"/>
      <c r="AR69" s="918"/>
      <c r="AS69" s="1140"/>
      <c r="AT69" s="918"/>
      <c r="AU69" s="918"/>
      <c r="AV69" s="918"/>
      <c r="AW69" s="918"/>
      <c r="AX69" s="918"/>
      <c r="AY69" s="918"/>
      <c r="AZ69" s="918"/>
      <c r="BA69" s="918"/>
      <c r="BB69" s="918"/>
      <c r="BC69" s="918"/>
      <c r="BD69" s="918"/>
      <c r="BE69" s="918"/>
      <c r="BF69" s="918"/>
      <c r="BG69" s="918"/>
      <c r="BH69" s="918"/>
      <c r="BI69" s="918"/>
      <c r="BJ69" s="918"/>
      <c r="BK69" s="918"/>
      <c r="BL69" s="918"/>
      <c r="BM69" s="918"/>
      <c r="BN69" s="918"/>
      <c r="BO69" s="918"/>
      <c r="BP69" s="918"/>
      <c r="BQ69" s="918"/>
      <c r="BR69" s="918"/>
      <c r="BS69" s="918"/>
      <c r="BT69" s="918"/>
      <c r="BU69" s="918"/>
      <c r="BV69" s="918"/>
      <c r="BW69" s="918"/>
      <c r="BX69" s="918"/>
      <c r="BY69" s="1015">
        <v>-6016.8886776872941</v>
      </c>
      <c r="BZ69" s="1015"/>
      <c r="CA69" s="900"/>
      <c r="CB69" s="892"/>
      <c r="CC69" s="786"/>
    </row>
    <row r="70" spans="1:82" x14ac:dyDescent="0.35">
      <c r="A70" s="804"/>
      <c r="B70" s="805"/>
      <c r="C70" s="805"/>
      <c r="D70" s="805"/>
      <c r="E70" s="805"/>
      <c r="F70" s="805"/>
      <c r="G70" s="805"/>
      <c r="H70" s="805"/>
      <c r="I70" s="805"/>
      <c r="J70" s="805"/>
      <c r="K70" s="805"/>
      <c r="L70" s="805"/>
      <c r="M70" s="805"/>
      <c r="N70" s="809"/>
      <c r="O70" s="809"/>
      <c r="P70" s="809"/>
      <c r="Q70" s="809"/>
      <c r="R70" s="809"/>
      <c r="S70" s="809"/>
      <c r="T70" s="809"/>
      <c r="U70" s="809"/>
      <c r="V70" s="808"/>
      <c r="W70" s="808"/>
      <c r="X70" s="808"/>
      <c r="Y70" s="808"/>
      <c r="Z70" s="808"/>
      <c r="AA70" s="808"/>
      <c r="AB70" s="808"/>
      <c r="AC70" s="808"/>
      <c r="AD70" s="808"/>
      <c r="AE70" s="808"/>
      <c r="AF70" s="808"/>
      <c r="AG70" s="808"/>
      <c r="AH70" s="808"/>
      <c r="AI70" s="808"/>
      <c r="AJ70" s="808"/>
      <c r="AK70" s="1040"/>
      <c r="AL70" s="1016"/>
      <c r="AM70" s="985"/>
      <c r="AN70" s="985"/>
      <c r="AO70" s="985"/>
      <c r="AP70" s="985"/>
      <c r="AQ70" s="985"/>
      <c r="AR70" s="985"/>
      <c r="AS70" s="985"/>
      <c r="AT70" s="985"/>
      <c r="AU70" s="985"/>
      <c r="AV70" s="985"/>
      <c r="AW70" s="985"/>
      <c r="AX70" s="985"/>
      <c r="AY70" s="985"/>
      <c r="AZ70" s="985"/>
      <c r="BA70" s="985"/>
      <c r="BB70" s="985"/>
      <c r="BC70" s="985"/>
      <c r="BD70" s="985"/>
      <c r="BE70" s="985"/>
      <c r="BF70" s="985"/>
      <c r="BG70" s="985"/>
      <c r="BH70" s="985"/>
      <c r="BI70" s="985"/>
      <c r="BJ70" s="985"/>
      <c r="BK70" s="985"/>
      <c r="BL70" s="985"/>
      <c r="BM70" s="985"/>
      <c r="BN70" s="985"/>
      <c r="BO70" s="985"/>
      <c r="BP70" s="985"/>
      <c r="BQ70" s="985"/>
      <c r="BR70" s="985"/>
      <c r="BS70" s="985"/>
      <c r="BT70" s="985"/>
      <c r="BU70" s="985"/>
      <c r="BV70" s="985"/>
      <c r="BW70" s="985"/>
      <c r="BX70" s="985"/>
      <c r="BY70" s="1016"/>
      <c r="BZ70" s="1016"/>
      <c r="CA70" s="901"/>
      <c r="CB70" s="892"/>
      <c r="CC70" s="786"/>
    </row>
    <row r="71" spans="1:82" ht="127.5" customHeight="1" x14ac:dyDescent="0.35">
      <c r="A71" s="684"/>
      <c r="B71" s="689"/>
      <c r="C71" s="689"/>
      <c r="D71" s="689"/>
      <c r="E71" s="689"/>
      <c r="F71" s="689"/>
      <c r="G71" s="689"/>
      <c r="H71" s="689"/>
      <c r="I71" s="689"/>
      <c r="J71" s="689"/>
      <c r="K71" s="689"/>
      <c r="L71" s="689"/>
      <c r="M71" s="782" t="s">
        <v>172</v>
      </c>
      <c r="N71" s="783">
        <f>26293</f>
        <v>26293</v>
      </c>
      <c r="O71" s="783">
        <v>27042</v>
      </c>
      <c r="P71" s="783">
        <v>24924</v>
      </c>
      <c r="Q71" s="783">
        <v>25695</v>
      </c>
      <c r="R71" s="783">
        <v>25374</v>
      </c>
      <c r="S71" s="783">
        <v>28515</v>
      </c>
      <c r="T71" s="783">
        <v>28802</v>
      </c>
      <c r="U71" s="783">
        <v>29050</v>
      </c>
      <c r="V71" s="783">
        <v>26526</v>
      </c>
      <c r="W71" s="783">
        <v>26140</v>
      </c>
      <c r="X71" s="783">
        <v>26136</v>
      </c>
      <c r="Y71" s="784">
        <v>29133</v>
      </c>
      <c r="Z71" s="785">
        <v>28821</v>
      </c>
      <c r="AA71" s="785">
        <v>28543</v>
      </c>
      <c r="AB71" s="785">
        <v>27035</v>
      </c>
      <c r="AC71" s="785">
        <v>28000</v>
      </c>
      <c r="AD71" s="785">
        <v>27840</v>
      </c>
      <c r="AE71" s="785">
        <v>28357.7</v>
      </c>
      <c r="AF71" s="785">
        <v>28951</v>
      </c>
      <c r="AG71" s="785">
        <v>31614</v>
      </c>
      <c r="AH71" s="785">
        <v>28706</v>
      </c>
      <c r="AI71" s="785">
        <v>29654</v>
      </c>
      <c r="AJ71" s="785">
        <v>30598</v>
      </c>
      <c r="AK71" s="1041">
        <f>AJ71+AK64+(AK59-AJ59)</f>
        <v>30445.5</v>
      </c>
      <c r="AL71" s="1017">
        <v>29086.959999999999</v>
      </c>
      <c r="AM71" s="986">
        <v>27552.86</v>
      </c>
      <c r="AN71" s="986">
        <v>28107.45</v>
      </c>
      <c r="AO71" s="986">
        <v>26945</v>
      </c>
      <c r="AP71" s="986">
        <v>25102</v>
      </c>
      <c r="AQ71" s="986">
        <v>22802</v>
      </c>
      <c r="AR71" s="986">
        <v>22387</v>
      </c>
      <c r="AS71" s="986">
        <v>25439</v>
      </c>
      <c r="AT71" s="986">
        <v>23932</v>
      </c>
      <c r="AU71" s="986">
        <v>25246</v>
      </c>
      <c r="AV71" s="986">
        <v>27955</v>
      </c>
      <c r="AW71" s="986">
        <v>28494</v>
      </c>
      <c r="AX71" s="986">
        <v>29928.21</v>
      </c>
      <c r="AY71" s="986">
        <v>28869.64</v>
      </c>
      <c r="AZ71" s="986">
        <v>31886.73</v>
      </c>
      <c r="BA71" s="986">
        <v>35952.519999999997</v>
      </c>
      <c r="BB71" s="986">
        <v>37321.43</v>
      </c>
      <c r="BC71" s="986">
        <v>39026.550000000003</v>
      </c>
      <c r="BD71" s="986">
        <v>41737.550000000003</v>
      </c>
      <c r="BE71" s="986">
        <v>40405.199999999997</v>
      </c>
      <c r="BF71" s="986">
        <v>39722.78</v>
      </c>
      <c r="BG71" s="986">
        <v>38987.199999999997</v>
      </c>
      <c r="BH71" s="986">
        <v>38796.050000000003</v>
      </c>
      <c r="BI71" s="986">
        <v>40507.879999999997</v>
      </c>
      <c r="BJ71" s="986">
        <v>40476.03966148934</v>
      </c>
      <c r="BK71" s="986">
        <v>40115.575738322943</v>
      </c>
      <c r="BL71" s="986">
        <v>40715.730761703926</v>
      </c>
      <c r="BM71" s="986">
        <v>41185.360040052066</v>
      </c>
      <c r="BN71" s="986">
        <v>41608.990048832762</v>
      </c>
      <c r="BO71" s="986">
        <v>43367.459668451032</v>
      </c>
      <c r="BP71" s="986">
        <v>44347.112255007996</v>
      </c>
      <c r="BQ71" s="986">
        <v>46004.944938139983</v>
      </c>
      <c r="BR71" s="986">
        <v>48077.894953228642</v>
      </c>
      <c r="BS71" s="986">
        <v>49289.358093112874</v>
      </c>
      <c r="BT71" s="986">
        <v>50644.640903678286</v>
      </c>
      <c r="BU71" s="986">
        <v>53443.283275895672</v>
      </c>
      <c r="BV71" s="986">
        <v>53443.283275895672</v>
      </c>
      <c r="BW71" s="986">
        <v>40507.879999999997</v>
      </c>
      <c r="BX71" s="986">
        <v>28494</v>
      </c>
      <c r="BY71" s="1193">
        <v>30445.5</v>
      </c>
      <c r="BZ71" s="1193" t="s">
        <v>259</v>
      </c>
      <c r="CA71" s="1161"/>
      <c r="CB71" s="893" t="s">
        <v>259</v>
      </c>
      <c r="CC71" s="690"/>
    </row>
    <row r="72" spans="1:82" ht="4.3499999999999996" hidden="1" customHeight="1" x14ac:dyDescent="0.35">
      <c r="A72" s="684"/>
      <c r="B72" s="689"/>
      <c r="C72" s="689"/>
      <c r="D72" s="689"/>
      <c r="E72" s="689"/>
      <c r="F72" s="689"/>
      <c r="G72" s="689"/>
      <c r="H72" s="689"/>
      <c r="I72" s="689"/>
      <c r="J72" s="689"/>
      <c r="K72" s="689"/>
      <c r="L72" s="689"/>
      <c r="M72" s="691" t="s">
        <v>138</v>
      </c>
      <c r="N72" s="1452" t="s">
        <v>137</v>
      </c>
      <c r="O72" s="1452"/>
      <c r="P72" s="1452"/>
      <c r="Q72" s="1452"/>
      <c r="R72" s="1158"/>
      <c r="S72" s="1158"/>
      <c r="T72" s="1158"/>
      <c r="U72" s="1158"/>
      <c r="V72" s="1158"/>
      <c r="W72" s="1158"/>
      <c r="X72" s="1158"/>
      <c r="Y72" s="692"/>
      <c r="Z72" s="693"/>
      <c r="AA72" s="694"/>
      <c r="AB72" s="1158"/>
      <c r="AC72" s="1158"/>
      <c r="AD72" s="1158"/>
      <c r="AE72" s="1158"/>
      <c r="AF72" s="1158"/>
      <c r="AG72" s="1158"/>
      <c r="AH72" s="1158"/>
      <c r="AI72" s="1158"/>
      <c r="AJ72" s="1158"/>
      <c r="AK72" s="1042"/>
      <c r="BZ72">
        <v>0</v>
      </c>
      <c r="CA72" s="902" t="s">
        <v>141</v>
      </c>
      <c r="CB72" s="694">
        <f>SUM(R72:Y72)</f>
        <v>0</v>
      </c>
      <c r="CC72" s="1453" t="s">
        <v>141</v>
      </c>
      <c r="CD72" s="209"/>
    </row>
    <row r="73" spans="1:82" ht="4.3499999999999996" hidden="1" customHeight="1" x14ac:dyDescent="0.35">
      <c r="A73" s="684"/>
      <c r="B73" s="689"/>
      <c r="C73" s="689"/>
      <c r="D73" s="689"/>
      <c r="E73" s="689"/>
      <c r="F73" s="689"/>
      <c r="G73" s="689"/>
      <c r="H73" s="689"/>
      <c r="I73" s="689"/>
      <c r="J73" s="689"/>
      <c r="K73" s="689"/>
      <c r="L73" s="689"/>
      <c r="M73" s="695" t="s">
        <v>139</v>
      </c>
      <c r="N73" s="1452"/>
      <c r="O73" s="1452"/>
      <c r="P73" s="1452"/>
      <c r="Q73" s="1452"/>
      <c r="R73" s="1158"/>
      <c r="S73" s="1158"/>
      <c r="T73" s="1158"/>
      <c r="U73" s="1158"/>
      <c r="V73" s="1158"/>
      <c r="W73" s="1158"/>
      <c r="X73" s="1158"/>
      <c r="Y73" s="692"/>
      <c r="Z73" s="693"/>
      <c r="AA73" s="694"/>
      <c r="AB73" s="1158"/>
      <c r="AC73" s="1158"/>
      <c r="AD73" s="1158"/>
      <c r="AE73" s="1158"/>
      <c r="AF73" s="1158"/>
      <c r="AG73" s="1158"/>
      <c r="AH73" s="1158"/>
      <c r="AI73" s="1158"/>
      <c r="AJ73" s="1158"/>
      <c r="AK73" s="1043"/>
      <c r="BZ73">
        <v>0</v>
      </c>
      <c r="CA73" s="902"/>
      <c r="CB73" s="694">
        <f>SUM(R73:Y73)</f>
        <v>0</v>
      </c>
      <c r="CC73" s="1453"/>
    </row>
    <row r="74" spans="1:82" ht="4.3499999999999996" hidden="1" customHeight="1" x14ac:dyDescent="0.35">
      <c r="A74" s="684"/>
      <c r="B74" s="689"/>
      <c r="C74" s="689"/>
      <c r="D74" s="689"/>
      <c r="E74" s="689"/>
      <c r="F74" s="689"/>
      <c r="G74" s="689"/>
      <c r="H74" s="689"/>
      <c r="I74" s="689"/>
      <c r="J74" s="689"/>
      <c r="K74" s="689"/>
      <c r="L74" s="689"/>
      <c r="M74" s="696" t="s">
        <v>140</v>
      </c>
      <c r="N74" s="1452"/>
      <c r="O74" s="1452"/>
      <c r="P74" s="1452"/>
      <c r="Q74" s="1452"/>
      <c r="R74" s="697"/>
      <c r="S74" s="697"/>
      <c r="T74" s="697"/>
      <c r="U74" s="697"/>
      <c r="V74" s="697"/>
      <c r="W74" s="697"/>
      <c r="X74" s="697"/>
      <c r="Y74" s="698"/>
      <c r="Z74" s="699"/>
      <c r="AA74" s="687"/>
      <c r="AB74" s="697"/>
      <c r="AC74" s="697"/>
      <c r="AD74" s="697"/>
      <c r="AE74" s="697"/>
      <c r="AF74" s="697"/>
      <c r="AG74" s="697"/>
      <c r="AH74" s="697"/>
      <c r="AI74" s="697"/>
      <c r="AJ74" s="697"/>
      <c r="AK74" s="1044"/>
      <c r="BZ74">
        <v>0</v>
      </c>
      <c r="CA74" s="903"/>
      <c r="CB74" s="694">
        <f>SUM(N74:Y74)</f>
        <v>0</v>
      </c>
      <c r="CC74" s="700"/>
    </row>
    <row r="75" spans="1:82" ht="4.3499999999999996" hidden="1" customHeight="1" x14ac:dyDescent="0.35">
      <c r="A75" s="684"/>
      <c r="B75" s="689"/>
      <c r="C75" s="689"/>
      <c r="D75" s="689"/>
      <c r="E75" s="689"/>
      <c r="F75" s="689"/>
      <c r="G75" s="689"/>
      <c r="H75" s="689"/>
      <c r="I75" s="689"/>
      <c r="J75" s="689"/>
      <c r="K75" s="689"/>
      <c r="L75" s="689"/>
      <c r="M75" s="696" t="s">
        <v>142</v>
      </c>
      <c r="N75" s="1452"/>
      <c r="O75" s="1452"/>
      <c r="P75" s="1452"/>
      <c r="Q75" s="1452"/>
      <c r="R75" s="697"/>
      <c r="S75" s="697"/>
      <c r="T75" s="697"/>
      <c r="U75" s="697"/>
      <c r="V75" s="697"/>
      <c r="W75" s="697"/>
      <c r="X75" s="697"/>
      <c r="Y75" s="698"/>
      <c r="Z75" s="699"/>
      <c r="AA75" s="687"/>
      <c r="AB75" s="697"/>
      <c r="AC75" s="697"/>
      <c r="AD75" s="697"/>
      <c r="AE75" s="697"/>
      <c r="AF75" s="697"/>
      <c r="AG75" s="697"/>
      <c r="AH75" s="697"/>
      <c r="AI75" s="697"/>
      <c r="AJ75" s="697"/>
      <c r="AK75" s="1044"/>
      <c r="BZ75">
        <v>0</v>
      </c>
      <c r="CA75" s="903"/>
      <c r="CB75" s="694">
        <f>SUM(N75:Y75)</f>
        <v>0</v>
      </c>
      <c r="CC75" s="701"/>
    </row>
    <row r="76" spans="1:82" ht="4.3499999999999996" hidden="1" customHeight="1" x14ac:dyDescent="0.35">
      <c r="A76" s="684"/>
      <c r="B76" s="689"/>
      <c r="C76" s="689"/>
      <c r="D76" s="689"/>
      <c r="E76" s="689"/>
      <c r="F76" s="689"/>
      <c r="G76" s="689"/>
      <c r="H76" s="689"/>
      <c r="I76" s="689"/>
      <c r="J76" s="689"/>
      <c r="K76" s="689"/>
      <c r="L76" s="689"/>
      <c r="M76" s="696" t="s">
        <v>143</v>
      </c>
      <c r="N76" s="702"/>
      <c r="O76" s="697"/>
      <c r="P76" s="697"/>
      <c r="Q76" s="697"/>
      <c r="R76" s="703"/>
      <c r="S76" s="703"/>
      <c r="T76" s="703"/>
      <c r="U76" s="703"/>
      <c r="V76" s="703"/>
      <c r="W76" s="703"/>
      <c r="X76" s="703"/>
      <c r="Y76" s="704"/>
      <c r="Z76" s="705"/>
      <c r="AA76" s="706"/>
      <c r="AB76" s="703"/>
      <c r="AC76" s="703"/>
      <c r="AD76" s="703"/>
      <c r="AE76" s="703"/>
      <c r="AF76" s="703"/>
      <c r="AG76" s="703"/>
      <c r="AH76" s="703"/>
      <c r="AI76" s="703"/>
      <c r="AJ76" s="703"/>
      <c r="AK76" s="1045"/>
      <c r="CA76" s="904"/>
      <c r="CB76" s="694"/>
      <c r="CC76" s="686"/>
    </row>
    <row r="77" spans="1:82" ht="4.3499999999999996" hidden="1" customHeight="1" x14ac:dyDescent="0.35">
      <c r="A77" s="684"/>
      <c r="B77" s="689"/>
      <c r="C77" s="689"/>
      <c r="D77" s="689"/>
      <c r="E77" s="689"/>
      <c r="F77" s="689"/>
      <c r="G77" s="689"/>
      <c r="H77" s="689"/>
      <c r="I77" s="689"/>
      <c r="J77" s="689"/>
      <c r="K77" s="689"/>
      <c r="L77" s="689"/>
      <c r="M77" s="707" t="s">
        <v>144</v>
      </c>
      <c r="N77" s="708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10"/>
      <c r="Z77" s="711"/>
      <c r="AA77" s="712"/>
      <c r="AB77" s="709"/>
      <c r="AC77" s="709"/>
      <c r="AD77" s="709"/>
      <c r="AE77" s="709"/>
      <c r="AF77" s="709"/>
      <c r="AG77" s="709"/>
      <c r="AH77" s="709"/>
      <c r="AI77" s="709"/>
      <c r="AJ77" s="709"/>
      <c r="AK77" s="1046"/>
      <c r="AW77">
        <v>-29928.21</v>
      </c>
      <c r="BZ77" t="s">
        <v>124</v>
      </c>
      <c r="CA77" s="905" t="s">
        <v>123</v>
      </c>
      <c r="CB77" s="712" t="s">
        <v>124</v>
      </c>
      <c r="CC77" s="760" t="s">
        <v>123</v>
      </c>
    </row>
    <row r="78" spans="1:82" hidden="1" x14ac:dyDescent="0.35">
      <c r="A78" s="684"/>
      <c r="B78" s="689"/>
      <c r="C78" s="689"/>
      <c r="D78" s="689"/>
      <c r="E78" s="689"/>
      <c r="F78" s="689"/>
      <c r="G78" s="689"/>
      <c r="H78" s="689"/>
      <c r="I78" s="689"/>
      <c r="J78" s="689"/>
      <c r="K78" s="689"/>
      <c r="L78" s="689"/>
      <c r="M78" s="713"/>
      <c r="N78" s="689"/>
      <c r="O78" s="714"/>
      <c r="P78" s="714"/>
      <c r="Q78" s="714"/>
      <c r="R78" s="714"/>
      <c r="S78" s="714"/>
      <c r="T78" s="714"/>
      <c r="U78" s="714"/>
      <c r="V78" s="714"/>
      <c r="W78" s="714"/>
      <c r="X78" s="714"/>
      <c r="Y78" s="714"/>
      <c r="Z78" s="715"/>
      <c r="AA78" s="714"/>
      <c r="AB78" s="714"/>
      <c r="AC78" s="714"/>
      <c r="AD78" s="714"/>
      <c r="AE78" s="714"/>
      <c r="AF78" s="714"/>
      <c r="AG78" s="714"/>
      <c r="AH78" s="714"/>
      <c r="AI78" s="714"/>
      <c r="AJ78" s="714"/>
      <c r="AK78" s="1047"/>
      <c r="AL78">
        <v>-1358.5400000000009</v>
      </c>
      <c r="AM78">
        <v>-1534.0999999999985</v>
      </c>
      <c r="AN78">
        <v>554.59000000000015</v>
      </c>
      <c r="AO78">
        <v>-1162.4500000000007</v>
      </c>
      <c r="AP78">
        <v>-1843</v>
      </c>
      <c r="AQ78">
        <v>-2300</v>
      </c>
      <c r="AR78">
        <v>-415</v>
      </c>
      <c r="AS78">
        <v>3052</v>
      </c>
      <c r="AT78">
        <v>-1507</v>
      </c>
      <c r="AU78">
        <v>1314</v>
      </c>
      <c r="AV78">
        <v>2709</v>
      </c>
      <c r="AW78">
        <v>539</v>
      </c>
      <c r="AX78">
        <v>1434.2099999999991</v>
      </c>
      <c r="AY78">
        <v>-1058.5699999999997</v>
      </c>
      <c r="AZ78">
        <v>3017.09</v>
      </c>
      <c r="BA78">
        <v>4065.7899999999972</v>
      </c>
      <c r="BB78">
        <v>1368.9100000000035</v>
      </c>
      <c r="BC78">
        <v>1705.1200000000026</v>
      </c>
      <c r="BD78">
        <v>2711</v>
      </c>
      <c r="BE78">
        <v>-1332.3500000000058</v>
      </c>
      <c r="BF78">
        <v>-682.41999999999825</v>
      </c>
      <c r="BG78">
        <v>-735.58000000000175</v>
      </c>
      <c r="BH78">
        <v>-191.14999999999418</v>
      </c>
      <c r="BI78">
        <v>1711.8299999999945</v>
      </c>
      <c r="BJ78">
        <v>-31.840338510657602</v>
      </c>
      <c r="BK78">
        <v>-360.46392316639685</v>
      </c>
      <c r="BL78">
        <v>600.15502338098304</v>
      </c>
      <c r="BM78">
        <v>469.62927834814036</v>
      </c>
      <c r="BN78">
        <v>423.63000878069579</v>
      </c>
      <c r="BO78">
        <v>1758.4696196182704</v>
      </c>
      <c r="BP78">
        <v>979.6525865569638</v>
      </c>
      <c r="BQ78">
        <v>1657.8326831319864</v>
      </c>
      <c r="BR78">
        <v>2072.9500150886597</v>
      </c>
      <c r="BS78">
        <v>1211.4631398842321</v>
      </c>
      <c r="BT78">
        <v>1355.2828105654116</v>
      </c>
      <c r="BU78">
        <v>2798.6423722173859</v>
      </c>
      <c r="CA78" s="903"/>
      <c r="CB78" s="688"/>
      <c r="CC78" s="685"/>
    </row>
    <row r="79" spans="1:82" ht="33" customHeight="1" x14ac:dyDescent="0.35">
      <c r="A79" s="761" t="s">
        <v>216</v>
      </c>
      <c r="B79" s="716"/>
      <c r="C79" s="716"/>
      <c r="D79" s="716"/>
      <c r="E79" s="716"/>
      <c r="F79" s="716"/>
      <c r="G79" s="716"/>
      <c r="H79" s="716"/>
      <c r="I79" s="716"/>
      <c r="J79" s="716"/>
      <c r="K79" s="716"/>
      <c r="L79" s="716"/>
      <c r="M79" s="717"/>
      <c r="N79" s="718">
        <f>N62</f>
        <v>906</v>
      </c>
      <c r="O79" s="718">
        <f>O71-N71+N79</f>
        <v>1655</v>
      </c>
      <c r="P79" s="718">
        <f t="shared" ref="P79:Y79" si="42">P71-O71+O79</f>
        <v>-463</v>
      </c>
      <c r="Q79" s="718">
        <f t="shared" si="42"/>
        <v>308</v>
      </c>
      <c r="R79" s="718">
        <f t="shared" si="42"/>
        <v>-13</v>
      </c>
      <c r="S79" s="718">
        <f t="shared" si="42"/>
        <v>3128</v>
      </c>
      <c r="T79" s="718">
        <f t="shared" si="42"/>
        <v>3415</v>
      </c>
      <c r="U79" s="718">
        <f t="shared" si="42"/>
        <v>3663</v>
      </c>
      <c r="V79" s="718">
        <f t="shared" si="42"/>
        <v>1139</v>
      </c>
      <c r="W79" s="718">
        <f t="shared" si="42"/>
        <v>753</v>
      </c>
      <c r="X79" s="718">
        <f t="shared" si="42"/>
        <v>749</v>
      </c>
      <c r="Y79" s="719">
        <f t="shared" si="42"/>
        <v>3746</v>
      </c>
      <c r="Z79" s="720">
        <f>Z71-Y71</f>
        <v>-312</v>
      </c>
      <c r="AA79" s="721">
        <f t="shared" ref="AA79:AI79" si="43">AA71-Z71</f>
        <v>-278</v>
      </c>
      <c r="AB79" s="718">
        <f>AB71-AA71</f>
        <v>-1508</v>
      </c>
      <c r="AC79" s="718">
        <f t="shared" si="43"/>
        <v>965</v>
      </c>
      <c r="AD79" s="718">
        <f>AD71-AC71</f>
        <v>-160</v>
      </c>
      <c r="AE79" s="718">
        <f>AE71-AD71</f>
        <v>517.70000000000073</v>
      </c>
      <c r="AF79" s="718">
        <f>AF71-AE71</f>
        <v>593.29999999999927</v>
      </c>
      <c r="AG79" s="718">
        <f t="shared" si="43"/>
        <v>2663</v>
      </c>
      <c r="AH79" s="718">
        <f t="shared" si="43"/>
        <v>-2908</v>
      </c>
      <c r="AI79" s="718">
        <f t="shared" si="43"/>
        <v>948</v>
      </c>
      <c r="AJ79" s="718">
        <f>AJ71-Y71</f>
        <v>1465</v>
      </c>
      <c r="AK79" s="1048">
        <f>AK71-Y71</f>
        <v>1312.5</v>
      </c>
      <c r="AL79" s="1018">
        <v>-1762</v>
      </c>
      <c r="AM79" s="1018">
        <v>-1658</v>
      </c>
      <c r="AN79" s="1018">
        <v>679</v>
      </c>
      <c r="AO79" s="1018">
        <v>-867</v>
      </c>
      <c r="AP79" s="1018">
        <v>-1921</v>
      </c>
      <c r="AQ79" s="1018">
        <v>-2220</v>
      </c>
      <c r="AR79" s="1018">
        <v>-299</v>
      </c>
      <c r="AS79" s="1018">
        <v>3105</v>
      </c>
      <c r="AT79" s="718">
        <v>-1375</v>
      </c>
      <c r="AU79" s="718">
        <v>1251</v>
      </c>
      <c r="AV79" s="718">
        <v>2437</v>
      </c>
      <c r="AW79" s="718">
        <v>362</v>
      </c>
      <c r="AX79" s="1106">
        <v>1208</v>
      </c>
      <c r="AY79" s="1106">
        <v>-856</v>
      </c>
      <c r="AZ79" s="1106">
        <v>2765</v>
      </c>
      <c r="BA79" s="1106">
        <v>4021</v>
      </c>
      <c r="BB79" s="1106">
        <v>1533</v>
      </c>
      <c r="BC79" s="1106">
        <v>1688</v>
      </c>
      <c r="BD79" s="1106">
        <v>2579</v>
      </c>
      <c r="BE79" s="1106">
        <v>-1297</v>
      </c>
      <c r="BF79" s="1106">
        <v>-609</v>
      </c>
      <c r="BG79" s="1106">
        <v>-847</v>
      </c>
      <c r="BH79" s="1106">
        <v>-355</v>
      </c>
      <c r="BI79" s="1106">
        <v>1146.4890524503166</v>
      </c>
      <c r="BJ79" s="1106">
        <v>-232.99787369862486</v>
      </c>
      <c r="BK79" s="1106">
        <v>-676.43982731900735</v>
      </c>
      <c r="BL79" s="1106">
        <v>236.56588660407374</v>
      </c>
      <c r="BM79" s="1106">
        <v>359.02079590516234</v>
      </c>
      <c r="BN79" s="1106">
        <v>282.57177416106219</v>
      </c>
      <c r="BO79" s="1106">
        <v>1627.2049399829514</v>
      </c>
      <c r="BP79" s="1106">
        <v>850.64734420255854</v>
      </c>
      <c r="BQ79" s="1106">
        <v>1604.9295993719618</v>
      </c>
      <c r="BR79" s="1106">
        <v>1981.3790423396867</v>
      </c>
      <c r="BS79" s="1106">
        <v>1140.1944691993506</v>
      </c>
      <c r="BT79" s="1106">
        <v>1277.5093975393313</v>
      </c>
      <c r="BU79" s="1106">
        <v>2708.9606702932301</v>
      </c>
      <c r="BV79" s="1106">
        <v>12935.403275895675</v>
      </c>
      <c r="BW79" s="1106">
        <v>12013.879999999997</v>
      </c>
      <c r="BY79" s="94"/>
      <c r="BZ79" s="94"/>
      <c r="CA79" s="688">
        <f>BV71-BW71</f>
        <v>12935.403275895675</v>
      </c>
      <c r="CB79" s="688">
        <f>BW71-BX71</f>
        <v>12013.879999999997</v>
      </c>
      <c r="CC79" s="688">
        <f>BX71-CA71</f>
        <v>28494</v>
      </c>
    </row>
    <row r="80" spans="1:82" ht="20.85" customHeight="1" x14ac:dyDescent="0.35">
      <c r="A80" s="762"/>
      <c r="B80" s="689"/>
      <c r="C80" s="689"/>
      <c r="D80" s="689"/>
      <c r="E80" s="689"/>
      <c r="F80" s="689"/>
      <c r="G80" s="689"/>
      <c r="H80" s="689"/>
      <c r="I80" s="689"/>
      <c r="J80" s="689"/>
      <c r="K80" s="689"/>
      <c r="L80" s="689"/>
      <c r="M80" s="722"/>
      <c r="N80" s="723"/>
      <c r="O80" s="723"/>
      <c r="P80" s="723"/>
      <c r="Q80" s="723"/>
      <c r="R80" s="723"/>
      <c r="S80" s="723"/>
      <c r="T80" s="723"/>
      <c r="U80" s="723"/>
      <c r="V80" s="723"/>
      <c r="W80" s="723"/>
      <c r="X80" s="723"/>
      <c r="Y80" s="724"/>
      <c r="Z80" s="763"/>
      <c r="AA80" s="763"/>
      <c r="AB80" s="763"/>
      <c r="AC80" s="763"/>
      <c r="AD80" s="763"/>
      <c r="AE80" s="763"/>
      <c r="AF80" s="763"/>
      <c r="AG80" s="763"/>
      <c r="AH80" s="763"/>
      <c r="AI80" s="763"/>
      <c r="AJ80" s="763"/>
      <c r="AK80" s="1049"/>
      <c r="AR80" s="94"/>
      <c r="AT80">
        <v>-1375</v>
      </c>
      <c r="AX80">
        <v>226.20999999999913</v>
      </c>
      <c r="AY80">
        <v>-202.56999999999971</v>
      </c>
      <c r="AZ80">
        <v>252.09000000000015</v>
      </c>
      <c r="BA80">
        <v>44.789999999997235</v>
      </c>
      <c r="BB80">
        <v>-164.08999999999651</v>
      </c>
      <c r="BC80">
        <v>17.120000000002619</v>
      </c>
      <c r="BD80">
        <v>132</v>
      </c>
      <c r="BE80">
        <v>-35.350000000005821</v>
      </c>
      <c r="BF80">
        <v>-73.419999999998254</v>
      </c>
      <c r="BG80">
        <v>111.41999999999825</v>
      </c>
      <c r="BH80">
        <v>163.85000000000582</v>
      </c>
      <c r="BI80">
        <v>565.34094754967782</v>
      </c>
      <c r="BJ80">
        <v>201.15753518796726</v>
      </c>
      <c r="BK80">
        <v>315.9759041526105</v>
      </c>
      <c r="BL80">
        <v>363.5891367769093</v>
      </c>
      <c r="BM80">
        <v>110.60848244297802</v>
      </c>
      <c r="BN80">
        <v>141.05823461963359</v>
      </c>
      <c r="BO80">
        <v>131.264679635319</v>
      </c>
      <c r="BP80">
        <v>129.00524235440525</v>
      </c>
      <c r="BQ80">
        <v>52.903083760024629</v>
      </c>
      <c r="BR80">
        <v>91.570972748972963</v>
      </c>
      <c r="BS80">
        <v>71.268670684881499</v>
      </c>
      <c r="BT80">
        <v>77.773413026080334</v>
      </c>
      <c r="BU80">
        <v>89.681701924155732</v>
      </c>
      <c r="BV80" s="94"/>
      <c r="BW80" s="94"/>
      <c r="BX80" s="94"/>
      <c r="BY80" s="609"/>
      <c r="CA80" s="903"/>
      <c r="CB80" s="688"/>
      <c r="CC80" s="685"/>
    </row>
    <row r="81" spans="1:81" ht="37.5" customHeight="1" x14ac:dyDescent="0.35">
      <c r="A81" s="684">
        <v>-1</v>
      </c>
      <c r="B81" s="689"/>
      <c r="C81" s="689"/>
      <c r="D81" s="689"/>
      <c r="E81" s="689"/>
      <c r="F81" s="689"/>
      <c r="G81" s="689"/>
      <c r="H81" s="689"/>
      <c r="I81" s="689"/>
      <c r="J81" s="689"/>
      <c r="K81" s="689"/>
      <c r="L81" s="689"/>
      <c r="M81" s="696"/>
      <c r="N81" s="1454" t="s">
        <v>164</v>
      </c>
      <c r="O81" s="1454"/>
      <c r="P81" s="1454"/>
      <c r="Q81" s="1454"/>
      <c r="R81" s="1454"/>
      <c r="S81" s="1454"/>
      <c r="T81" s="1454"/>
      <c r="U81" s="1454"/>
      <c r="V81" s="1454"/>
      <c r="W81" s="1454"/>
      <c r="X81" s="1454"/>
      <c r="Y81" s="1454"/>
      <c r="Z81" s="764">
        <f>Z82/Y82-1</f>
        <v>1.7668075165744312E-3</v>
      </c>
      <c r="AA81" s="764">
        <f>AA82/Z82-1</f>
        <v>-1.1875016768891022E-2</v>
      </c>
      <c r="AB81" s="764">
        <f t="shared" ref="AB81:AJ81" si="44">AB82/AA82-1</f>
        <v>-3.1954001765548412E-3</v>
      </c>
      <c r="AC81" s="764">
        <f t="shared" si="44"/>
        <v>4.8368136797918293E-3</v>
      </c>
      <c r="AD81" s="764">
        <f t="shared" si="44"/>
        <v>-1.1815252416756072E-2</v>
      </c>
      <c r="AE81" s="764">
        <f t="shared" si="44"/>
        <v>-1.3048067632850713E-2</v>
      </c>
      <c r="AF81" s="764">
        <f t="shared" si="44"/>
        <v>-9.2970132153769036E-4</v>
      </c>
      <c r="AG81" s="764">
        <f t="shared" si="44"/>
        <v>-1.6702404193204012E-2</v>
      </c>
      <c r="AH81" s="764">
        <f t="shared" si="44"/>
        <v>-1.1210762331839152E-3</v>
      </c>
      <c r="AI81" s="764">
        <f t="shared" si="44"/>
        <v>-1.3468013468013407E-2</v>
      </c>
      <c r="AJ81" s="764">
        <f t="shared" si="44"/>
        <v>3.0337504740234333E-3</v>
      </c>
      <c r="AK81" s="1050">
        <f>AK82/AJ82-1</f>
        <v>2.8862003780718348E-2</v>
      </c>
      <c r="AL81" s="1019">
        <v>2.8169945688521159E-2</v>
      </c>
      <c r="AM81" s="875">
        <v>1.5368120085775594E-2</v>
      </c>
      <c r="AN81" s="875">
        <v>0</v>
      </c>
      <c r="AO81" s="875">
        <v>0</v>
      </c>
      <c r="AP81" s="875">
        <v>0</v>
      </c>
      <c r="AQ81" s="875">
        <v>0</v>
      </c>
      <c r="AR81" s="875">
        <v>0</v>
      </c>
      <c r="AS81" s="875">
        <v>0</v>
      </c>
      <c r="AT81" s="875">
        <v>0</v>
      </c>
      <c r="AU81" s="875">
        <v>0</v>
      </c>
      <c r="AV81" s="875">
        <v>0</v>
      </c>
      <c r="AW81" s="875">
        <v>5.2798310454065245E-3</v>
      </c>
      <c r="AX81" s="1019"/>
      <c r="AY81" s="1019"/>
      <c r="AZ81" s="1019"/>
      <c r="BA81" s="1019"/>
      <c r="BB81" s="1019"/>
      <c r="BC81" s="1019"/>
      <c r="BD81" s="1019"/>
      <c r="BE81" s="1019"/>
      <c r="BF81" s="1019"/>
      <c r="BG81" s="1019"/>
      <c r="BH81" s="1019"/>
      <c r="BI81" s="1019"/>
      <c r="BJ81" s="1019"/>
      <c r="BK81" s="1019"/>
      <c r="BL81" s="1019"/>
      <c r="BM81" s="1019"/>
      <c r="BN81" s="1019"/>
      <c r="BO81" s="1019"/>
      <c r="BP81" s="1019"/>
      <c r="BQ81" s="1019"/>
      <c r="BR81" s="1019"/>
      <c r="BS81" s="1019"/>
      <c r="BT81" s="1019"/>
      <c r="BU81" s="1019"/>
      <c r="BV81" s="94"/>
      <c r="BW81" s="94"/>
      <c r="BX81" s="94"/>
      <c r="CA81" s="907"/>
      <c r="CB81" s="688"/>
      <c r="CC81" s="685"/>
    </row>
    <row r="82" spans="1:81" ht="0.6" customHeight="1" x14ac:dyDescent="0.35">
      <c r="A82" s="684"/>
      <c r="B82" s="684"/>
      <c r="C82" s="684"/>
      <c r="D82" s="684"/>
      <c r="E82" s="684"/>
      <c r="F82" s="685"/>
      <c r="G82" s="685"/>
      <c r="H82" s="685"/>
      <c r="I82" s="685"/>
      <c r="J82" s="685"/>
      <c r="K82" s="685"/>
      <c r="L82" s="685"/>
      <c r="M82" s="765" t="s">
        <v>219</v>
      </c>
      <c r="N82" s="766">
        <v>24.12</v>
      </c>
      <c r="O82" s="766">
        <v>24.6</v>
      </c>
      <c r="P82" s="766">
        <v>26.41</v>
      </c>
      <c r="Q82" s="767">
        <v>27.2</v>
      </c>
      <c r="R82" s="767">
        <v>26.81</v>
      </c>
      <c r="S82" s="767">
        <v>26.7</v>
      </c>
      <c r="T82" s="767">
        <v>27.3</v>
      </c>
      <c r="U82" s="767">
        <v>27.5</v>
      </c>
      <c r="V82" s="766">
        <v>28.3062</v>
      </c>
      <c r="W82" s="766">
        <v>28.33</v>
      </c>
      <c r="X82" s="768">
        <v>28.3</v>
      </c>
      <c r="Y82" s="769">
        <v>28.17</v>
      </c>
      <c r="Z82" s="770">
        <v>28.219770967741901</v>
      </c>
      <c r="AA82" s="771">
        <v>27.884660714285701</v>
      </c>
      <c r="AB82" s="772">
        <v>27.795558064516101</v>
      </c>
      <c r="AC82" s="772">
        <v>27.93</v>
      </c>
      <c r="AD82" s="772">
        <v>27.6</v>
      </c>
      <c r="AE82" s="772">
        <v>27.239873333333321</v>
      </c>
      <c r="AF82" s="772">
        <v>27.214548387096801</v>
      </c>
      <c r="AG82" s="772">
        <v>26.76</v>
      </c>
      <c r="AH82" s="772">
        <v>26.73</v>
      </c>
      <c r="AI82" s="772">
        <v>26.37</v>
      </c>
      <c r="AJ82" s="772">
        <v>26.45</v>
      </c>
      <c r="AK82" s="1051">
        <v>27.2134</v>
      </c>
      <c r="AL82" s="1020">
        <v>27.98</v>
      </c>
      <c r="AM82" s="991">
        <v>28.41</v>
      </c>
      <c r="AN82" s="991">
        <v>28.41</v>
      </c>
      <c r="AO82" s="991">
        <v>28.41</v>
      </c>
      <c r="AP82" s="991">
        <v>28.41</v>
      </c>
      <c r="AQ82" s="991">
        <v>28.41</v>
      </c>
      <c r="AR82" s="991">
        <v>28.41</v>
      </c>
      <c r="AS82" s="991">
        <v>28.41</v>
      </c>
      <c r="AT82" s="991">
        <v>28.41</v>
      </c>
      <c r="AU82" s="991">
        <v>28.41</v>
      </c>
      <c r="AV82" s="991">
        <v>28.41</v>
      </c>
      <c r="AW82" s="991">
        <v>28.56</v>
      </c>
      <c r="AX82" s="991"/>
      <c r="AY82" s="991"/>
      <c r="AZ82" s="991"/>
      <c r="BA82" s="991"/>
      <c r="BB82" s="991"/>
      <c r="BC82" s="991"/>
      <c r="BD82" s="991"/>
      <c r="BE82" s="991"/>
      <c r="BF82" s="991"/>
      <c r="BG82" s="991"/>
      <c r="BH82" s="991"/>
      <c r="BI82" s="991"/>
      <c r="BJ82" s="991"/>
      <c r="BK82" s="991"/>
      <c r="BL82" s="991"/>
      <c r="BM82" s="991"/>
      <c r="BN82" s="991"/>
      <c r="BO82" s="991"/>
      <c r="BP82" s="991"/>
      <c r="BQ82" s="991"/>
      <c r="BR82" s="991"/>
      <c r="BS82" s="991"/>
      <c r="BT82" s="991"/>
      <c r="BU82" s="991"/>
      <c r="BV82" s="991"/>
      <c r="BW82" s="991"/>
      <c r="BX82" s="991"/>
      <c r="BY82" s="1194">
        <v>27.283984288914482</v>
      </c>
      <c r="BZ82" s="1194">
        <v>26.978849999999998</v>
      </c>
      <c r="CA82" s="959"/>
      <c r="CB82" s="773">
        <f>AVERAGE(N82:Y82)</f>
        <v>26.978849999999998</v>
      </c>
      <c r="CC82" s="774"/>
    </row>
    <row r="83" spans="1:81" ht="28.15" customHeight="1" x14ac:dyDescent="0.35">
      <c r="A83" s="1172" t="s">
        <v>327</v>
      </c>
      <c r="B83" s="684"/>
      <c r="C83" s="684"/>
      <c r="D83" s="684"/>
      <c r="E83" s="684"/>
      <c r="F83" s="685"/>
      <c r="G83" s="685"/>
      <c r="H83" s="685"/>
      <c r="I83" s="685"/>
      <c r="J83" s="685"/>
      <c r="K83" s="685"/>
      <c r="L83" s="685"/>
      <c r="M83" s="765" t="s">
        <v>222</v>
      </c>
      <c r="N83" s="766">
        <v>24.12</v>
      </c>
      <c r="O83" s="766">
        <v>24.6</v>
      </c>
      <c r="P83" s="766">
        <v>26.41</v>
      </c>
      <c r="Q83" s="767">
        <v>27.22</v>
      </c>
      <c r="R83" s="767">
        <v>26.81</v>
      </c>
      <c r="S83" s="767">
        <v>26.7</v>
      </c>
      <c r="T83" s="767">
        <v>27.3</v>
      </c>
      <c r="U83" s="767">
        <v>27.5</v>
      </c>
      <c r="V83" s="767">
        <f>V82</f>
        <v>28.3062</v>
      </c>
      <c r="W83" s="767">
        <f>W82</f>
        <v>28.33</v>
      </c>
      <c r="X83" s="767">
        <f>28.4/IF(X63&gt;0,((X63/X88*0.04)+1),((X63/X88*0.35)+1))</f>
        <v>28.4</v>
      </c>
      <c r="Y83" s="769">
        <f>X83/IF(Y63&gt;0,((Y63/Y88*0.08)+1),((Y63/Y88*0.35)+1))</f>
        <v>28.4</v>
      </c>
      <c r="Z83" s="770">
        <v>28.22</v>
      </c>
      <c r="AA83" s="771">
        <f>AA82</f>
        <v>27.884660714285701</v>
      </c>
      <c r="AB83" s="772">
        <f>AB82</f>
        <v>27.795558064516101</v>
      </c>
      <c r="AC83" s="772">
        <f>AC82</f>
        <v>27.93</v>
      </c>
      <c r="AD83" s="772">
        <v>27.6</v>
      </c>
      <c r="AE83" s="772">
        <v>27.24</v>
      </c>
      <c r="AF83" s="772">
        <f>27.27/IF(AF63&gt;0,((AF63/AF88*0.12)+1),((AF65/AF88*0.3)+1))</f>
        <v>27.413092247056561</v>
      </c>
      <c r="AG83" s="772">
        <v>26.76</v>
      </c>
      <c r="AH83" s="772">
        <f>AG83/IF(AH65&gt;0,((AH65/AH88*0.06)+1),((AH65/AH88*0.25)+1))</f>
        <v>27.036811261546525</v>
      </c>
      <c r="AI83" s="772">
        <v>26.37</v>
      </c>
      <c r="AJ83" s="772">
        <f>AJ82</f>
        <v>26.45</v>
      </c>
      <c r="AK83" s="1051">
        <v>27.2134</v>
      </c>
      <c r="AL83" s="1020">
        <v>27.981270967741931</v>
      </c>
      <c r="AM83" s="991">
        <v>28.413664285714287</v>
      </c>
      <c r="AN83" s="991">
        <v>29.254900000000013</v>
      </c>
      <c r="AO83" s="991">
        <v>29.254900000000013</v>
      </c>
      <c r="AP83" s="991">
        <v>29.254900000000013</v>
      </c>
      <c r="AQ83" s="991">
        <v>29.254900000000013</v>
      </c>
      <c r="AR83" s="991">
        <v>31.850083870967769</v>
      </c>
      <c r="AS83" s="991">
        <v>36.568600000000032</v>
      </c>
      <c r="AT83" s="991">
        <v>36.568600000000032</v>
      </c>
      <c r="AU83" s="991">
        <v>36.568600000000032</v>
      </c>
      <c r="AV83" s="991">
        <v>36.568600000000032</v>
      </c>
      <c r="AW83" s="991">
        <v>36.568600000000032</v>
      </c>
      <c r="AX83" s="991">
        <v>36.568600000000032</v>
      </c>
      <c r="AY83" s="991">
        <v>36.568600000000025</v>
      </c>
      <c r="AZ83" s="991">
        <v>36.568600000000032</v>
      </c>
      <c r="BA83" s="991">
        <v>36.568600000000032</v>
      </c>
      <c r="BB83" s="991">
        <v>36.568600000000032</v>
      </c>
      <c r="BC83" s="991">
        <v>36.568600000000032</v>
      </c>
      <c r="BD83" s="991">
        <v>36.568600000000032</v>
      </c>
      <c r="BE83" s="991">
        <v>36.568600000000032</v>
      </c>
      <c r="BF83" s="991">
        <v>36.568600000000032</v>
      </c>
      <c r="BG83" s="991">
        <v>36.51895161290323</v>
      </c>
      <c r="BH83" s="991">
        <v>36.155420000000007</v>
      </c>
      <c r="BI83" s="991">
        <v>37.093925806451622</v>
      </c>
      <c r="BJ83" s="991">
        <v>37.572233277496139</v>
      </c>
      <c r="BK83" s="991">
        <v>38.27478587846511</v>
      </c>
      <c r="BL83" s="991">
        <v>39.105806424374762</v>
      </c>
      <c r="BM83" s="991">
        <v>39.395705147134706</v>
      </c>
      <c r="BN83" s="991">
        <v>39.781047044824604</v>
      </c>
      <c r="BO83" s="991">
        <v>40.158399481375852</v>
      </c>
      <c r="BP83" s="991">
        <v>40.515635176768157</v>
      </c>
      <c r="BQ83" s="991">
        <v>40.64772687713463</v>
      </c>
      <c r="BR83" s="991">
        <v>40.86685760056217</v>
      </c>
      <c r="BS83" s="991">
        <v>41.027007871865493</v>
      </c>
      <c r="BT83" s="991">
        <v>41.200074709472133</v>
      </c>
      <c r="BU83" s="991">
        <v>41.402614826192249</v>
      </c>
      <c r="BV83" s="991">
        <v>39.995657859638833</v>
      </c>
      <c r="BW83" s="991">
        <v>36.573808118279594</v>
      </c>
      <c r="BX83" s="991">
        <v>32.342301593702025</v>
      </c>
      <c r="BY83" s="1194"/>
      <c r="BZ83" s="1194"/>
      <c r="CA83" s="959"/>
      <c r="CB83" s="773"/>
      <c r="CC83" s="774"/>
    </row>
    <row r="84" spans="1:81" ht="33.6" customHeight="1" x14ac:dyDescent="0.35">
      <c r="A84" s="1172" t="s">
        <v>328</v>
      </c>
      <c r="B84" s="684"/>
      <c r="C84" s="684"/>
      <c r="D84" s="684"/>
      <c r="E84" s="684"/>
      <c r="F84" s="685"/>
      <c r="G84" s="685"/>
      <c r="H84" s="685"/>
      <c r="I84" s="685"/>
      <c r="J84" s="685"/>
      <c r="K84" s="685"/>
      <c r="L84" s="685"/>
      <c r="M84" s="765" t="s">
        <v>252</v>
      </c>
      <c r="N84" s="766"/>
      <c r="O84" s="766"/>
      <c r="P84" s="766"/>
      <c r="Q84" s="767"/>
      <c r="R84" s="767"/>
      <c r="S84" s="767"/>
      <c r="T84" s="767"/>
      <c r="U84" s="767"/>
      <c r="V84" s="767"/>
      <c r="W84" s="767"/>
      <c r="X84" s="767"/>
      <c r="Y84" s="775"/>
      <c r="Z84" s="770">
        <f>Z82</f>
        <v>28.219770967741901</v>
      </c>
      <c r="AA84" s="771">
        <v>27.88</v>
      </c>
      <c r="AB84" s="772">
        <f>AB82</f>
        <v>27.795558064516101</v>
      </c>
      <c r="AC84" s="772">
        <v>27.93</v>
      </c>
      <c r="AD84" s="772">
        <f>AD83/((((((AD85/$AC$85)-1)/4)+1)))</f>
        <v>27.481852021866036</v>
      </c>
      <c r="AE84" s="772">
        <v>27.239873333333321</v>
      </c>
      <c r="AF84" s="772">
        <v>27.214548387096801</v>
      </c>
      <c r="AG84" s="772">
        <f>AG82</f>
        <v>26.76</v>
      </c>
      <c r="AH84" s="772">
        <f>AH83/((((((AH85/$AG$85)-1)/6)+1)))</f>
        <v>27.031657347737649</v>
      </c>
      <c r="AI84" s="772">
        <f>AI83/((((((AI85/$AG$85)-1)/6)+1)))</f>
        <v>26.438383674417221</v>
      </c>
      <c r="AJ84" s="772">
        <v>27.3</v>
      </c>
      <c r="AK84" s="1051">
        <v>27.2134</v>
      </c>
      <c r="AL84" s="1020"/>
      <c r="AM84" s="991"/>
      <c r="AN84" s="991"/>
      <c r="AO84" s="991"/>
      <c r="AP84" s="991"/>
      <c r="AQ84" s="991"/>
      <c r="AR84" s="991"/>
      <c r="AS84" s="991"/>
      <c r="AT84" s="991"/>
      <c r="AU84" s="991"/>
      <c r="AV84" s="991"/>
      <c r="AW84" s="1308" t="s">
        <v>330</v>
      </c>
      <c r="AX84" s="1173"/>
      <c r="AY84" s="1173"/>
      <c r="AZ84" s="1173"/>
      <c r="BA84" s="1173"/>
      <c r="BB84" s="1173"/>
      <c r="BC84" s="1173">
        <v>36.568600000000032</v>
      </c>
      <c r="BD84" s="1173">
        <v>36.568600000000032</v>
      </c>
      <c r="BE84" s="1173">
        <v>36.568600000000032</v>
      </c>
      <c r="BF84" s="1173">
        <v>36.568600000000032</v>
      </c>
      <c r="BG84" s="1173">
        <v>36.518951612903201</v>
      </c>
      <c r="BH84" s="1173">
        <v>36.155420000000007</v>
      </c>
      <c r="BI84" s="1173">
        <v>37.093925806451622</v>
      </c>
      <c r="BJ84" s="1173">
        <v>37.456967366383992</v>
      </c>
      <c r="BK84" s="1173">
        <v>37.987276215643632</v>
      </c>
      <c r="BL84" s="1173">
        <v>38.610536449062835</v>
      </c>
      <c r="BM84" s="1173">
        <v>38.82748084708674</v>
      </c>
      <c r="BN84" s="1173">
        <v>39.115012988264724</v>
      </c>
      <c r="BO84" s="1173">
        <v>39.395790331111662</v>
      </c>
      <c r="BP84" s="1173">
        <v>39.66089624449868</v>
      </c>
      <c r="BQ84" s="1173">
        <v>39.758826776926469</v>
      </c>
      <c r="BR84" s="1173">
        <v>39.921025631460573</v>
      </c>
      <c r="BS84" s="1173">
        <v>40.039429102801421</v>
      </c>
      <c r="BT84" s="1173">
        <v>40.167221139566863</v>
      </c>
      <c r="BU84" s="1173">
        <v>40.316556757003063</v>
      </c>
      <c r="BV84" s="991"/>
      <c r="BW84" s="991"/>
      <c r="BX84" s="991"/>
      <c r="BY84" s="1194"/>
      <c r="BZ84" s="1194"/>
      <c r="CA84" s="959"/>
      <c r="CB84" s="776"/>
      <c r="CC84" s="777"/>
    </row>
    <row r="85" spans="1:81" ht="33.6" customHeight="1" x14ac:dyDescent="0.35">
      <c r="A85" s="684"/>
      <c r="B85" s="684"/>
      <c r="C85" s="684"/>
      <c r="D85" s="684"/>
      <c r="E85" s="684"/>
      <c r="F85" s="685"/>
      <c r="G85" s="685"/>
      <c r="H85" s="685"/>
      <c r="I85" s="685"/>
      <c r="J85" s="685"/>
      <c r="K85" s="685"/>
      <c r="L85" s="685"/>
      <c r="M85" s="765" t="s">
        <v>221</v>
      </c>
      <c r="N85" s="766"/>
      <c r="O85" s="766"/>
      <c r="P85" s="766"/>
      <c r="Q85" s="767"/>
      <c r="R85" s="767"/>
      <c r="S85" s="767"/>
      <c r="T85" s="767"/>
      <c r="U85" s="767"/>
      <c r="V85" s="767"/>
      <c r="W85" s="767"/>
      <c r="X85" s="768"/>
      <c r="Y85" s="778" t="s">
        <v>253</v>
      </c>
      <c r="Z85" s="779">
        <v>1.2185171252047151</v>
      </c>
      <c r="AA85" s="780">
        <v>1.2100913136446627</v>
      </c>
      <c r="AB85" s="768">
        <v>1.1922792722856739</v>
      </c>
      <c r="AC85" s="768">
        <v>1.1933470119711151</v>
      </c>
      <c r="AD85" s="768">
        <v>1.2138684144682124</v>
      </c>
      <c r="AE85" s="768">
        <v>1.206099098356062</v>
      </c>
      <c r="AF85" s="768">
        <v>1.1825347211109807</v>
      </c>
      <c r="AG85" s="768">
        <v>1.1771117645323157</v>
      </c>
      <c r="AH85" s="768">
        <v>1.1784583484653177</v>
      </c>
      <c r="AI85" s="768">
        <v>1.1588439546730429</v>
      </c>
      <c r="AJ85" s="768">
        <v>1.1417999999999999</v>
      </c>
      <c r="AK85" s="1052">
        <v>1.1311</v>
      </c>
      <c r="AL85" s="1021"/>
      <c r="AM85" s="990"/>
      <c r="AN85" s="990"/>
      <c r="AO85" s="990"/>
      <c r="AP85" s="990"/>
      <c r="AQ85" s="990"/>
      <c r="AR85" s="990"/>
      <c r="AS85" s="990"/>
      <c r="AT85" s="990"/>
      <c r="AU85" s="990"/>
      <c r="AV85" s="990"/>
      <c r="AW85" s="1309"/>
      <c r="AX85" s="1174"/>
      <c r="AY85" s="1174"/>
      <c r="AZ85" s="1174"/>
      <c r="BA85" s="1174"/>
      <c r="BB85" s="1174"/>
      <c r="BC85" s="1174">
        <v>36.568600000000032</v>
      </c>
      <c r="BD85" s="1174">
        <v>36.568600000000032</v>
      </c>
      <c r="BE85" s="1174">
        <v>36.568600000000032</v>
      </c>
      <c r="BF85" s="1174">
        <v>36.568600000000032</v>
      </c>
      <c r="BG85" s="1174">
        <v>36.51895161290323</v>
      </c>
      <c r="BH85" s="1174">
        <v>36.155420000000007</v>
      </c>
      <c r="BI85" s="1174">
        <v>37.093925806451622</v>
      </c>
      <c r="BJ85" s="1174">
        <v>37.687499188608285</v>
      </c>
      <c r="BK85" s="1174">
        <v>38.562295541286595</v>
      </c>
      <c r="BL85" s="1174">
        <v>39.60107639968669</v>
      </c>
      <c r="BM85" s="1174">
        <v>39.963929447182664</v>
      </c>
      <c r="BN85" s="1174">
        <v>40.447081101384484</v>
      </c>
      <c r="BO85" s="1174">
        <v>40.921008631640035</v>
      </c>
      <c r="BP85" s="1174">
        <v>41.370374109037634</v>
      </c>
      <c r="BQ85" s="1174">
        <v>41.536626977342785</v>
      </c>
      <c r="BR85" s="1174">
        <v>41.812689569663767</v>
      </c>
      <c r="BS85" s="1174">
        <v>42.014586640929565</v>
      </c>
      <c r="BT85" s="1174">
        <v>42.232928279377397</v>
      </c>
      <c r="BU85" s="1174">
        <v>42.488672895381427</v>
      </c>
      <c r="BV85" s="990"/>
      <c r="BW85" s="990"/>
      <c r="BX85" s="990"/>
      <c r="BY85" s="1195"/>
      <c r="BZ85" s="1195"/>
      <c r="CA85" s="959"/>
      <c r="CB85" s="776"/>
      <c r="CC85" s="777"/>
    </row>
    <row r="86" spans="1:81" ht="33" customHeight="1" x14ac:dyDescent="0.35">
      <c r="A86" s="684"/>
      <c r="B86" s="684"/>
      <c r="C86" s="684"/>
      <c r="D86" s="684"/>
      <c r="E86" s="684"/>
      <c r="F86" s="685"/>
      <c r="G86" s="685"/>
      <c r="H86" s="685"/>
      <c r="I86" s="685"/>
      <c r="J86" s="685"/>
      <c r="K86" s="685"/>
      <c r="L86" s="685"/>
      <c r="M86" s="657"/>
      <c r="N86" s="725"/>
      <c r="O86" s="725"/>
      <c r="P86" s="725"/>
      <c r="Q86" s="725"/>
      <c r="R86" s="725"/>
      <c r="S86" s="725"/>
      <c r="T86" s="725"/>
      <c r="U86" s="725"/>
      <c r="V86" s="725"/>
      <c r="W86" s="725"/>
      <c r="X86" s="725"/>
      <c r="Y86" s="726"/>
      <c r="Z86" s="727"/>
      <c r="AA86" s="728">
        <f t="shared" ref="AA86:AI86" si="45">AA82/Z82-1</f>
        <v>-1.1875016768891022E-2</v>
      </c>
      <c r="AB86" s="728">
        <f t="shared" si="45"/>
        <v>-3.1954001765548412E-3</v>
      </c>
      <c r="AC86" s="728">
        <f t="shared" si="45"/>
        <v>4.8368136797918293E-3</v>
      </c>
      <c r="AD86" s="728">
        <f t="shared" si="45"/>
        <v>-1.1815252416756072E-2</v>
      </c>
      <c r="AE86" s="728">
        <f t="shared" si="45"/>
        <v>-1.3048067632850713E-2</v>
      </c>
      <c r="AF86" s="728">
        <f t="shared" si="45"/>
        <v>-9.2970132153769036E-4</v>
      </c>
      <c r="AG86" s="728">
        <f t="shared" si="45"/>
        <v>-1.6702404193204012E-2</v>
      </c>
      <c r="AH86" s="728">
        <f t="shared" si="45"/>
        <v>-1.1210762331839152E-3</v>
      </c>
      <c r="AI86" s="728">
        <f t="shared" si="45"/>
        <v>-1.3468013468013407E-2</v>
      </c>
      <c r="AJ86" s="960">
        <f>AJ83*0.3+AJ82*0.6+AJ84*0.1</f>
        <v>26.535</v>
      </c>
      <c r="AK86" s="1053">
        <f>AK83*0.3+AK82*0.6+AK84*0.1</f>
        <v>27.213399999999996</v>
      </c>
      <c r="AL86" s="1022">
        <f t="shared" ref="AL86:AW86" si="46">AL83</f>
        <v>27.981270967741931</v>
      </c>
      <c r="AM86" s="998">
        <f t="shared" si="46"/>
        <v>28.413664285714287</v>
      </c>
      <c r="AN86" s="998">
        <f t="shared" si="46"/>
        <v>29.254900000000013</v>
      </c>
      <c r="AO86" s="998">
        <f t="shared" si="46"/>
        <v>29.254900000000013</v>
      </c>
      <c r="AP86" s="998">
        <f t="shared" si="46"/>
        <v>29.254900000000013</v>
      </c>
      <c r="AQ86" s="998">
        <f t="shared" si="46"/>
        <v>29.254900000000013</v>
      </c>
      <c r="AR86" s="998">
        <f t="shared" si="46"/>
        <v>31.850083870967769</v>
      </c>
      <c r="AS86" s="998">
        <f t="shared" si="46"/>
        <v>36.568600000000032</v>
      </c>
      <c r="AT86" s="998">
        <f t="shared" si="46"/>
        <v>36.568600000000032</v>
      </c>
      <c r="AU86" s="998">
        <f t="shared" si="46"/>
        <v>36.568600000000032</v>
      </c>
      <c r="AV86" s="998">
        <f t="shared" si="46"/>
        <v>36.568600000000032</v>
      </c>
      <c r="AW86" s="1310">
        <f t="shared" si="46"/>
        <v>36.568600000000032</v>
      </c>
      <c r="AX86" s="998">
        <v>36.568600000000032</v>
      </c>
      <c r="AY86" s="998">
        <v>36.568600000000025</v>
      </c>
      <c r="AZ86" s="998">
        <v>36.568600000000032</v>
      </c>
      <c r="BA86" s="998">
        <v>36.568600000000032</v>
      </c>
      <c r="BB86" s="998">
        <v>36.568600000000032</v>
      </c>
      <c r="BC86" s="998">
        <v>36.568600000000032</v>
      </c>
      <c r="BD86" s="998">
        <v>36.568600000000032</v>
      </c>
      <c r="BE86" s="998">
        <v>36.568600000000032</v>
      </c>
      <c r="BF86" s="998">
        <v>36.568600000000032</v>
      </c>
      <c r="BG86" s="998">
        <v>36.51895161290323</v>
      </c>
      <c r="BH86" s="998">
        <v>36.155420000000007</v>
      </c>
      <c r="BI86" s="998">
        <v>37.093925806451622</v>
      </c>
      <c r="BJ86" s="998">
        <v>37.572233277496139</v>
      </c>
      <c r="BK86" s="998">
        <v>38.27478587846511</v>
      </c>
      <c r="BL86" s="998">
        <v>39.105806424374762</v>
      </c>
      <c r="BM86" s="998">
        <v>39.395705147134706</v>
      </c>
      <c r="BN86" s="998">
        <v>39.781047044824604</v>
      </c>
      <c r="BO86" s="998">
        <v>40.158399481375852</v>
      </c>
      <c r="BP86" s="998">
        <v>40.515635176768157</v>
      </c>
      <c r="BQ86" s="998">
        <v>40.64772687713463</v>
      </c>
      <c r="BR86" s="998">
        <v>40.86685760056217</v>
      </c>
      <c r="BS86" s="998">
        <v>41.027007871865493</v>
      </c>
      <c r="BT86" s="998">
        <v>41.200074709472133</v>
      </c>
      <c r="BU86" s="998">
        <v>41.402614826192249</v>
      </c>
      <c r="BV86" s="998">
        <v>39.995657859638833</v>
      </c>
      <c r="BW86" s="998">
        <v>36.573808118279594</v>
      </c>
      <c r="BX86" s="999"/>
      <c r="BY86" s="1196"/>
      <c r="BZ86" s="1196"/>
      <c r="CA86" s="908"/>
      <c r="CB86" s="688"/>
      <c r="CC86" s="685"/>
    </row>
    <row r="87" spans="1:81" ht="47.45" customHeight="1" x14ac:dyDescent="0.35">
      <c r="A87" s="684"/>
      <c r="B87" s="684"/>
      <c r="C87" s="684"/>
      <c r="D87" s="684"/>
      <c r="E87" s="684"/>
      <c r="F87" s="685"/>
      <c r="G87" s="685"/>
      <c r="H87" s="685"/>
      <c r="I87" s="685"/>
      <c r="J87" s="685"/>
      <c r="K87" s="685"/>
      <c r="L87" s="685"/>
      <c r="M87" s="729"/>
      <c r="N87" s="730"/>
      <c r="O87" s="730"/>
      <c r="P87" s="731"/>
      <c r="Q87" s="731"/>
      <c r="R87" s="732"/>
      <c r="S87" s="733"/>
      <c r="T87" s="734"/>
      <c r="U87" s="734"/>
      <c r="V87" s="734"/>
      <c r="W87" s="734"/>
      <c r="X87" s="734"/>
      <c r="Y87" s="735"/>
      <c r="Z87" s="736"/>
      <c r="AA87" s="737"/>
      <c r="AB87" s="737"/>
      <c r="AC87" s="737"/>
      <c r="AD87" s="737"/>
      <c r="AE87" s="737"/>
      <c r="AF87" s="738"/>
      <c r="AG87" s="737"/>
      <c r="AH87" s="737"/>
      <c r="AI87" s="737"/>
      <c r="AJ87" s="737"/>
      <c r="AK87" s="1054"/>
      <c r="AL87" s="1022"/>
      <c r="AM87" s="998"/>
      <c r="AN87" s="998"/>
      <c r="AO87" s="998"/>
      <c r="AP87" s="998"/>
      <c r="AQ87" s="998"/>
      <c r="AR87" s="998"/>
      <c r="AS87" s="998"/>
      <c r="AT87" s="998"/>
      <c r="AU87" s="998"/>
      <c r="AV87" s="998"/>
      <c r="AW87" s="998"/>
      <c r="AX87" s="998"/>
      <c r="AY87" s="998"/>
      <c r="AZ87" s="998"/>
      <c r="BA87" s="998"/>
      <c r="BB87" s="998"/>
      <c r="BC87" s="998"/>
      <c r="BD87" s="998"/>
      <c r="BE87" s="998"/>
      <c r="BF87" s="998"/>
      <c r="BG87" s="998"/>
      <c r="BH87" s="998"/>
      <c r="BI87" s="998"/>
      <c r="BJ87" s="998"/>
      <c r="BK87" s="998"/>
      <c r="BL87" s="998"/>
      <c r="BM87" s="998"/>
      <c r="BN87" s="998"/>
      <c r="BO87" s="998"/>
      <c r="BP87" s="998"/>
      <c r="BQ87" s="998"/>
      <c r="BR87" s="998"/>
      <c r="BS87" s="998"/>
      <c r="BT87" s="998"/>
      <c r="BU87" s="998"/>
      <c r="BV87" s="998"/>
      <c r="BW87" s="998"/>
      <c r="BX87" s="999"/>
      <c r="BY87" s="1196"/>
      <c r="BZ87" s="1196"/>
      <c r="CA87" s="988"/>
      <c r="CB87" s="688"/>
      <c r="CC87" s="685"/>
    </row>
    <row r="88" spans="1:81" x14ac:dyDescent="0.35">
      <c r="A88" s="684" t="s">
        <v>329</v>
      </c>
      <c r="B88" s="684"/>
      <c r="C88" s="684"/>
      <c r="D88" s="684"/>
      <c r="E88" s="684"/>
      <c r="F88" s="685"/>
      <c r="G88" s="685"/>
      <c r="H88" s="685"/>
      <c r="I88" s="685"/>
      <c r="J88" s="685"/>
      <c r="K88" s="685"/>
      <c r="L88" s="685"/>
      <c r="M88" s="739" t="s">
        <v>120</v>
      </c>
      <c r="N88" s="730">
        <v>7439.541896695423</v>
      </c>
      <c r="O88" s="740">
        <v>7620.181665367646</v>
      </c>
      <c r="P88" s="740">
        <v>9307.818069900246</v>
      </c>
      <c r="Q88" s="740">
        <v>7293.830335383388</v>
      </c>
      <c r="R88" s="731">
        <v>5864.3322971093985</v>
      </c>
      <c r="S88" s="731">
        <v>6223.0128261245109</v>
      </c>
      <c r="T88" s="731">
        <v>8773.3190289107242</v>
      </c>
      <c r="U88" s="731">
        <v>7980.3831047364329</v>
      </c>
      <c r="V88" s="731">
        <v>8956</v>
      </c>
      <c r="W88" s="731">
        <v>9031</v>
      </c>
      <c r="X88" s="731">
        <f t="shared" ref="X88:AK88" si="47">AVERAGE($U$89:$W$89)*(X7+X8)*2</f>
        <v>9467.3191668392246</v>
      </c>
      <c r="Y88" s="741">
        <f t="shared" si="47"/>
        <v>10133.673567685957</v>
      </c>
      <c r="Z88" s="742">
        <f t="shared" si="47"/>
        <v>7644.2549129196141</v>
      </c>
      <c r="AA88" s="743">
        <f t="shared" si="47"/>
        <v>8847.7621742962328</v>
      </c>
      <c r="AB88" s="731">
        <f t="shared" si="47"/>
        <v>10727.79718615083</v>
      </c>
      <c r="AC88" s="731">
        <f t="shared" si="47"/>
        <v>10138.760242501581</v>
      </c>
      <c r="AD88" s="731">
        <f t="shared" si="47"/>
        <v>10301.533836601546</v>
      </c>
      <c r="AE88" s="731">
        <f t="shared" si="47"/>
        <v>10316.793861048418</v>
      </c>
      <c r="AF88" s="731">
        <f t="shared" si="47"/>
        <v>11360.579533214444</v>
      </c>
      <c r="AG88" s="731">
        <f t="shared" si="47"/>
        <v>12282.285009805497</v>
      </c>
      <c r="AH88" s="731">
        <f t="shared" si="47"/>
        <v>12703.461684539157</v>
      </c>
      <c r="AI88" s="731">
        <f t="shared" si="47"/>
        <v>12565.104129554187</v>
      </c>
      <c r="AJ88" s="731">
        <f t="shared" si="47"/>
        <v>14028.031806527624</v>
      </c>
      <c r="AK88" s="1055">
        <f t="shared" si="47"/>
        <v>14293.556231903192</v>
      </c>
      <c r="AL88" s="1023">
        <v>11673.918701856877</v>
      </c>
      <c r="AM88" s="741">
        <v>10949.576208112032</v>
      </c>
      <c r="AN88" s="741">
        <v>4360.2976519528174</v>
      </c>
      <c r="AO88" s="741">
        <v>5244.3617349082533</v>
      </c>
      <c r="AP88" s="741">
        <v>6585.2092163067164</v>
      </c>
      <c r="AQ88" s="741">
        <v>7891.4673089589369</v>
      </c>
      <c r="AR88" s="741">
        <v>7401.1118567327912</v>
      </c>
      <c r="AS88" s="741">
        <v>7927.0740326683035</v>
      </c>
      <c r="AT88" s="741">
        <v>8630.0524921875294</v>
      </c>
      <c r="AU88" s="741">
        <v>8562.9083846212925</v>
      </c>
      <c r="AV88" s="741">
        <v>9243.5054749517731</v>
      </c>
      <c r="AW88" s="741">
        <v>9652.4741301279355</v>
      </c>
      <c r="AX88" s="741">
        <v>8237.3611964213633</v>
      </c>
      <c r="AY88" s="741">
        <v>8445.9148638619426</v>
      </c>
      <c r="AZ88" s="741">
        <v>9305.5629077023841</v>
      </c>
      <c r="BA88" s="741">
        <v>7638.1509031408659</v>
      </c>
      <c r="BB88" s="741">
        <v>8005.4088248289117</v>
      </c>
      <c r="BC88" s="741">
        <v>8089.847626768269</v>
      </c>
      <c r="BD88" s="741">
        <v>7620.8562087677446</v>
      </c>
      <c r="BE88" s="741">
        <v>8204.8064776013689</v>
      </c>
      <c r="BF88" s="741">
        <v>8049.1542282432774</v>
      </c>
      <c r="BG88" s="741">
        <v>8251.6038859051096</v>
      </c>
      <c r="BH88" s="741">
        <v>7964.715426303921</v>
      </c>
      <c r="BI88" s="741">
        <v>9380.2979515182651</v>
      </c>
      <c r="BJ88" s="741">
        <v>8301.8057022911908</v>
      </c>
      <c r="BK88" s="741">
        <v>9053.6403194405648</v>
      </c>
      <c r="BL88" s="741">
        <v>9009.6373009351337</v>
      </c>
      <c r="BM88" s="741">
        <v>7918.4321378176182</v>
      </c>
      <c r="BN88" s="741">
        <v>7675.6562332740768</v>
      </c>
      <c r="BO88" s="741">
        <v>7367.0841733299467</v>
      </c>
      <c r="BP88" s="741">
        <v>7719.8783937275721</v>
      </c>
      <c r="BQ88" s="741">
        <v>8591.251333104934</v>
      </c>
      <c r="BR88" s="741">
        <v>9015.1244550023403</v>
      </c>
      <c r="BS88" s="741">
        <v>9640.1122528705273</v>
      </c>
      <c r="BT88" s="741">
        <v>9778.2051491397178</v>
      </c>
      <c r="BU88" s="741">
        <v>9684.6485460426102</v>
      </c>
      <c r="BV88" s="741"/>
      <c r="BW88" s="741"/>
      <c r="BX88" s="741"/>
      <c r="BY88" s="1197"/>
      <c r="BZ88" s="1197"/>
      <c r="CA88" s="909"/>
      <c r="CB88" s="688"/>
      <c r="CC88" s="685"/>
    </row>
    <row r="89" spans="1:81" ht="30" x14ac:dyDescent="0.35">
      <c r="A89" s="684"/>
      <c r="B89" s="684"/>
      <c r="C89" s="684"/>
      <c r="D89" s="684"/>
      <c r="E89" s="684"/>
      <c r="F89" s="685"/>
      <c r="G89" s="685"/>
      <c r="H89" s="685"/>
      <c r="I89" s="685"/>
      <c r="J89" s="685"/>
      <c r="K89" s="685"/>
      <c r="L89" s="685"/>
      <c r="M89" s="739" t="s">
        <v>121</v>
      </c>
      <c r="N89" s="744"/>
      <c r="O89" s="745">
        <f t="shared" ref="O89:W89" si="48">O88/(O7+O8)/2</f>
        <v>0.47424580939554678</v>
      </c>
      <c r="P89" s="745">
        <f t="shared" si="48"/>
        <v>0.55364133178088548</v>
      </c>
      <c r="Q89" s="745">
        <f t="shared" si="48"/>
        <v>0.52678248847200548</v>
      </c>
      <c r="R89" s="745">
        <f t="shared" si="48"/>
        <v>0.45523461396595238</v>
      </c>
      <c r="S89" s="745">
        <f t="shared" si="48"/>
        <v>0.45159744746912273</v>
      </c>
      <c r="T89" s="745">
        <f t="shared" si="48"/>
        <v>0.56932634840432994</v>
      </c>
      <c r="U89" s="745">
        <f t="shared" si="48"/>
        <v>0.48821626726639133</v>
      </c>
      <c r="V89" s="745">
        <f t="shared" si="48"/>
        <v>0.54042964035722907</v>
      </c>
      <c r="W89" s="745">
        <f t="shared" si="48"/>
        <v>0.49735653706355326</v>
      </c>
      <c r="X89" s="744"/>
      <c r="Y89" s="746"/>
      <c r="Z89" s="747"/>
      <c r="AA89" s="748"/>
      <c r="AB89" s="748"/>
      <c r="AC89" s="748"/>
      <c r="AD89" s="748"/>
      <c r="AE89" s="748"/>
      <c r="AF89" s="748"/>
      <c r="AG89" s="748"/>
      <c r="AH89" s="748"/>
      <c r="AI89" s="748"/>
      <c r="AJ89" s="748"/>
      <c r="AK89" s="1056"/>
      <c r="AL89" s="1001"/>
      <c r="AM89" s="1001"/>
      <c r="AN89" s="1001"/>
      <c r="AO89" s="1001"/>
      <c r="AP89" s="1001"/>
      <c r="AQ89" s="1001"/>
      <c r="AR89" s="1001"/>
      <c r="AS89" s="1001"/>
      <c r="AT89" s="1001"/>
      <c r="AU89" s="1001"/>
      <c r="AV89" s="1001"/>
      <c r="AW89" s="1001"/>
      <c r="AX89" s="1001"/>
      <c r="AY89" s="1001"/>
      <c r="AZ89" s="1001"/>
      <c r="BA89" s="1001"/>
      <c r="BB89" s="1001"/>
      <c r="BC89" s="1001"/>
      <c r="BD89" s="1001"/>
      <c r="BE89" s="1001"/>
      <c r="BF89" s="1001">
        <v>0</v>
      </c>
      <c r="BG89" s="1001">
        <v>-1.3576780925931287E-3</v>
      </c>
      <c r="BH89" s="1001">
        <v>-1.1298764513818504E-2</v>
      </c>
      <c r="BI89" s="1001">
        <v>1.4365488600919685E-2</v>
      </c>
      <c r="BJ89" s="1001">
        <v>2.7445220147779947E-2</v>
      </c>
      <c r="BK89" s="1001">
        <v>4.6657128751581345E-2</v>
      </c>
      <c r="BL89" s="1001">
        <v>6.9382104438636683E-2</v>
      </c>
      <c r="BM89" s="1001">
        <v>7.7309635784106323E-2</v>
      </c>
      <c r="BN89" s="1001">
        <v>8.7847143309412123E-2</v>
      </c>
      <c r="BO89" s="1001">
        <v>9.8166172108744121E-2</v>
      </c>
      <c r="BP89" s="1001">
        <v>0.10793509121946476</v>
      </c>
      <c r="BQ89" s="1001">
        <v>0.11154725302950053</v>
      </c>
      <c r="BR89" s="1001">
        <v>0.11753957221665945</v>
      </c>
      <c r="BS89" s="1001">
        <v>0.12191901992051801</v>
      </c>
      <c r="BT89" s="1001">
        <v>0.12665168230318069</v>
      </c>
      <c r="BU89" s="1001">
        <v>0.13219031699852368</v>
      </c>
      <c r="BV89" s="1001"/>
      <c r="BW89" s="1001"/>
      <c r="CA89" s="910"/>
      <c r="CB89" s="688"/>
      <c r="CC89" s="685"/>
    </row>
    <row r="90" spans="1:81" x14ac:dyDescent="0.35">
      <c r="A90" s="684"/>
      <c r="B90" s="684"/>
      <c r="C90" s="684"/>
      <c r="D90" s="684"/>
      <c r="E90" s="684"/>
      <c r="F90" s="685"/>
      <c r="G90" s="685"/>
      <c r="H90" s="685"/>
      <c r="I90" s="685"/>
      <c r="J90" s="685"/>
      <c r="K90" s="685"/>
      <c r="L90" s="685"/>
      <c r="M90" s="739"/>
      <c r="N90" s="744"/>
      <c r="O90" s="744"/>
      <c r="P90" s="744"/>
      <c r="Q90" s="744"/>
      <c r="R90" s="749">
        <f t="shared" ref="R90:Y90" si="49">R75</f>
        <v>0</v>
      </c>
      <c r="S90" s="749">
        <f t="shared" si="49"/>
        <v>0</v>
      </c>
      <c r="T90" s="749">
        <f t="shared" si="49"/>
        <v>0</v>
      </c>
      <c r="U90" s="749">
        <f t="shared" si="49"/>
        <v>0</v>
      </c>
      <c r="V90" s="749">
        <f t="shared" si="49"/>
        <v>0</v>
      </c>
      <c r="W90" s="749">
        <f t="shared" si="49"/>
        <v>0</v>
      </c>
      <c r="X90" s="749">
        <f t="shared" si="49"/>
        <v>0</v>
      </c>
      <c r="Y90" s="750">
        <f t="shared" si="49"/>
        <v>0</v>
      </c>
      <c r="Z90" s="751"/>
      <c r="AA90" s="752"/>
      <c r="AB90" s="752"/>
      <c r="AC90" s="752"/>
      <c r="AD90" s="752"/>
      <c r="AE90" s="752"/>
      <c r="AF90" s="752"/>
      <c r="AG90" s="752"/>
      <c r="AH90" s="752"/>
      <c r="AI90" s="752"/>
      <c r="AJ90" s="752"/>
      <c r="AK90" s="1057"/>
      <c r="AL90" s="1001"/>
      <c r="AM90" s="1001"/>
      <c r="AN90" s="1001"/>
      <c r="AO90" s="1001"/>
      <c r="AP90" s="1001"/>
      <c r="AQ90" s="1001"/>
      <c r="AR90" s="1001"/>
      <c r="AS90" s="1001"/>
      <c r="AT90" s="1001"/>
      <c r="AU90" s="1001"/>
      <c r="AV90" s="1001"/>
      <c r="AW90" s="1001"/>
      <c r="AX90" s="1001"/>
      <c r="AY90" s="1001"/>
      <c r="AZ90" s="1001"/>
      <c r="BA90" s="1001"/>
      <c r="BB90" s="1001"/>
      <c r="BC90" s="1001"/>
      <c r="BD90" s="1001"/>
      <c r="BE90" s="1001"/>
      <c r="BF90" s="1001"/>
      <c r="BG90" s="1001"/>
      <c r="BH90" s="1001"/>
      <c r="BI90" s="1001"/>
      <c r="BJ90" s="1001">
        <v>1.2894495814226525E-2</v>
      </c>
      <c r="BK90" s="1001">
        <v>3.1834324524585789E-2</v>
      </c>
      <c r="BL90" s="1001">
        <v>5.4237468107870557E-2</v>
      </c>
      <c r="BM90" s="1001">
        <v>6.2052729406245399E-2</v>
      </c>
      <c r="BN90" s="1001">
        <v>7.2441004287166155E-2</v>
      </c>
      <c r="BO90" s="1001">
        <v>8.2613894547425737E-2</v>
      </c>
      <c r="BP90" s="1001">
        <v>9.224446579664547E-2</v>
      </c>
      <c r="BQ90" s="1001">
        <v>9.5805472012479909E-2</v>
      </c>
      <c r="BR90" s="1001">
        <v>0.10171292771212515</v>
      </c>
      <c r="BS90" s="1001">
        <v>0.10603035348525447</v>
      </c>
      <c r="BT90" s="1001">
        <v>0.11069599169539357</v>
      </c>
      <c r="BU90" s="1001">
        <v>0.11615618800292182</v>
      </c>
      <c r="BV90" s="1001"/>
      <c r="BW90" s="1001"/>
      <c r="CA90" s="911"/>
      <c r="CB90" s="688"/>
      <c r="CC90" s="685"/>
    </row>
    <row r="91" spans="1:81" x14ac:dyDescent="0.35">
      <c r="A91" s="684"/>
      <c r="B91" s="684"/>
      <c r="C91" s="684"/>
      <c r="D91" s="684"/>
      <c r="E91" s="684"/>
      <c r="F91" s="685"/>
      <c r="G91" s="685"/>
      <c r="H91" s="685"/>
      <c r="I91" s="685"/>
      <c r="J91" s="685"/>
      <c r="K91" s="685"/>
      <c r="L91" s="685"/>
      <c r="M91" s="739"/>
      <c r="N91" s="781">
        <v>0.156</v>
      </c>
      <c r="O91" s="744"/>
      <c r="P91" s="753">
        <v>481.8</v>
      </c>
      <c r="Q91" s="754">
        <v>494.18564514231502</v>
      </c>
      <c r="R91" s="754">
        <v>503.70049959288718</v>
      </c>
      <c r="S91" s="754">
        <v>520.93308887071828</v>
      </c>
      <c r="T91" s="754">
        <v>531.01115622100031</v>
      </c>
      <c r="U91" s="754">
        <v>526.44686994486233</v>
      </c>
      <c r="V91" s="754">
        <v>520.66037376730696</v>
      </c>
      <c r="W91" s="754">
        <v>529.4676646712378</v>
      </c>
      <c r="X91" s="754">
        <v>529.04336160927915</v>
      </c>
      <c r="Y91" s="755">
        <v>526.53846577028105</v>
      </c>
      <c r="Z91" s="756"/>
      <c r="AA91" s="757"/>
      <c r="AB91" s="757"/>
      <c r="AC91" s="757"/>
      <c r="AD91" s="757"/>
      <c r="AE91" s="757"/>
      <c r="AF91" s="757"/>
      <c r="AG91" s="757"/>
      <c r="AH91" s="757"/>
      <c r="AI91" s="757"/>
      <c r="AJ91" s="757"/>
      <c r="AK91" s="1058"/>
      <c r="BJ91">
        <v>1.2894495814226525E-2</v>
      </c>
      <c r="BK91">
        <v>1.8939828710359263E-2</v>
      </c>
      <c r="BL91">
        <v>2.2403143583284768E-2</v>
      </c>
      <c r="BM91">
        <v>7.8152612983748426E-3</v>
      </c>
      <c r="BN91">
        <v>1.0388274880920756E-2</v>
      </c>
      <c r="BO91">
        <v>1.0172890260259582E-2</v>
      </c>
      <c r="BP91">
        <v>9.6305712492197326E-3</v>
      </c>
      <c r="BQ91">
        <v>3.5610062158344391E-3</v>
      </c>
      <c r="BR91">
        <v>5.9074556996452365E-3</v>
      </c>
      <c r="BS91">
        <v>4.3174257731293242E-3</v>
      </c>
      <c r="BT91">
        <v>4.6656382101391003E-3</v>
      </c>
      <c r="BU91">
        <v>5.4601963075282534E-3</v>
      </c>
      <c r="CA91" s="912"/>
      <c r="CB91" s="688"/>
      <c r="CC91" s="685"/>
    </row>
    <row r="92" spans="1:81" x14ac:dyDescent="0.35">
      <c r="A92" s="684"/>
      <c r="B92" s="684"/>
      <c r="C92" s="684"/>
      <c r="D92" s="684"/>
      <c r="E92" s="684"/>
      <c r="F92" s="685"/>
      <c r="G92" s="685"/>
      <c r="H92" s="685"/>
      <c r="I92" s="685"/>
      <c r="J92" s="685"/>
      <c r="K92" s="685"/>
      <c r="L92" s="685"/>
      <c r="M92" s="685"/>
      <c r="N92" s="685"/>
      <c r="O92" s="685"/>
      <c r="P92" s="685"/>
      <c r="Q92" s="685"/>
      <c r="R92" s="685"/>
      <c r="S92" s="685"/>
      <c r="T92" s="685"/>
      <c r="U92" s="685"/>
      <c r="V92" s="685"/>
      <c r="W92" s="685"/>
      <c r="X92" s="685"/>
      <c r="Y92" s="685"/>
      <c r="Z92" s="758"/>
      <c r="AA92" s="685"/>
      <c r="AB92" s="685"/>
      <c r="AC92" s="685"/>
      <c r="AD92" s="685"/>
      <c r="AE92" s="685"/>
      <c r="AF92" s="685"/>
      <c r="AG92" s="685"/>
      <c r="AH92" s="685"/>
      <c r="AI92" s="685"/>
      <c r="AJ92" s="685"/>
      <c r="AK92" s="1059"/>
      <c r="AN92" s="937">
        <v>780.75581395348843</v>
      </c>
      <c r="AO92" s="937">
        <v>574.24418604651157</v>
      </c>
      <c r="BU92">
        <v>0.11615618800292182</v>
      </c>
      <c r="CA92" s="913"/>
      <c r="CB92" s="688"/>
      <c r="CC92" s="685"/>
    </row>
    <row r="93" spans="1:81" x14ac:dyDescent="0.35">
      <c r="A93" s="684" t="s">
        <v>331</v>
      </c>
      <c r="B93" s="684"/>
      <c r="C93" s="684"/>
      <c r="D93" s="684"/>
      <c r="E93" s="684"/>
      <c r="F93" s="685"/>
      <c r="G93" s="685"/>
      <c r="H93" s="685"/>
      <c r="I93" s="685"/>
      <c r="J93" s="685"/>
      <c r="K93" s="685"/>
      <c r="L93" s="685"/>
      <c r="M93" s="685"/>
      <c r="N93" s="685"/>
      <c r="O93" s="685"/>
      <c r="P93" s="685"/>
      <c r="Q93" s="685"/>
      <c r="R93" s="685"/>
      <c r="S93" s="685"/>
      <c r="T93" s="685"/>
      <c r="U93" s="685"/>
      <c r="V93" s="685"/>
      <c r="W93" s="685"/>
      <c r="X93" s="685"/>
      <c r="Y93" s="685"/>
      <c r="Z93" s="688">
        <f t="shared" ref="Z93:AK93" si="50">Z71-Y71</f>
        <v>-312</v>
      </c>
      <c r="AA93" s="688">
        <f t="shared" si="50"/>
        <v>-278</v>
      </c>
      <c r="AB93" s="688">
        <f t="shared" si="50"/>
        <v>-1508</v>
      </c>
      <c r="AC93" s="688">
        <f t="shared" si="50"/>
        <v>965</v>
      </c>
      <c r="AD93" s="688">
        <f t="shared" si="50"/>
        <v>-160</v>
      </c>
      <c r="AE93" s="688">
        <f t="shared" si="50"/>
        <v>517.70000000000073</v>
      </c>
      <c r="AF93" s="688">
        <f t="shared" si="50"/>
        <v>593.29999999999927</v>
      </c>
      <c r="AG93" s="688">
        <f t="shared" si="50"/>
        <v>2663</v>
      </c>
      <c r="AH93" s="688">
        <f t="shared" si="50"/>
        <v>-2908</v>
      </c>
      <c r="AI93" s="688">
        <f t="shared" si="50"/>
        <v>948</v>
      </c>
      <c r="AJ93" s="688">
        <f t="shared" si="50"/>
        <v>944</v>
      </c>
      <c r="AK93" s="1177">
        <f t="shared" si="50"/>
        <v>-152.5</v>
      </c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  <c r="BA93" s="94"/>
      <c r="BB93" s="94"/>
      <c r="BC93" s="94"/>
      <c r="BD93" s="94"/>
      <c r="BE93" s="94"/>
      <c r="BF93" s="94"/>
      <c r="BG93" s="94"/>
      <c r="BH93" s="94"/>
      <c r="BI93" s="1367" t="s">
        <v>656</v>
      </c>
      <c r="BJ93" s="1367">
        <v>-2112.1541194737038</v>
      </c>
      <c r="BK93" s="1367">
        <v>-3317.7469936024254</v>
      </c>
      <c r="BL93" s="1367">
        <v>-3817.6859361575016</v>
      </c>
      <c r="BM93" s="1367">
        <v>-2389.1432207682706</v>
      </c>
      <c r="BN93" s="1367">
        <v>-2962.2229270122216</v>
      </c>
      <c r="BO93" s="1367">
        <v>-2887.8229519768984</v>
      </c>
      <c r="BP93" s="1367">
        <v>-2838.1153317969761</v>
      </c>
      <c r="BQ93" s="1367">
        <v>-1163.8678427204138</v>
      </c>
      <c r="BR93" s="1367">
        <v>-2014.5614004773838</v>
      </c>
      <c r="BS93" s="1367">
        <v>-1567.9107550674344</v>
      </c>
      <c r="BT93" s="1367">
        <v>-1711.0150865736628</v>
      </c>
      <c r="BU93" s="1367">
        <v>-1972.9974423313565</v>
      </c>
      <c r="BV93" s="1367">
        <v>-28755.244007958248</v>
      </c>
      <c r="BW93" s="94"/>
      <c r="BX93" s="94"/>
      <c r="BY93" s="94"/>
      <c r="BZ93" s="94"/>
      <c r="CA93" s="914"/>
      <c r="CB93" s="688"/>
      <c r="CC93" s="685"/>
    </row>
    <row r="94" spans="1:81" x14ac:dyDescent="0.35">
      <c r="A94" s="685"/>
      <c r="B94" s="684"/>
      <c r="C94" s="684"/>
      <c r="D94" s="684"/>
      <c r="E94" s="684"/>
      <c r="F94" s="685"/>
      <c r="G94" s="685"/>
      <c r="H94" s="685"/>
      <c r="I94" s="685"/>
      <c r="J94" s="685"/>
      <c r="K94" s="685"/>
      <c r="L94" s="685"/>
      <c r="M94" s="685"/>
      <c r="N94" s="685"/>
      <c r="O94" s="685"/>
      <c r="P94" s="685"/>
      <c r="Q94" s="685"/>
      <c r="R94" s="685"/>
      <c r="S94" s="685"/>
      <c r="T94" s="685"/>
      <c r="U94" s="685"/>
      <c r="V94" s="685"/>
      <c r="W94" s="685"/>
      <c r="X94" s="685"/>
      <c r="Y94" s="685"/>
      <c r="Z94" s="758"/>
      <c r="AA94" s="685"/>
      <c r="AB94" s="685"/>
      <c r="AC94" s="685"/>
      <c r="AD94" s="685"/>
      <c r="AE94" s="685"/>
      <c r="AF94" s="685"/>
      <c r="AG94" s="685"/>
      <c r="AH94" s="685"/>
      <c r="AI94" s="685"/>
      <c r="AJ94" s="685"/>
      <c r="AK94" s="1059"/>
      <c r="AL94">
        <v>-499</v>
      </c>
      <c r="AM94">
        <v>-605</v>
      </c>
      <c r="AN94">
        <v>2652</v>
      </c>
      <c r="AO94">
        <v>781</v>
      </c>
      <c r="AP94">
        <v>868</v>
      </c>
      <c r="AQ94">
        <v>1813</v>
      </c>
      <c r="AR94">
        <v>-39</v>
      </c>
      <c r="AS94">
        <v>1372</v>
      </c>
      <c r="AT94">
        <v>-167</v>
      </c>
      <c r="AU94">
        <v>3917</v>
      </c>
      <c r="AV94">
        <v>2539</v>
      </c>
      <c r="AW94">
        <v>1426</v>
      </c>
      <c r="AX94">
        <v>3386</v>
      </c>
      <c r="AY94">
        <v>219</v>
      </c>
      <c r="BI94" s="1173">
        <v>37.093925806451622</v>
      </c>
      <c r="BJ94" s="1173">
        <v>36.915031311056012</v>
      </c>
      <c r="BK94" s="1173">
        <v>36.659147339145228</v>
      </c>
      <c r="BL94" s="1173">
        <v>36.36563607366962</v>
      </c>
      <c r="BM94" s="1173">
        <v>36.043414117146995</v>
      </c>
      <c r="BN94" s="1173">
        <v>35.780394558323529</v>
      </c>
      <c r="BO94" s="1173">
        <v>35.277542123764832</v>
      </c>
      <c r="BP94" s="1173">
        <v>34.812151370656714</v>
      </c>
      <c r="BQ94" s="1173">
        <v>34.641499429528537</v>
      </c>
      <c r="BR94" s="1173">
        <v>34.362272075935017</v>
      </c>
      <c r="BS94" s="1173">
        <v>34.160236697437639</v>
      </c>
      <c r="BT94" s="1173">
        <v>33.944249400121585</v>
      </c>
      <c r="BU94" s="1173">
        <v>33.694634381656613</v>
      </c>
      <c r="BV94" s="1173"/>
      <c r="CA94" s="913"/>
      <c r="CB94" s="688"/>
      <c r="CC94" s="685"/>
    </row>
    <row r="95" spans="1:81" x14ac:dyDescent="0.35">
      <c r="A95" s="762"/>
      <c r="B95" s="684"/>
      <c r="C95" s="684"/>
      <c r="D95" s="684"/>
      <c r="E95" s="684"/>
      <c r="F95" s="685"/>
      <c r="G95" s="685"/>
      <c r="H95" s="685"/>
      <c r="I95" s="685"/>
      <c r="J95" s="685"/>
      <c r="K95" s="685"/>
      <c r="L95" s="685"/>
      <c r="M95" s="685"/>
      <c r="N95" s="685"/>
      <c r="O95" s="685"/>
      <c r="P95" s="685"/>
      <c r="Q95" s="685"/>
      <c r="R95" s="685"/>
      <c r="S95" s="685"/>
      <c r="T95" s="685"/>
      <c r="U95" s="685"/>
      <c r="V95" s="685"/>
      <c r="W95" s="685"/>
      <c r="X95" s="685"/>
      <c r="Y95" s="685"/>
      <c r="Z95" s="759"/>
      <c r="AA95" s="759"/>
      <c r="AB95" s="759"/>
      <c r="AC95" s="759"/>
      <c r="AD95" s="759"/>
      <c r="AE95" s="759"/>
      <c r="AF95" s="759"/>
      <c r="AG95" s="759"/>
      <c r="AH95" s="759"/>
      <c r="AI95" s="759"/>
      <c r="AJ95" s="759"/>
      <c r="AK95" s="1060"/>
      <c r="AL95">
        <v>33.534706038705167</v>
      </c>
      <c r="AM95">
        <v>247.5693390571011</v>
      </c>
      <c r="AN95">
        <v>681.84968286000003</v>
      </c>
      <c r="AO95">
        <v>296.91778221426114</v>
      </c>
      <c r="AP95">
        <v>76.284796024597568</v>
      </c>
      <c r="AQ95">
        <v>177.5</v>
      </c>
      <c r="AR95">
        <v>0</v>
      </c>
      <c r="AS95">
        <v>139.88183285999997</v>
      </c>
      <c r="AT95">
        <v>624.6</v>
      </c>
      <c r="AU95">
        <v>84.5</v>
      </c>
      <c r="AV95">
        <v>864.41679590905778</v>
      </c>
      <c r="AW95">
        <v>163.60749999999999</v>
      </c>
      <c r="AX95">
        <v>41.408951400108251</v>
      </c>
      <c r="AY95">
        <v>140.61031260671675</v>
      </c>
      <c r="BI95" s="1174">
        <v>37.093925806451622</v>
      </c>
      <c r="BJ95" s="1174">
        <v>36.804095861140226</v>
      </c>
      <c r="BK95" s="1174">
        <v>36.391322249941361</v>
      </c>
      <c r="BL95" s="1174">
        <v>35.920208477432972</v>
      </c>
      <c r="BM95" s="1174">
        <v>35.405859692758582</v>
      </c>
      <c r="BN95" s="1174">
        <v>34.987919248072032</v>
      </c>
      <c r="BO95" s="1174">
        <v>34.195839564231562</v>
      </c>
      <c r="BP95" s="1174">
        <v>33.468763381871561</v>
      </c>
      <c r="BQ95" s="1174">
        <v>33.202969583424512</v>
      </c>
      <c r="BR95" s="1174">
        <v>32.770247386520616</v>
      </c>
      <c r="BS95" s="1174">
        <v>32.458296913645718</v>
      </c>
      <c r="BT95" s="1174">
        <v>32.126116822434653</v>
      </c>
      <c r="BU95" s="1174">
        <v>31.743974941847611</v>
      </c>
      <c r="BV95" s="1174"/>
      <c r="CA95" s="915"/>
      <c r="CB95" s="688"/>
      <c r="CC95" s="685"/>
    </row>
    <row r="96" spans="1:81" ht="21" x14ac:dyDescent="0.35">
      <c r="A96" s="762"/>
      <c r="B96" s="684"/>
      <c r="C96" s="684"/>
      <c r="D96" s="684"/>
      <c r="E96" s="684"/>
      <c r="F96" s="685"/>
      <c r="G96" s="685"/>
      <c r="H96" s="685"/>
      <c r="I96" s="685"/>
      <c r="J96" s="685"/>
      <c r="K96" s="685"/>
      <c r="L96" s="685"/>
      <c r="M96" s="685"/>
      <c r="N96" s="685"/>
      <c r="O96" s="685"/>
      <c r="P96" s="685"/>
      <c r="Q96" s="685"/>
      <c r="R96" s="685"/>
      <c r="S96" s="685"/>
      <c r="T96" s="685"/>
      <c r="U96" s="685"/>
      <c r="V96" s="685"/>
      <c r="W96" s="685"/>
      <c r="X96" s="685"/>
      <c r="Y96" s="685"/>
      <c r="Z96" s="759"/>
      <c r="AA96" s="759"/>
      <c r="AB96" s="759"/>
      <c r="AC96" s="759"/>
      <c r="AD96" s="759"/>
      <c r="AE96" s="759"/>
      <c r="AF96" s="759"/>
      <c r="AG96" s="759"/>
      <c r="AH96" s="759"/>
      <c r="AI96" s="759"/>
      <c r="AJ96" s="759"/>
      <c r="AK96" s="1060"/>
      <c r="BJ96" s="998">
        <v>36.859563586098119</v>
      </c>
      <c r="BK96" s="998">
        <v>36.525234794543294</v>
      </c>
      <c r="BL96" s="998">
        <v>36.1429222755513</v>
      </c>
      <c r="BM96" s="998">
        <v>35.724636904952789</v>
      </c>
      <c r="BN96" s="998">
        <v>35.384156903197777</v>
      </c>
      <c r="BO96" s="998">
        <v>34.736690843998197</v>
      </c>
      <c r="BP96" s="998">
        <v>34.140457376264138</v>
      </c>
      <c r="BQ96" s="998">
        <v>33.922234506476528</v>
      </c>
      <c r="BR96" s="998">
        <v>33.566259731227817</v>
      </c>
      <c r="BS96" s="998">
        <v>33.309266805541682</v>
      </c>
      <c r="BT96" s="998">
        <v>33.035183111278116</v>
      </c>
      <c r="BU96" s="998">
        <v>32.719304661752112</v>
      </c>
      <c r="BV96" s="998">
        <v>34.672159291740158</v>
      </c>
      <c r="CA96" s="915"/>
      <c r="CB96" s="688"/>
      <c r="CC96" s="685"/>
    </row>
    <row r="97" spans="1:81" x14ac:dyDescent="0.35">
      <c r="A97" s="684"/>
      <c r="B97" s="684"/>
      <c r="C97" s="684"/>
      <c r="D97" s="684"/>
      <c r="E97" s="684"/>
      <c r="F97" s="685"/>
      <c r="G97" s="685"/>
      <c r="H97" s="685"/>
      <c r="I97" s="685"/>
      <c r="J97" s="685"/>
      <c r="K97" s="685"/>
      <c r="L97" s="685"/>
      <c r="M97" s="685"/>
      <c r="N97" s="685"/>
      <c r="O97" s="685"/>
      <c r="P97" s="685"/>
      <c r="Q97" s="685"/>
      <c r="R97" s="685"/>
      <c r="S97" s="685"/>
      <c r="T97" s="685"/>
      <c r="U97" s="685"/>
      <c r="V97" s="685"/>
      <c r="W97" s="685"/>
      <c r="X97" s="685"/>
      <c r="Y97" s="685"/>
      <c r="Z97" s="758"/>
      <c r="AA97" s="685"/>
      <c r="AB97" s="685"/>
      <c r="AC97" s="685"/>
      <c r="AD97" s="685"/>
      <c r="AE97" s="685"/>
      <c r="AF97" s="685"/>
      <c r="AG97" s="685"/>
      <c r="AH97" s="685"/>
      <c r="AI97" s="685"/>
      <c r="AJ97" s="685"/>
      <c r="AK97" s="1059"/>
      <c r="CA97" s="913"/>
      <c r="CB97" s="688"/>
      <c r="CC97" s="685"/>
    </row>
    <row r="98" spans="1:81" x14ac:dyDescent="0.35">
      <c r="A98" s="684"/>
      <c r="B98" s="684"/>
      <c r="C98" s="684"/>
      <c r="D98" s="684"/>
      <c r="E98" s="684"/>
      <c r="F98" s="685"/>
      <c r="G98" s="685"/>
      <c r="H98" s="685"/>
      <c r="I98" s="685"/>
      <c r="J98" s="685"/>
      <c r="K98" s="685"/>
      <c r="L98" s="685"/>
      <c r="M98" s="685"/>
      <c r="N98" s="685"/>
      <c r="O98" s="685"/>
      <c r="P98" s="685"/>
      <c r="Q98" s="685"/>
      <c r="R98" s="685"/>
      <c r="S98" s="685"/>
      <c r="T98" s="685"/>
      <c r="U98" s="685"/>
      <c r="V98" s="685"/>
      <c r="W98" s="685"/>
      <c r="X98" s="685"/>
      <c r="Y98" s="685"/>
      <c r="Z98" s="758"/>
      <c r="AA98" s="685"/>
      <c r="AB98" s="685"/>
      <c r="AC98" s="685"/>
      <c r="AD98" s="685"/>
      <c r="AE98" s="685"/>
      <c r="AF98" s="685"/>
      <c r="AG98" s="685"/>
      <c r="AH98" s="685"/>
      <c r="AI98" s="685"/>
      <c r="AJ98" s="685"/>
      <c r="AK98" s="1059"/>
      <c r="BU98">
        <v>-0.11793362523895079</v>
      </c>
      <c r="CA98" s="913"/>
      <c r="CB98" s="688"/>
      <c r="CC98" s="685"/>
    </row>
    <row r="99" spans="1:81" x14ac:dyDescent="0.35">
      <c r="A99" s="684"/>
      <c r="B99" s="684"/>
      <c r="C99" s="684"/>
      <c r="D99" s="684"/>
      <c r="E99" s="684"/>
      <c r="F99" s="685"/>
      <c r="G99" s="685"/>
      <c r="H99" s="685"/>
      <c r="I99" s="685"/>
      <c r="J99" s="685"/>
      <c r="K99" s="685"/>
      <c r="L99" s="685"/>
      <c r="M99" s="685"/>
      <c r="N99" s="685"/>
      <c r="O99" s="685"/>
      <c r="P99" s="685"/>
      <c r="Q99" s="685"/>
      <c r="R99" s="685"/>
      <c r="S99" s="685"/>
      <c r="T99" s="685"/>
      <c r="U99" s="685"/>
      <c r="V99" s="685"/>
      <c r="W99" s="685"/>
      <c r="X99" s="685"/>
      <c r="Y99" s="685"/>
      <c r="Z99" s="758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1059"/>
      <c r="AX99">
        <v>3427.4089514001084</v>
      </c>
      <c r="AY99">
        <v>359.61031260671678</v>
      </c>
      <c r="CA99" s="913"/>
      <c r="CB99" s="688"/>
      <c r="CC99" s="685"/>
    </row>
    <row r="100" spans="1:81" x14ac:dyDescent="0.35">
      <c r="A100" s="684"/>
      <c r="B100" s="684"/>
      <c r="C100" s="684"/>
      <c r="D100" s="684"/>
      <c r="E100" s="684"/>
      <c r="F100" s="685"/>
      <c r="G100" s="685"/>
      <c r="H100" s="685"/>
      <c r="I100" s="685"/>
      <c r="J100" s="685"/>
      <c r="K100" s="685"/>
      <c r="L100" s="685"/>
      <c r="M100" s="685"/>
      <c r="N100" s="685"/>
      <c r="O100" s="685"/>
      <c r="P100" s="685"/>
      <c r="Q100" s="685"/>
      <c r="R100" s="685"/>
      <c r="S100" s="685"/>
      <c r="T100" s="685"/>
      <c r="U100" s="685"/>
      <c r="V100" s="685"/>
      <c r="W100" s="685"/>
      <c r="X100" s="685"/>
      <c r="Y100" s="685"/>
      <c r="Z100" s="758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1059"/>
      <c r="CA100" s="913"/>
      <c r="CB100" s="688"/>
      <c r="CC100" s="685"/>
    </row>
    <row r="101" spans="1:81" x14ac:dyDescent="0.35">
      <c r="AK101" s="1061"/>
    </row>
    <row r="102" spans="1:81" x14ac:dyDescent="0.35">
      <c r="AK102" s="1061"/>
    </row>
    <row r="103" spans="1:81" x14ac:dyDescent="0.35">
      <c r="AK103" s="1061"/>
      <c r="AL103">
        <v>27.981270967741931</v>
      </c>
      <c r="AM103">
        <v>28.413664285714287</v>
      </c>
      <c r="AN103">
        <v>29.254900000000013</v>
      </c>
      <c r="AO103">
        <v>29.254900000000013</v>
      </c>
      <c r="AP103">
        <v>29.254900000000013</v>
      </c>
      <c r="AQ103">
        <v>29.254900000000013</v>
      </c>
      <c r="AR103">
        <v>31.850083870967769</v>
      </c>
      <c r="AS103">
        <v>36.568600000000032</v>
      </c>
      <c r="AT103">
        <v>36.568600000000032</v>
      </c>
      <c r="AU103">
        <v>36.568600000000032</v>
      </c>
      <c r="AV103">
        <v>36.568600000000032</v>
      </c>
      <c r="AW103">
        <v>36.568600000000032</v>
      </c>
    </row>
    <row r="104" spans="1:81" ht="18.75" x14ac:dyDescent="0.35">
      <c r="A104" s="603"/>
      <c r="N104" s="605"/>
      <c r="O104" s="605"/>
      <c r="P104" s="605"/>
      <c r="Q104" s="605"/>
      <c r="R104" s="605"/>
      <c r="S104" s="605"/>
      <c r="T104" s="605"/>
      <c r="U104" s="605"/>
      <c r="V104" s="605"/>
      <c r="W104" s="605"/>
      <c r="X104" s="605"/>
      <c r="Y104" s="606"/>
      <c r="Z104" s="607"/>
      <c r="AA104" s="607"/>
      <c r="AB104" s="607"/>
      <c r="AC104" s="607"/>
      <c r="AD104" s="607"/>
      <c r="AE104" s="607"/>
      <c r="AF104" s="607"/>
      <c r="AG104" s="607"/>
      <c r="AH104" s="607"/>
      <c r="AI104" s="607"/>
      <c r="AJ104" s="607"/>
      <c r="AK104" s="1062"/>
      <c r="AL104" s="945"/>
      <c r="AM104" s="945"/>
      <c r="AN104" s="945"/>
      <c r="AO104" s="945"/>
      <c r="AP104" s="945"/>
      <c r="AQ104" s="945"/>
      <c r="AR104" s="945"/>
      <c r="AS104" s="945"/>
      <c r="AT104" s="945"/>
      <c r="AU104" s="945"/>
      <c r="AV104" s="945"/>
      <c r="AW104" s="945"/>
      <c r="AX104" s="1107"/>
      <c r="AY104" s="1107"/>
      <c r="AZ104" s="1107"/>
      <c r="BA104" s="1107"/>
      <c r="BB104" s="1107"/>
      <c r="BC104" s="1107"/>
      <c r="BD104" s="1107"/>
      <c r="BE104" s="1107"/>
      <c r="BF104" s="1107"/>
      <c r="BG104" s="1107"/>
      <c r="BH104" s="1107"/>
      <c r="BI104" s="1107"/>
      <c r="BJ104" s="1107"/>
      <c r="BK104" s="1107"/>
      <c r="BL104" s="1107"/>
      <c r="BM104" s="1107"/>
      <c r="BN104" s="1107"/>
      <c r="BO104" s="1107"/>
      <c r="BP104" s="1107"/>
      <c r="BQ104" s="1107"/>
      <c r="BR104" s="1107"/>
      <c r="BS104" s="1107"/>
      <c r="BT104" s="1107"/>
      <c r="BU104" s="1107"/>
      <c r="BV104" s="1107"/>
      <c r="BW104" s="1107"/>
    </row>
    <row r="105" spans="1:81" x14ac:dyDescent="0.35">
      <c r="A105" s="601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604"/>
      <c r="AA105" s="114"/>
      <c r="AB105" s="114"/>
      <c r="AC105" s="114"/>
      <c r="AD105" s="114"/>
      <c r="AE105" s="114"/>
      <c r="AF105" s="114"/>
      <c r="AG105" s="114"/>
      <c r="AH105" s="114"/>
      <c r="AI105" s="114"/>
      <c r="AJ105" s="114"/>
      <c r="AK105" s="1063"/>
      <c r="AL105" s="957"/>
      <c r="AM105" s="957"/>
      <c r="AN105" s="957"/>
      <c r="AO105" s="957"/>
      <c r="AP105" s="957"/>
      <c r="AQ105" s="957"/>
      <c r="AR105" s="957"/>
      <c r="AS105" s="957"/>
      <c r="AT105" s="957"/>
      <c r="AU105" s="957"/>
      <c r="AV105" s="957"/>
      <c r="AW105" s="957"/>
      <c r="AX105" s="957"/>
      <c r="AY105" s="957"/>
      <c r="AZ105" s="957"/>
      <c r="BA105" s="957"/>
      <c r="BB105" s="957"/>
      <c r="BC105" s="957"/>
      <c r="BD105" s="957"/>
      <c r="BE105" s="957"/>
      <c r="BF105" s="957"/>
      <c r="BG105" s="957"/>
      <c r="BH105" s="957"/>
      <c r="BI105" s="957"/>
      <c r="BJ105" s="957"/>
      <c r="BK105" s="957"/>
      <c r="BL105" s="957"/>
      <c r="BM105" s="957"/>
      <c r="BN105" s="957"/>
      <c r="BO105" s="957"/>
      <c r="BP105" s="957"/>
      <c r="BQ105" s="957"/>
      <c r="BR105" s="957"/>
      <c r="BS105" s="957"/>
      <c r="BT105" s="957"/>
      <c r="BU105" s="957"/>
      <c r="BV105" s="957"/>
      <c r="BW105" s="957"/>
      <c r="CA105" s="916"/>
    </row>
    <row r="106" spans="1:81" x14ac:dyDescent="0.35">
      <c r="A106" s="602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604"/>
      <c r="AA106" s="114"/>
      <c r="AB106" s="114"/>
      <c r="AC106" s="114"/>
      <c r="AD106" s="114"/>
      <c r="AE106" s="114"/>
      <c r="AF106" s="114"/>
      <c r="AG106" s="114"/>
      <c r="AH106" s="114"/>
      <c r="AI106" s="114"/>
      <c r="AJ106" s="114"/>
      <c r="AK106" s="1063"/>
      <c r="AL106" s="957"/>
      <c r="AM106" s="957"/>
      <c r="AN106" s="957"/>
      <c r="AO106" s="957"/>
      <c r="AP106" s="957"/>
      <c r="AQ106" s="957"/>
      <c r="AR106" s="957"/>
      <c r="AS106" s="957"/>
      <c r="AT106" s="957"/>
      <c r="AU106" s="957"/>
      <c r="AV106" s="957"/>
      <c r="AW106" s="957"/>
      <c r="AX106" s="957"/>
      <c r="AY106" s="957"/>
      <c r="AZ106" s="957"/>
      <c r="BA106" s="957"/>
      <c r="BB106" s="957"/>
      <c r="BC106" s="957"/>
      <c r="BD106" s="957"/>
      <c r="BE106" s="957"/>
      <c r="BF106" s="957"/>
      <c r="BG106" s="957"/>
      <c r="BH106" s="957"/>
      <c r="BI106" s="957"/>
      <c r="BJ106" s="957"/>
      <c r="BK106" s="957"/>
      <c r="BL106" s="957"/>
      <c r="BM106" s="957"/>
      <c r="BN106" s="957"/>
      <c r="BO106" s="957"/>
      <c r="BP106" s="957"/>
      <c r="BQ106" s="957"/>
      <c r="BR106" s="957"/>
      <c r="BS106" s="957"/>
      <c r="BT106" s="957"/>
      <c r="BU106" s="957"/>
      <c r="BV106" s="957"/>
      <c r="BW106" s="957"/>
      <c r="CA106" s="916"/>
    </row>
    <row r="107" spans="1:81" x14ac:dyDescent="0.35">
      <c r="A107" s="946"/>
      <c r="Z107" s="947"/>
      <c r="AA107" s="947"/>
      <c r="AB107" s="947"/>
      <c r="AC107" s="947"/>
      <c r="AD107" s="947"/>
      <c r="AE107" s="947"/>
      <c r="AF107" s="947"/>
      <c r="AG107" s="947"/>
      <c r="AH107" s="947"/>
      <c r="AI107" s="947"/>
      <c r="AJ107" s="947"/>
      <c r="AK107" s="1064"/>
      <c r="AL107" s="958"/>
      <c r="AM107" s="958"/>
      <c r="AN107" s="958"/>
      <c r="AO107" s="958"/>
      <c r="AP107" s="958"/>
      <c r="AQ107" s="958"/>
      <c r="AR107" s="958"/>
      <c r="AS107" s="958"/>
      <c r="AT107" s="958"/>
      <c r="AU107" s="958"/>
      <c r="AV107" s="958"/>
      <c r="AW107" s="958"/>
      <c r="AX107" s="958"/>
      <c r="AY107" s="958"/>
      <c r="AZ107" s="958"/>
      <c r="BA107" s="958"/>
      <c r="BB107" s="958"/>
      <c r="BC107" s="958"/>
      <c r="BD107" s="958"/>
      <c r="BE107" s="958"/>
      <c r="BF107" s="958"/>
      <c r="BG107" s="958"/>
      <c r="BH107" s="958"/>
      <c r="BI107" s="958"/>
      <c r="BJ107" s="958"/>
      <c r="BK107" s="958"/>
      <c r="BL107" s="958"/>
      <c r="BM107" s="958"/>
      <c r="BN107" s="958"/>
      <c r="BO107" s="958"/>
      <c r="BP107" s="958"/>
      <c r="BQ107" s="958"/>
      <c r="BR107" s="958"/>
      <c r="BS107" s="958"/>
      <c r="BT107" s="958"/>
      <c r="BU107" s="958"/>
      <c r="BV107" s="958"/>
      <c r="BW107" s="958"/>
    </row>
    <row r="108" spans="1:81" x14ac:dyDescent="0.35">
      <c r="AK108" s="1061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  <c r="BK108" s="113"/>
      <c r="BL108" s="113"/>
      <c r="BM108" s="113"/>
      <c r="BN108" s="113"/>
      <c r="BO108" s="113"/>
      <c r="BP108" s="113"/>
      <c r="BQ108" s="113"/>
      <c r="BR108" s="113"/>
      <c r="BS108" s="113"/>
      <c r="BT108" s="113"/>
      <c r="BU108" s="113"/>
      <c r="BV108" s="113"/>
      <c r="BW108" s="113"/>
    </row>
    <row r="109" spans="1:81" x14ac:dyDescent="0.35">
      <c r="AK109" s="1061"/>
    </row>
    <row r="110" spans="1:81" x14ac:dyDescent="0.35">
      <c r="AK110" s="1061"/>
    </row>
    <row r="111" spans="1:81" x14ac:dyDescent="0.35">
      <c r="A111" s="151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6"/>
      <c r="AK111" s="1065"/>
    </row>
    <row r="112" spans="1:81" x14ac:dyDescent="0.35">
      <c r="A112" s="608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6"/>
      <c r="AK112" s="1065"/>
    </row>
    <row r="113" spans="1:37" x14ac:dyDescent="0.35">
      <c r="AK113" s="1061"/>
    </row>
    <row r="114" spans="1:37" x14ac:dyDescent="0.35">
      <c r="O114" s="609"/>
      <c r="P114" s="609"/>
      <c r="Q114" s="609"/>
      <c r="R114" s="609"/>
      <c r="S114" s="609"/>
      <c r="T114" s="609"/>
      <c r="U114" s="609"/>
      <c r="V114" s="609"/>
      <c r="W114" s="609"/>
      <c r="X114" s="609"/>
      <c r="Y114" s="609"/>
      <c r="Z114" s="609"/>
      <c r="AA114" s="609"/>
      <c r="AB114" s="609"/>
      <c r="AC114" s="609"/>
      <c r="AD114" s="609"/>
      <c r="AE114" s="609"/>
      <c r="AF114" s="609"/>
      <c r="AG114" s="609"/>
      <c r="AH114" s="609"/>
      <c r="AI114" s="609"/>
      <c r="AJ114" s="609"/>
      <c r="AK114" s="1066"/>
    </row>
    <row r="115" spans="1:37" x14ac:dyDescent="0.35">
      <c r="O115" s="635"/>
      <c r="P115" s="635"/>
      <c r="Q115" s="635"/>
      <c r="R115" s="635"/>
      <c r="S115" s="635"/>
      <c r="T115" s="635"/>
      <c r="U115" s="635"/>
      <c r="V115" s="635"/>
      <c r="W115" s="635"/>
      <c r="X115" s="635"/>
      <c r="Y115" s="635"/>
      <c r="Z115" s="635"/>
      <c r="AA115" s="635"/>
      <c r="AB115" s="635"/>
      <c r="AC115" s="635"/>
      <c r="AD115" s="635"/>
      <c r="AE115" s="635"/>
      <c r="AF115" s="635"/>
      <c r="AG115" s="635"/>
      <c r="AH115" s="635"/>
      <c r="AI115" s="635"/>
      <c r="AJ115" s="635"/>
      <c r="AK115" s="1067"/>
    </row>
    <row r="116" spans="1:37" x14ac:dyDescent="0.35"/>
    <row r="117" spans="1:37" x14ac:dyDescent="0.35"/>
    <row r="118" spans="1:37" x14ac:dyDescent="0.35"/>
    <row r="119" spans="1:37" x14ac:dyDescent="0.35"/>
    <row r="120" spans="1:37" hidden="1" x14ac:dyDescent="0.35">
      <c r="A120" s="610"/>
      <c r="B120" s="610"/>
      <c r="C120" s="610"/>
      <c r="D120" s="610"/>
      <c r="E120" s="610"/>
      <c r="F120" s="611"/>
      <c r="G120" s="611"/>
      <c r="H120" s="611"/>
      <c r="I120" s="611"/>
      <c r="J120" s="611"/>
      <c r="K120" s="611"/>
      <c r="L120" s="611"/>
      <c r="M120" s="611"/>
      <c r="N120" s="611"/>
      <c r="O120" s="611"/>
      <c r="P120" s="611"/>
    </row>
    <row r="121" spans="1:37" x14ac:dyDescent="0.35"/>
    <row r="122" spans="1:37" x14ac:dyDescent="0.35"/>
    <row r="123" spans="1:37" x14ac:dyDescent="0.35"/>
    <row r="124" spans="1:37" x14ac:dyDescent="0.35"/>
    <row r="125" spans="1:37" x14ac:dyDescent="0.35"/>
    <row r="126" spans="1:37" x14ac:dyDescent="0.35"/>
    <row r="127" spans="1:37" x14ac:dyDescent="0.35"/>
    <row r="128" spans="1:37" x14ac:dyDescent="0.35"/>
    <row r="129" x14ac:dyDescent="0.35"/>
    <row r="130" x14ac:dyDescent="0.35"/>
    <row r="131" x14ac:dyDescent="0.35"/>
    <row r="132" x14ac:dyDescent="0.35"/>
    <row r="133" x14ac:dyDescent="0.35"/>
    <row r="134" x14ac:dyDescent="0.35"/>
    <row r="135" x14ac:dyDescent="0.35"/>
    <row r="136" x14ac:dyDescent="0.35"/>
    <row r="137" x14ac:dyDescent="0.35"/>
    <row r="138" x14ac:dyDescent="0.35"/>
    <row r="139" x14ac:dyDescent="0.35"/>
    <row r="140" x14ac:dyDescent="0.35"/>
    <row r="141" x14ac:dyDescent="0.35"/>
    <row r="142" x14ac:dyDescent="0.35"/>
    <row r="143" x14ac:dyDescent="0.35"/>
    <row r="144" x14ac:dyDescent="0.35"/>
    <row r="145" x14ac:dyDescent="0.35"/>
    <row r="146" x14ac:dyDescent="0.35"/>
    <row r="147" x14ac:dyDescent="0.35"/>
    <row r="148" x14ac:dyDescent="0.35"/>
    <row r="149" x14ac:dyDescent="0.35"/>
    <row r="150" x14ac:dyDescent="0.35"/>
    <row r="154" x14ac:dyDescent="0.35"/>
    <row r="155" x14ac:dyDescent="0.35"/>
    <row r="156" x14ac:dyDescent="0.35"/>
    <row r="157" x14ac:dyDescent="0.35"/>
    <row r="158" x14ac:dyDescent="0.35"/>
    <row r="159" x14ac:dyDescent="0.35"/>
    <row r="160" x14ac:dyDescent="0.35"/>
    <row r="161" x14ac:dyDescent="0.35"/>
    <row r="162" x14ac:dyDescent="0.35"/>
    <row r="163" x14ac:dyDescent="0.35"/>
    <row r="164" x14ac:dyDescent="0.35"/>
    <row r="165" x14ac:dyDescent="0.35"/>
    <row r="166" x14ac:dyDescent="0.35"/>
    <row r="167" x14ac:dyDescent="0.35"/>
    <row r="168" x14ac:dyDescent="0.35"/>
    <row r="169" x14ac:dyDescent="0.35"/>
    <row r="170" x14ac:dyDescent="0.35"/>
    <row r="171" x14ac:dyDescent="0.35"/>
    <row r="172" x14ac:dyDescent="0.35"/>
    <row r="173" x14ac:dyDescent="0.35"/>
    <row r="174" x14ac:dyDescent="0.35"/>
    <row r="175" x14ac:dyDescent="0.35"/>
  </sheetData>
  <mergeCells count="10">
    <mergeCell ref="N72:Q75"/>
    <mergeCell ref="CC72:CC73"/>
    <mergeCell ref="N81:Y81"/>
    <mergeCell ref="B1:M1"/>
    <mergeCell ref="N1:Y1"/>
    <mergeCell ref="Z1:AK1"/>
    <mergeCell ref="AL1:AW1"/>
    <mergeCell ref="AX1:BI1"/>
    <mergeCell ref="CB21:CC21"/>
    <mergeCell ref="BJ1:BU1"/>
  </mergeCells>
  <conditionalFormatting sqref="O80:Y80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61:AK61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36:AK36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A95:CA96 AA95:AK96">
    <cfRule type="colorScale" priority="1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83:AK84 BX83 AM83:BI84 BW83:BW84">
    <cfRule type="colorScale" priority="1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L37:BI37 BW37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42:AK42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{EC2BEFDB-E6F1-45EA-9FFE-72C9D6E25B28}</x14:id>
        </ext>
      </extLst>
    </cfRule>
  </conditionalFormatting>
  <conditionalFormatting sqref="N41:AK41">
    <cfRule type="colorScale" priority="2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L41:BI41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L36:AW36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X36:BI36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L57:BI57 BW57">
    <cfRule type="colorScale" priority="2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L83:AR83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W58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J83:BV84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J37:BV37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J41:BU41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J36:BU3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J57:BV57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V58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J94:BU9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I9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V94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C2BEFDB-E6F1-45EA-9FFE-72C9D6E25B28}">
            <x14:dataBar minLength="0" maxLength="100" negativeBarColorSameAsPositive="1" axisPosition="none">
              <x14:cfvo type="min"/>
              <x14:cfvo type="max"/>
            </x14:dataBar>
          </x14:cfRule>
          <xm:sqref>Z42:AK42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7"/>
  </sheetPr>
  <dimension ref="A1:I50"/>
  <sheetViews>
    <sheetView zoomScale="70" zoomScaleNormal="70" workbookViewId="0">
      <pane xSplit="1" ySplit="1" topLeftCell="B29" activePane="bottomRight" state="frozen"/>
      <selection activeCell="AG122" sqref="AG122"/>
      <selection pane="topRight" activeCell="AG122" sqref="AG122"/>
      <selection pane="bottomLeft" activeCell="AG122" sqref="AG122"/>
      <selection pane="bottomRight" activeCell="B65" sqref="B65"/>
    </sheetView>
  </sheetViews>
  <sheetFormatPr defaultRowHeight="18" x14ac:dyDescent="0.35"/>
  <cols>
    <col min="1" max="1" width="63.09765625" customWidth="1"/>
    <col min="2" max="2" width="30.796875" customWidth="1"/>
    <col min="3" max="3" width="27.5" customWidth="1"/>
    <col min="4" max="4" width="20.3984375" customWidth="1"/>
    <col min="5" max="5" width="19.09765625" customWidth="1"/>
    <col min="6" max="6" width="21.09765625" customWidth="1"/>
    <col min="7" max="7" width="27.796875" customWidth="1"/>
    <col min="8" max="8" width="25.09765625" customWidth="1"/>
  </cols>
  <sheetData>
    <row r="1" spans="1:9" ht="26.25" customHeight="1" x14ac:dyDescent="0.35">
      <c r="A1" s="584"/>
    </row>
    <row r="2" spans="1:9" ht="85.5" customHeight="1" x14ac:dyDescent="0.35">
      <c r="A2" s="585"/>
      <c r="B2" s="582" t="s">
        <v>314</v>
      </c>
      <c r="C2" s="582" t="s">
        <v>315</v>
      </c>
      <c r="D2" s="586" t="s">
        <v>251</v>
      </c>
      <c r="E2" s="121"/>
      <c r="F2" s="582" t="s">
        <v>307</v>
      </c>
      <c r="G2" s="582" t="s">
        <v>308</v>
      </c>
      <c r="H2" s="586" t="s">
        <v>251</v>
      </c>
    </row>
    <row r="3" spans="1:9" ht="21.75" x14ac:dyDescent="0.4">
      <c r="A3" s="587" t="s">
        <v>136</v>
      </c>
      <c r="B3" s="546">
        <v>-3198.8241611892613</v>
      </c>
      <c r="C3" s="546">
        <v>-1147.0999999999999</v>
      </c>
      <c r="D3" s="295">
        <f>C3-B3</f>
        <v>2051.7241611892614</v>
      </c>
      <c r="E3" s="560">
        <f>C3/B3-1</f>
        <v>-0.64139948237306976</v>
      </c>
      <c r="H3" s="555"/>
      <c r="I3" s="555"/>
    </row>
    <row r="4" spans="1:9" s="555" customFormat="1" ht="21.75" x14ac:dyDescent="0.4">
      <c r="A4" s="195" t="s">
        <v>80</v>
      </c>
      <c r="B4" s="547">
        <v>317.03273708807046</v>
      </c>
      <c r="C4" s="547">
        <v>1285</v>
      </c>
      <c r="D4" s="295">
        <f t="shared" ref="D4:D48" si="0">C4-B4</f>
        <v>967.96726291192954</v>
      </c>
      <c r="E4" s="560">
        <f t="shared" ref="E4:E24" si="1">C4/B4-1</f>
        <v>3.0532091789720504</v>
      </c>
    </row>
    <row r="5" spans="1:9" s="556" customFormat="1" ht="21.75" x14ac:dyDescent="0.4">
      <c r="A5" s="588" t="s">
        <v>25</v>
      </c>
      <c r="B5" s="578">
        <v>-2622.7225695244115</v>
      </c>
      <c r="C5" s="578">
        <v>-3214</v>
      </c>
      <c r="D5" s="295">
        <f t="shared" si="0"/>
        <v>-591.27743047558852</v>
      </c>
      <c r="E5" s="560"/>
    </row>
    <row r="6" spans="1:9" s="556" customFormat="1" ht="21.75" x14ac:dyDescent="0.4">
      <c r="A6" s="589" t="s">
        <v>23</v>
      </c>
      <c r="B6" s="579">
        <v>-1373.0776420668708</v>
      </c>
      <c r="C6" s="579">
        <v>-2036</v>
      </c>
      <c r="D6" s="295">
        <f t="shared" si="0"/>
        <v>-662.92235793312921</v>
      </c>
      <c r="E6" s="560">
        <f>C6/B6-1</f>
        <v>0.48280034400330285</v>
      </c>
      <c r="F6" s="654">
        <f>F7-F8</f>
        <v>-1175.525227342343</v>
      </c>
      <c r="G6" s="654">
        <f>G7-G8</f>
        <v>-1326.751120117463</v>
      </c>
      <c r="H6" s="655">
        <f>G6-F6</f>
        <v>-151.22589277511997</v>
      </c>
      <c r="I6" s="656">
        <f>G6/F6-1</f>
        <v>0.1286453827256564</v>
      </c>
    </row>
    <row r="7" spans="1:9" x14ac:dyDescent="0.35">
      <c r="A7" s="590" t="s">
        <v>26</v>
      </c>
      <c r="B7" s="670">
        <v>2735.9391596943378</v>
      </c>
      <c r="C7" s="670">
        <v>2725</v>
      </c>
      <c r="D7" s="295">
        <f t="shared" si="0"/>
        <v>-10.939159694337832</v>
      </c>
      <c r="E7" s="560">
        <f t="shared" si="1"/>
        <v>-3.998319792886007E-3</v>
      </c>
      <c r="F7" s="670">
        <v>6130.474772657657</v>
      </c>
      <c r="G7" s="670">
        <v>6271.6211654855697</v>
      </c>
      <c r="H7" s="295">
        <f>G7-F7</f>
        <v>141.14639282791268</v>
      </c>
      <c r="I7" s="560">
        <f>G7/F7-1</f>
        <v>2.3023729492768652E-2</v>
      </c>
    </row>
    <row r="8" spans="1:9" x14ac:dyDescent="0.35">
      <c r="A8" s="590" t="s">
        <v>27</v>
      </c>
      <c r="B8" s="580">
        <v>4109.0168017612086</v>
      </c>
      <c r="C8" s="580">
        <v>4761</v>
      </c>
      <c r="D8" s="295">
        <f t="shared" si="0"/>
        <v>651.98319823879137</v>
      </c>
      <c r="E8" s="560">
        <f t="shared" si="1"/>
        <v>0.15867133908027298</v>
      </c>
      <c r="F8" s="671">
        <v>7306</v>
      </c>
      <c r="G8" s="634">
        <v>7598.3722856030327</v>
      </c>
      <c r="H8" s="295">
        <f>G8-F8</f>
        <v>292.37228560303265</v>
      </c>
      <c r="I8" s="560">
        <f>G8/F8-1</f>
        <v>4.0018106433483691E-2</v>
      </c>
    </row>
    <row r="9" spans="1:9" s="556" customFormat="1" ht="21.75" x14ac:dyDescent="0.4">
      <c r="A9" s="591" t="s">
        <v>24</v>
      </c>
      <c r="B9" s="579">
        <v>-1249.6449274575407</v>
      </c>
      <c r="C9" s="579">
        <v>-1178</v>
      </c>
      <c r="D9" s="295">
        <f t="shared" si="0"/>
        <v>71.644927457540689</v>
      </c>
      <c r="E9" s="560">
        <f>C9/B9-1</f>
        <v>-5.7332227645900624E-2</v>
      </c>
    </row>
    <row r="10" spans="1:9" x14ac:dyDescent="0.35">
      <c r="A10" s="590" t="s">
        <v>28</v>
      </c>
      <c r="B10" s="579">
        <v>1359.5550725424596</v>
      </c>
      <c r="C10" s="579">
        <v>1218</v>
      </c>
      <c r="D10" s="295">
        <f>C10-B10</f>
        <v>-141.55507254245958</v>
      </c>
      <c r="E10" s="560">
        <f t="shared" si="1"/>
        <v>-0.10411867485275317</v>
      </c>
    </row>
    <row r="11" spans="1:9" x14ac:dyDescent="0.35">
      <c r="A11" s="590" t="s">
        <v>29</v>
      </c>
      <c r="B11" s="579">
        <v>2609.2000000000003</v>
      </c>
      <c r="C11" s="579">
        <v>2396</v>
      </c>
      <c r="D11" s="295">
        <f>C11-B11</f>
        <v>-213.20000000000027</v>
      </c>
      <c r="E11" s="560">
        <f>C11/B11-1</f>
        <v>-8.1710869231948591E-2</v>
      </c>
    </row>
    <row r="12" spans="1:9" s="556" customFormat="1" ht="21.75" x14ac:dyDescent="0.4">
      <c r="A12" s="592" t="s">
        <v>30</v>
      </c>
      <c r="B12" s="549">
        <v>1033.3217452151334</v>
      </c>
      <c r="C12" s="549">
        <v>951</v>
      </c>
      <c r="D12" s="295">
        <f t="shared" si="0"/>
        <v>-82.321745215133433</v>
      </c>
      <c r="E12" s="560">
        <f t="shared" si="1"/>
        <v>-7.9667098458277796E-2</v>
      </c>
    </row>
    <row r="13" spans="1:9" x14ac:dyDescent="0.35">
      <c r="A13" s="591" t="s">
        <v>81</v>
      </c>
      <c r="B13" s="579">
        <v>1346.3999999999999</v>
      </c>
      <c r="C13" s="579">
        <v>1267</v>
      </c>
      <c r="D13" s="295">
        <f t="shared" si="0"/>
        <v>-79.399999999999864</v>
      </c>
      <c r="E13" s="560">
        <f>C13/B13-1</f>
        <v>-5.8972073677955983E-2</v>
      </c>
    </row>
    <row r="14" spans="1:9" x14ac:dyDescent="0.35">
      <c r="A14" s="589" t="s">
        <v>33</v>
      </c>
      <c r="B14" s="579">
        <v>-313.07825478486649</v>
      </c>
      <c r="C14" s="579">
        <v>-316</v>
      </c>
      <c r="D14" s="295">
        <f t="shared" si="0"/>
        <v>-2.9217452151335124</v>
      </c>
      <c r="E14" s="560">
        <f t="shared" si="1"/>
        <v>9.3323160279565887E-3</v>
      </c>
    </row>
    <row r="15" spans="1:9" x14ac:dyDescent="0.35">
      <c r="A15" s="590" t="s">
        <v>31</v>
      </c>
      <c r="B15" s="579">
        <v>7.8658536585365857</v>
      </c>
      <c r="C15" s="579">
        <v>16</v>
      </c>
      <c r="D15" s="295">
        <f t="shared" si="0"/>
        <v>8.1341463414634134</v>
      </c>
      <c r="E15" s="560">
        <f t="shared" si="1"/>
        <v>1.0341085271317829</v>
      </c>
    </row>
    <row r="16" spans="1:9" x14ac:dyDescent="0.35">
      <c r="A16" s="590" t="s">
        <v>32</v>
      </c>
      <c r="B16" s="579">
        <v>320.94410844340308</v>
      </c>
      <c r="C16" s="579">
        <v>332</v>
      </c>
      <c r="D16" s="295">
        <f>C16-B16</f>
        <v>11.055891556596919</v>
      </c>
      <c r="E16" s="560">
        <f t="shared" si="1"/>
        <v>3.4448027758535948E-2</v>
      </c>
    </row>
    <row r="17" spans="1:5" s="556" customFormat="1" ht="21.75" x14ac:dyDescent="0.4">
      <c r="A17" s="592" t="s">
        <v>34</v>
      </c>
      <c r="B17" s="549">
        <v>1906.4335613973485</v>
      </c>
      <c r="C17" s="549">
        <v>3548</v>
      </c>
      <c r="D17" s="295">
        <f t="shared" si="0"/>
        <v>1641.5664386026515</v>
      </c>
      <c r="E17" s="560">
        <f t="shared" si="1"/>
        <v>0.86106669114628942</v>
      </c>
    </row>
    <row r="18" spans="1:5" x14ac:dyDescent="0.35">
      <c r="A18" s="593" t="s">
        <v>31</v>
      </c>
      <c r="B18" s="295">
        <v>1993.4096093015401</v>
      </c>
      <c r="C18" s="295">
        <v>3899</v>
      </c>
      <c r="D18" s="295">
        <f t="shared" si="0"/>
        <v>1905.5903906984599</v>
      </c>
      <c r="E18" s="560">
        <f t="shared" si="1"/>
        <v>0.95594522159755679</v>
      </c>
    </row>
    <row r="19" spans="1:5" x14ac:dyDescent="0.35">
      <c r="A19" s="593" t="s">
        <v>32</v>
      </c>
      <c r="B19" s="295">
        <v>86.976047904191617</v>
      </c>
      <c r="C19" s="295">
        <v>351</v>
      </c>
      <c r="D19" s="295">
        <f t="shared" si="0"/>
        <v>264.0239520958084</v>
      </c>
      <c r="E19" s="560">
        <f t="shared" si="1"/>
        <v>3.0355938037865746</v>
      </c>
    </row>
    <row r="20" spans="1:5" s="555" customFormat="1" ht="21.75" x14ac:dyDescent="0.4">
      <c r="A20" s="195" t="s">
        <v>84</v>
      </c>
      <c r="B20" s="550">
        <v>0</v>
      </c>
      <c r="C20" s="550">
        <v>9</v>
      </c>
      <c r="D20" s="295">
        <f t="shared" si="0"/>
        <v>9</v>
      </c>
      <c r="E20" s="560"/>
    </row>
    <row r="21" spans="1:5" x14ac:dyDescent="0.35">
      <c r="A21" s="594" t="s">
        <v>85</v>
      </c>
      <c r="B21" s="577">
        <v>317.03273708807046</v>
      </c>
      <c r="C21" s="577">
        <v>1294</v>
      </c>
      <c r="D21" s="295">
        <f t="shared" si="0"/>
        <v>976.96726291192954</v>
      </c>
      <c r="E21" s="560">
        <f t="shared" si="1"/>
        <v>3.0815974144667964</v>
      </c>
    </row>
    <row r="22" spans="1:5" s="555" customFormat="1" ht="21.75" x14ac:dyDescent="0.4">
      <c r="A22" s="195" t="s">
        <v>127</v>
      </c>
      <c r="B22" s="550">
        <v>1580.5568982773318</v>
      </c>
      <c r="C22" s="550">
        <v>1593</v>
      </c>
      <c r="D22" s="295">
        <f t="shared" si="0"/>
        <v>12.443101722668189</v>
      </c>
      <c r="E22" s="560"/>
    </row>
    <row r="23" spans="1:5" x14ac:dyDescent="0.35">
      <c r="A23" s="196" t="s">
        <v>132</v>
      </c>
      <c r="B23" s="550">
        <v>2466.7568982773319</v>
      </c>
      <c r="C23" s="550">
        <v>1383</v>
      </c>
      <c r="D23" s="295">
        <f>C23-B23</f>
        <v>-1083.7568982773319</v>
      </c>
      <c r="E23" s="560">
        <f t="shared" si="1"/>
        <v>-0.43934483330488594</v>
      </c>
    </row>
    <row r="24" spans="1:5" s="556" customFormat="1" ht="21.75" x14ac:dyDescent="0.4">
      <c r="A24" s="588" t="s">
        <v>86</v>
      </c>
      <c r="B24" s="348">
        <v>-157.16666666666666</v>
      </c>
      <c r="C24" s="348">
        <v>-222</v>
      </c>
      <c r="D24" s="295">
        <f>C24-B24</f>
        <v>-64.833333333333343</v>
      </c>
      <c r="E24" s="560">
        <f t="shared" si="1"/>
        <v>0.41251325556733831</v>
      </c>
    </row>
    <row r="25" spans="1:5" s="556" customFormat="1" ht="21.75" x14ac:dyDescent="0.4">
      <c r="A25" s="595" t="s">
        <v>131</v>
      </c>
      <c r="B25" s="348">
        <v>58.333333333333329</v>
      </c>
      <c r="C25" s="348">
        <v>-37</v>
      </c>
      <c r="D25" s="295">
        <f t="shared" si="0"/>
        <v>-95.333333333333329</v>
      </c>
      <c r="E25" s="560"/>
    </row>
    <row r="26" spans="1:5" x14ac:dyDescent="0.35">
      <c r="A26" s="596" t="s">
        <v>88</v>
      </c>
      <c r="B26" s="348">
        <v>16.333333333333332</v>
      </c>
      <c r="C26" s="348">
        <v>13</v>
      </c>
      <c r="D26" s="295">
        <f t="shared" si="0"/>
        <v>-3.3333333333333321</v>
      </c>
      <c r="E26" s="560"/>
    </row>
    <row r="27" spans="1:5" x14ac:dyDescent="0.35">
      <c r="A27" s="596" t="s">
        <v>89</v>
      </c>
      <c r="B27" s="348">
        <v>-42</v>
      </c>
      <c r="C27" s="348">
        <v>50</v>
      </c>
      <c r="D27" s="295">
        <f t="shared" si="0"/>
        <v>92</v>
      </c>
      <c r="E27" s="560"/>
    </row>
    <row r="28" spans="1:5" x14ac:dyDescent="0.35">
      <c r="A28" s="590" t="s">
        <v>90</v>
      </c>
      <c r="B28" s="350">
        <v>0</v>
      </c>
      <c r="C28" s="350">
        <v>0</v>
      </c>
      <c r="D28" s="295">
        <f t="shared" si="0"/>
        <v>0</v>
      </c>
      <c r="E28" s="560"/>
    </row>
    <row r="29" spans="1:5" x14ac:dyDescent="0.35">
      <c r="A29" s="590" t="s">
        <v>91</v>
      </c>
      <c r="B29" s="350">
        <v>-42</v>
      </c>
      <c r="C29" s="350">
        <v>50</v>
      </c>
      <c r="D29" s="295">
        <f t="shared" si="0"/>
        <v>92</v>
      </c>
      <c r="E29" s="560"/>
    </row>
    <row r="30" spans="1:5" x14ac:dyDescent="0.35">
      <c r="A30" s="597" t="s">
        <v>92</v>
      </c>
      <c r="B30" s="350">
        <v>-42</v>
      </c>
      <c r="C30" s="350">
        <v>-26</v>
      </c>
      <c r="D30" s="295">
        <f t="shared" si="0"/>
        <v>16</v>
      </c>
      <c r="E30" s="560"/>
    </row>
    <row r="31" spans="1:5" x14ac:dyDescent="0.35">
      <c r="A31" s="597" t="s">
        <v>93</v>
      </c>
      <c r="B31" s="577">
        <v>0</v>
      </c>
      <c r="C31" s="577">
        <v>76</v>
      </c>
      <c r="D31" s="295">
        <f t="shared" si="0"/>
        <v>76</v>
      </c>
      <c r="E31" s="560" t="e">
        <f t="shared" ref="E31:E45" si="2">C31/B31-1</f>
        <v>#DIV/0!</v>
      </c>
    </row>
    <row r="32" spans="1:5" s="556" customFormat="1" ht="21.75" x14ac:dyDescent="0.4">
      <c r="A32" s="592" t="s">
        <v>128</v>
      </c>
      <c r="B32" s="598">
        <v>2603.7460757665094</v>
      </c>
      <c r="C32" s="598">
        <v>2039</v>
      </c>
      <c r="D32" s="295">
        <f t="shared" si="0"/>
        <v>-564.74607576650942</v>
      </c>
      <c r="E32" s="560">
        <f t="shared" si="2"/>
        <v>-0.21689752354221237</v>
      </c>
    </row>
    <row r="33" spans="1:5" x14ac:dyDescent="0.35">
      <c r="A33" s="591" t="s">
        <v>94</v>
      </c>
      <c r="B33" s="348">
        <v>2427.75</v>
      </c>
      <c r="C33" s="348">
        <v>1975</v>
      </c>
      <c r="D33" s="295">
        <f t="shared" si="0"/>
        <v>-452.75</v>
      </c>
      <c r="E33" s="560">
        <f t="shared" si="2"/>
        <v>-0.18648954793533101</v>
      </c>
    </row>
    <row r="34" spans="1:5" x14ac:dyDescent="0.35">
      <c r="A34" s="590" t="s">
        <v>92</v>
      </c>
      <c r="B34" s="350">
        <v>350</v>
      </c>
      <c r="C34" s="350">
        <v>385</v>
      </c>
      <c r="D34" s="295">
        <f t="shared" si="0"/>
        <v>35</v>
      </c>
      <c r="E34" s="560">
        <f t="shared" si="2"/>
        <v>0.10000000000000009</v>
      </c>
    </row>
    <row r="35" spans="1:5" x14ac:dyDescent="0.35">
      <c r="A35" s="590" t="s">
        <v>93</v>
      </c>
      <c r="B35" s="583">
        <v>2077.75</v>
      </c>
      <c r="C35" s="583">
        <v>1590</v>
      </c>
      <c r="D35" s="295">
        <f>C35-B35</f>
        <v>-487.75</v>
      </c>
      <c r="E35" s="560">
        <f t="shared" si="2"/>
        <v>-0.23474912766213452</v>
      </c>
    </row>
    <row r="36" spans="1:5" x14ac:dyDescent="0.35">
      <c r="A36" s="590" t="s">
        <v>97</v>
      </c>
      <c r="B36" s="583">
        <v>777.75</v>
      </c>
      <c r="C36" s="583">
        <v>985</v>
      </c>
      <c r="D36" s="295">
        <f t="shared" si="0"/>
        <v>207.25</v>
      </c>
      <c r="E36" s="560"/>
    </row>
    <row r="37" spans="1:5" x14ac:dyDescent="0.35">
      <c r="A37" s="599" t="s">
        <v>95</v>
      </c>
      <c r="B37" s="583">
        <v>1300</v>
      </c>
      <c r="C37" s="583">
        <v>640</v>
      </c>
      <c r="D37" s="295">
        <f>C37-B37</f>
        <v>-660</v>
      </c>
      <c r="E37" s="560"/>
    </row>
    <row r="38" spans="1:5" x14ac:dyDescent="0.35">
      <c r="A38" s="591" t="s">
        <v>96</v>
      </c>
      <c r="B38" s="348">
        <v>-175.99607576650934</v>
      </c>
      <c r="C38" s="348">
        <v>-64</v>
      </c>
      <c r="D38" s="295">
        <f t="shared" si="0"/>
        <v>111.99607576650934</v>
      </c>
      <c r="E38" s="560"/>
    </row>
    <row r="39" spans="1:5" x14ac:dyDescent="0.35">
      <c r="A39" s="590" t="s">
        <v>215</v>
      </c>
      <c r="B39" s="583">
        <v>-22</v>
      </c>
      <c r="C39" s="583">
        <v>31</v>
      </c>
      <c r="D39" s="295">
        <f t="shared" si="0"/>
        <v>53</v>
      </c>
      <c r="E39" s="560"/>
    </row>
    <row r="40" spans="1:5" x14ac:dyDescent="0.35">
      <c r="A40" s="590" t="s">
        <v>93</v>
      </c>
      <c r="B40" s="350">
        <v>-153.99607576650934</v>
      </c>
      <c r="C40" s="350">
        <v>-95</v>
      </c>
      <c r="D40" s="295">
        <f t="shared" si="0"/>
        <v>58.996075766509335</v>
      </c>
      <c r="E40" s="560"/>
    </row>
    <row r="41" spans="1:5" x14ac:dyDescent="0.35">
      <c r="A41" s="599" t="s">
        <v>168</v>
      </c>
      <c r="B41" s="583">
        <v>58.088739734659192</v>
      </c>
      <c r="C41" s="583">
        <v>30</v>
      </c>
      <c r="D41" s="295">
        <f>C41-B41</f>
        <v>-28.088739734659192</v>
      </c>
      <c r="E41" s="560">
        <f t="shared" si="2"/>
        <v>-0.48354878868029194</v>
      </c>
    </row>
    <row r="42" spans="1:5" x14ac:dyDescent="0.35">
      <c r="A42" s="599" t="s">
        <v>97</v>
      </c>
      <c r="B42" s="583">
        <v>-212.08481550116852</v>
      </c>
      <c r="C42" s="583">
        <v>-125</v>
      </c>
      <c r="D42" s="295">
        <f>C42-B42</f>
        <v>87.084815501168521</v>
      </c>
      <c r="E42" s="560"/>
    </row>
    <row r="43" spans="1:5" x14ac:dyDescent="0.35">
      <c r="A43" s="588" t="s">
        <v>98</v>
      </c>
      <c r="B43" s="348">
        <v>38.155844155844157</v>
      </c>
      <c r="C43" s="348">
        <v>397</v>
      </c>
      <c r="D43" s="295">
        <f t="shared" si="0"/>
        <v>358.84415584415586</v>
      </c>
      <c r="E43" s="560"/>
    </row>
    <row r="44" spans="1:5" x14ac:dyDescent="0.35">
      <c r="A44" s="600" t="s">
        <v>247</v>
      </c>
      <c r="B44" s="581">
        <v>886.2</v>
      </c>
      <c r="C44" s="791">
        <v>-210</v>
      </c>
      <c r="D44" s="295">
        <f t="shared" si="0"/>
        <v>-1096.2</v>
      </c>
      <c r="E44" s="560">
        <f t="shared" si="2"/>
        <v>-1.2369668246445498</v>
      </c>
    </row>
    <row r="45" spans="1:5" ht="33.75" customHeight="1" x14ac:dyDescent="0.35">
      <c r="A45" s="195" t="s">
        <v>246</v>
      </c>
      <c r="B45" s="550">
        <v>-1263.5241611892613</v>
      </c>
      <c r="C45" s="550">
        <v>-299</v>
      </c>
      <c r="D45" s="295">
        <f t="shared" si="0"/>
        <v>964.52416118926135</v>
      </c>
      <c r="E45" s="560">
        <f t="shared" si="2"/>
        <v>-0.76336028294182079</v>
      </c>
    </row>
    <row r="46" spans="1:5" x14ac:dyDescent="0.35">
      <c r="A46" s="195" t="s">
        <v>105</v>
      </c>
      <c r="B46" s="550">
        <v>-2061.1041611892615</v>
      </c>
      <c r="C46" s="550">
        <v>-108.5</v>
      </c>
      <c r="D46" s="295">
        <f t="shared" si="0"/>
        <v>1952.6041611892615</v>
      </c>
      <c r="E46" s="560"/>
    </row>
    <row r="47" spans="1:5" x14ac:dyDescent="0.35">
      <c r="A47" s="195" t="s">
        <v>210</v>
      </c>
      <c r="B47" s="550">
        <v>-1195</v>
      </c>
      <c r="C47" s="550">
        <v>-1195</v>
      </c>
      <c r="D47" s="295">
        <f t="shared" si="0"/>
        <v>0</v>
      </c>
      <c r="E47" s="560"/>
    </row>
    <row r="48" spans="1:5" ht="35.1" customHeight="1" x14ac:dyDescent="0.35">
      <c r="A48" s="195" t="s">
        <v>220</v>
      </c>
      <c r="B48" s="550">
        <v>-866.1041611892615</v>
      </c>
      <c r="C48" s="550">
        <v>1086.5</v>
      </c>
      <c r="D48" s="295">
        <f t="shared" si="0"/>
        <v>1952.6041611892615</v>
      </c>
      <c r="E48" s="560"/>
    </row>
    <row r="50" spans="1:3" x14ac:dyDescent="0.35">
      <c r="A50" s="151" t="s">
        <v>310</v>
      </c>
      <c r="B50" s="1068">
        <v>22385.4</v>
      </c>
      <c r="C50" s="199">
        <v>22387</v>
      </c>
    </row>
  </sheetData>
  <conditionalFormatting sqref="B4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42">
    <cfRule type="dataBar" priority="1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{B6950E2E-5054-4FF2-8180-67A73FBFB69B}</x14:id>
        </ext>
      </extLst>
    </cfRule>
  </conditionalFormatting>
  <conditionalFormatting sqref="B37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41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42">
    <cfRule type="dataBar" priority="1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{B17E7E02-038E-4F19-AB96-33BAAF9AEA66}</x14:id>
        </ext>
      </extLst>
    </cfRule>
  </conditionalFormatting>
  <conditionalFormatting sqref="C37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3:D48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{3D562563-CC98-4707-84B9-919BF4052BF8}</x14:id>
        </ext>
      </extLst>
    </cfRule>
  </conditionalFormatting>
  <conditionalFormatting sqref="E3:E48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7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{D8D46692-8965-4805-8F13-28773D2A5FA3}</x14:id>
        </ext>
      </extLst>
    </cfRule>
  </conditionalFormatting>
  <conditionalFormatting sqref="I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8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{37182D36-DA24-42DE-9050-928411A995B4}</x14:id>
        </ext>
      </extLst>
    </cfRule>
  </conditionalFormatting>
  <conditionalFormatting sqref="I8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6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{37F72DE2-7F2D-4AA6-900F-0A7570FE5DAE}</x14:id>
        </ext>
      </extLst>
    </cfRule>
  </conditionalFormatting>
  <conditionalFormatting sqref="I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4294967295" verticalDpi="4294967295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6950E2E-5054-4FF2-8180-67A73FBFB69B}">
            <x14:dataBar minLength="0" maxLength="100" negativeBarColorSameAsPositive="1" axisPosition="none">
              <x14:cfvo type="min"/>
              <x14:cfvo type="max"/>
            </x14:dataBar>
          </x14:cfRule>
          <xm:sqref>B42</xm:sqref>
        </x14:conditionalFormatting>
        <x14:conditionalFormatting xmlns:xm="http://schemas.microsoft.com/office/excel/2006/main">
          <x14:cfRule type="dataBar" id="{B17E7E02-038E-4F19-AB96-33BAAF9AEA66}">
            <x14:dataBar minLength="0" maxLength="100" negativeBarColorSameAsPositive="1" axisPosition="none">
              <x14:cfvo type="min"/>
              <x14:cfvo type="max"/>
            </x14:dataBar>
          </x14:cfRule>
          <xm:sqref>C42</xm:sqref>
        </x14:conditionalFormatting>
        <x14:conditionalFormatting xmlns:xm="http://schemas.microsoft.com/office/excel/2006/main">
          <x14:cfRule type="dataBar" id="{3D562563-CC98-4707-84B9-919BF4052BF8}">
            <x14:dataBar minLength="0" maxLength="100" negativeBarColorSameAsPositive="1" axisPosition="none">
              <x14:cfvo type="min"/>
              <x14:cfvo type="max"/>
            </x14:dataBar>
          </x14:cfRule>
          <xm:sqref>D3:D48</xm:sqref>
        </x14:conditionalFormatting>
        <x14:conditionalFormatting xmlns:xm="http://schemas.microsoft.com/office/excel/2006/main">
          <x14:cfRule type="dataBar" id="{D8D46692-8965-4805-8F13-28773D2A5FA3}">
            <x14:dataBar minLength="0" maxLength="100" negativeBarColorSameAsPositive="1" axisPosition="none">
              <x14:cfvo type="min"/>
              <x14:cfvo type="max"/>
            </x14:dataBar>
          </x14:cfRule>
          <xm:sqref>H7</xm:sqref>
        </x14:conditionalFormatting>
        <x14:conditionalFormatting xmlns:xm="http://schemas.microsoft.com/office/excel/2006/main">
          <x14:cfRule type="dataBar" id="{37182D36-DA24-42DE-9050-928411A995B4}">
            <x14:dataBar minLength="0" maxLength="100" negativeBarColorSameAsPositive="1" axisPosition="none">
              <x14:cfvo type="min"/>
              <x14:cfvo type="max"/>
            </x14:dataBar>
          </x14:cfRule>
          <xm:sqref>H8</xm:sqref>
        </x14:conditionalFormatting>
        <x14:conditionalFormatting xmlns:xm="http://schemas.microsoft.com/office/excel/2006/main">
          <x14:cfRule type="dataBar" id="{37F72DE2-7F2D-4AA6-900F-0A7570FE5DAE}">
            <x14:dataBar minLength="0" maxLength="100" negativeBarColorSameAsPositive="1" axisPosition="none">
              <x14:cfvo type="min"/>
              <x14:cfvo type="max"/>
            </x14:dataBar>
          </x14:cfRule>
          <xm:sqref>H6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22"/>
  <sheetViews>
    <sheetView zoomScale="70" zoomScaleNormal="70" workbookViewId="0">
      <selection activeCell="B5" sqref="B5:Y5"/>
    </sheetView>
  </sheetViews>
  <sheetFormatPr defaultRowHeight="18" x14ac:dyDescent="0.35"/>
  <cols>
    <col min="1" max="1" width="55.5" customWidth="1"/>
  </cols>
  <sheetData>
    <row r="1" spans="1:25" x14ac:dyDescent="0.35">
      <c r="B1" s="1460">
        <v>2022</v>
      </c>
      <c r="C1" s="1460"/>
      <c r="D1" s="1460"/>
      <c r="E1" s="1460"/>
      <c r="F1" s="1460"/>
      <c r="G1" s="1460"/>
      <c r="H1" s="1460"/>
      <c r="I1" s="1460"/>
      <c r="J1" s="1460"/>
      <c r="K1" s="1460"/>
      <c r="L1" s="1460"/>
      <c r="M1" s="1460"/>
      <c r="N1" s="1463">
        <v>2023</v>
      </c>
      <c r="O1" s="1460"/>
      <c r="P1" s="1460"/>
      <c r="Q1" s="1460"/>
      <c r="R1" s="1460"/>
      <c r="S1" s="1460"/>
      <c r="T1" s="1460"/>
      <c r="U1" s="1460"/>
      <c r="V1" s="1460"/>
      <c r="W1" s="1460"/>
      <c r="X1" s="1460"/>
      <c r="Y1" s="1460"/>
    </row>
    <row r="2" spans="1:25" x14ac:dyDescent="0.35">
      <c r="B2" s="1159" t="s">
        <v>68</v>
      </c>
      <c r="C2" s="1159" t="s">
        <v>69</v>
      </c>
      <c r="D2" s="1159" t="s">
        <v>70</v>
      </c>
      <c r="E2" s="1159" t="s">
        <v>71</v>
      </c>
      <c r="F2" s="1159" t="s">
        <v>72</v>
      </c>
      <c r="G2" s="1159" t="s">
        <v>191</v>
      </c>
      <c r="H2" s="1159" t="s">
        <v>74</v>
      </c>
      <c r="I2" s="1159" t="s">
        <v>75</v>
      </c>
      <c r="J2" s="1159" t="s">
        <v>76</v>
      </c>
      <c r="K2" s="1159" t="s">
        <v>77</v>
      </c>
      <c r="L2" s="1159" t="s">
        <v>78</v>
      </c>
      <c r="M2" s="1159" t="s">
        <v>79</v>
      </c>
      <c r="N2" s="1168" t="s">
        <v>68</v>
      </c>
      <c r="O2" s="1159" t="s">
        <v>69</v>
      </c>
      <c r="P2" s="1159" t="s">
        <v>70</v>
      </c>
      <c r="Q2" s="1159" t="s">
        <v>71</v>
      </c>
      <c r="R2" s="1159" t="s">
        <v>72</v>
      </c>
      <c r="S2" s="1159" t="s">
        <v>191</v>
      </c>
      <c r="T2" s="1159" t="s">
        <v>74</v>
      </c>
      <c r="U2" s="1159" t="s">
        <v>75</v>
      </c>
      <c r="V2" s="1159" t="s">
        <v>76</v>
      </c>
      <c r="W2" s="1159" t="s">
        <v>77</v>
      </c>
      <c r="X2" s="1159" t="s">
        <v>78</v>
      </c>
      <c r="Y2" s="1159" t="s">
        <v>79</v>
      </c>
    </row>
    <row r="3" spans="1:25" x14ac:dyDescent="0.35">
      <c r="A3" s="1167" t="s">
        <v>136</v>
      </c>
      <c r="B3" s="577">
        <f>'ПБ V-1 (fin min)'!AL3</f>
        <v>-1277</v>
      </c>
      <c r="C3" s="577">
        <f>'ПБ V-1 (fin min)'!AM3</f>
        <v>-1083</v>
      </c>
      <c r="D3" s="577">
        <f>'ПБ V-1 (fin min)'!AN3</f>
        <v>-1962</v>
      </c>
      <c r="E3" s="577">
        <f>'ПБ V-1 (fin min)'!AO3</f>
        <v>-1661</v>
      </c>
      <c r="F3" s="577">
        <f>'ПБ V-1 (fin min)'!AP3</f>
        <v>-2880</v>
      </c>
      <c r="G3" s="577">
        <f>'ПБ V-1 (fin min)'!AQ3</f>
        <v>-3960</v>
      </c>
      <c r="H3" s="577">
        <f>'ПБ V-1 (fin min)'!AR3</f>
        <v>-126</v>
      </c>
      <c r="I3" s="577">
        <f>'ПБ V-1 (fin min)'!AS3</f>
        <v>1666</v>
      </c>
      <c r="J3" s="577">
        <f>'ПБ V-1 (fin min)'!AT3</f>
        <v>-1209</v>
      </c>
      <c r="K3" s="577">
        <f>'ПБ V-1 (fin min)'!AU3</f>
        <v>-2652</v>
      </c>
      <c r="L3" s="577">
        <f>'ПБ V-1 (fin min)'!AV3</f>
        <v>-1979</v>
      </c>
      <c r="M3" s="577">
        <f>'ПБ V-1 (fin min)'!AW3</f>
        <v>-3694</v>
      </c>
      <c r="N3" s="577">
        <f>'ПБ V-1 (fin min)'!AX3</f>
        <v>-3351</v>
      </c>
      <c r="O3" s="577">
        <f>'ПБ V-1 (fin min)'!AY3</f>
        <v>-2698</v>
      </c>
      <c r="P3" s="577">
        <f>'ПБ V-1 (fin min)'!AZ3</f>
        <v>-1363</v>
      </c>
      <c r="Q3" s="577">
        <f>'ПБ V-1 (fin min)'!BA3</f>
        <v>-1373</v>
      </c>
      <c r="R3" s="577">
        <f>'ПБ V-1 (fin min)'!BB3</f>
        <v>-1605</v>
      </c>
      <c r="S3" s="577">
        <f>'ПБ V-1 (fin min)'!BC3</f>
        <v>-2068.6999999999998</v>
      </c>
      <c r="T3" s="577">
        <f>'ПБ V-1 (fin min)'!BD3</f>
        <v>-1928.3</v>
      </c>
      <c r="U3" s="577">
        <f>'ПБ V-1 (fin min)'!BE3</f>
        <v>-2671</v>
      </c>
      <c r="V3" s="577">
        <f>'ПБ V-1 (fin min)'!BF3</f>
        <v>-2641</v>
      </c>
      <c r="W3" s="577">
        <f>'ПБ V-1 (fin min)'!BG3</f>
        <v>-3464</v>
      </c>
      <c r="X3" s="577">
        <f>'ПБ V-1 (fin min)'!BH3</f>
        <v>-2237</v>
      </c>
      <c r="Y3" s="577">
        <f>'ПБ V-1 (fin min)'!BI3</f>
        <v>-3749.080077400155</v>
      </c>
    </row>
    <row r="4" spans="1:25" x14ac:dyDescent="0.35">
      <c r="A4" s="140" t="str">
        <f>'ПБ V-1 (fin min)'!A5</f>
        <v>Баланс товарів та послуг</v>
      </c>
      <c r="B4" s="295">
        <f>'ПБ V-1 (fin min)'!AL5</f>
        <v>-57</v>
      </c>
      <c r="C4" s="295">
        <f>'ПБ V-1 (fin min)'!AM5</f>
        <v>-856</v>
      </c>
      <c r="D4" s="295">
        <f>'ПБ V-1 (fin min)'!AN5</f>
        <v>-573</v>
      </c>
      <c r="E4" s="295">
        <f>'ПБ V-1 (fin min)'!AO5</f>
        <v>-1305</v>
      </c>
      <c r="F4" s="295">
        <f>'ПБ V-1 (fin min)'!AP5</f>
        <v>-2371</v>
      </c>
      <c r="G4" s="295">
        <f>'ПБ V-1 (fin min)'!AQ5</f>
        <v>-3158</v>
      </c>
      <c r="H4" s="295">
        <f>'ПБ V-1 (fin min)'!AR5</f>
        <v>-3124</v>
      </c>
      <c r="I4" s="295">
        <f>'ПБ V-1 (fin min)'!AS5</f>
        <v>-2670</v>
      </c>
      <c r="J4" s="295">
        <f>'ПБ V-1 (fin min)'!AT5</f>
        <v>-1845</v>
      </c>
      <c r="K4" s="295">
        <f>'ПБ V-1 (fin min)'!AU5</f>
        <v>-2391</v>
      </c>
      <c r="L4" s="295">
        <f>'ПБ V-1 (fin min)'!AV5</f>
        <v>-3118</v>
      </c>
      <c r="M4" s="295">
        <f>'ПБ V-1 (fin min)'!AW5</f>
        <v>-4269</v>
      </c>
      <c r="N4" s="295">
        <f>'ПБ V-1 (fin min)'!AX5</f>
        <v>-3573</v>
      </c>
      <c r="O4" s="295">
        <f>'ПБ V-1 (fin min)'!AY5</f>
        <v>-3301</v>
      </c>
      <c r="P4" s="295">
        <f>'ПБ V-1 (fin min)'!AZ5</f>
        <v>-2685</v>
      </c>
      <c r="Q4" s="295">
        <f>'ПБ V-1 (fin min)'!BA5</f>
        <v>-2359</v>
      </c>
      <c r="R4" s="295">
        <f>'ПБ V-1 (fin min)'!BB5</f>
        <v>-2557</v>
      </c>
      <c r="S4" s="295">
        <f>'ПБ V-1 (fin min)'!BC5</f>
        <v>-2878</v>
      </c>
      <c r="T4" s="295">
        <f>'ПБ V-1 (fin min)'!BD5</f>
        <v>-3566</v>
      </c>
      <c r="U4" s="295">
        <f>'ПБ V-1 (fin min)'!BE5</f>
        <v>-3567</v>
      </c>
      <c r="V4" s="295">
        <f>'ПБ V-1 (fin min)'!BF5</f>
        <v>-3452</v>
      </c>
      <c r="W4" s="295">
        <f>'ПБ V-1 (fin min)'!BG5</f>
        <v>-3449</v>
      </c>
      <c r="X4" s="295">
        <f>'ПБ V-1 (fin min)'!BH5</f>
        <v>-2729</v>
      </c>
      <c r="Y4" s="295">
        <f>'ПБ V-1 (fin min)'!BI5</f>
        <v>-3697.8092126390966</v>
      </c>
    </row>
    <row r="5" spans="1:25" x14ac:dyDescent="0.35">
      <c r="A5" s="140" t="str">
        <f>'ПБ V-1 (fin min)'!A62</f>
        <v>D. Суммарный приток валюты (= A+B-C)</v>
      </c>
      <c r="B5" s="279">
        <f>'ПБ V-1 (fin min)'!AL62</f>
        <v>-1762</v>
      </c>
      <c r="C5" s="279">
        <f>'ПБ V-1 (fin min)'!AM62</f>
        <v>-1658</v>
      </c>
      <c r="D5" s="279">
        <f>'ПБ V-1 (fin min)'!AN62</f>
        <v>679</v>
      </c>
      <c r="E5" s="279">
        <f>'ПБ V-1 (fin min)'!AO62</f>
        <v>-867</v>
      </c>
      <c r="F5" s="279">
        <f>'ПБ V-1 (fin min)'!AP62</f>
        <v>-1921</v>
      </c>
      <c r="G5" s="279">
        <f>'ПБ V-1 (fin min)'!AQ62</f>
        <v>-2220</v>
      </c>
      <c r="H5" s="279">
        <f>'ПБ V-1 (fin min)'!AR62</f>
        <v>-299</v>
      </c>
      <c r="I5" s="279">
        <f>'ПБ V-1 (fin min)'!AS62</f>
        <v>3105</v>
      </c>
      <c r="J5" s="279">
        <f>'ПБ V-1 (fin min)'!AT62</f>
        <v>-1375</v>
      </c>
      <c r="K5" s="279">
        <f>'ПБ V-1 (fin min)'!AU62</f>
        <v>1251</v>
      </c>
      <c r="L5" s="279">
        <f>'ПБ V-1 (fin min)'!AV62</f>
        <v>2437</v>
      </c>
      <c r="M5" s="279">
        <f>'ПБ V-1 (fin min)'!AW62</f>
        <v>362</v>
      </c>
      <c r="N5" s="279">
        <f>'ПБ V-1 (fin min)'!AX62</f>
        <v>1208</v>
      </c>
      <c r="O5" s="279">
        <f>'ПБ V-1 (fin min)'!AY62</f>
        <v>-856</v>
      </c>
      <c r="P5" s="279">
        <f>'ПБ V-1 (fin min)'!AZ62</f>
        <v>2765</v>
      </c>
      <c r="Q5" s="279">
        <f>'ПБ V-1 (fin min)'!BA62</f>
        <v>4021</v>
      </c>
      <c r="R5" s="279">
        <f>'ПБ V-1 (fin min)'!BB62</f>
        <v>1533</v>
      </c>
      <c r="S5" s="279">
        <f>'ПБ V-1 (fin min)'!BC62</f>
        <v>1688</v>
      </c>
      <c r="T5" s="279">
        <f>'ПБ V-1 (fin min)'!BD62</f>
        <v>2579</v>
      </c>
      <c r="U5" s="279">
        <f>'ПБ V-1 (fin min)'!BE62</f>
        <v>-1297</v>
      </c>
      <c r="V5" s="279">
        <f>'ПБ V-1 (fin min)'!BF62</f>
        <v>-609</v>
      </c>
      <c r="W5" s="279">
        <f>'ПБ V-1 (fin min)'!BG62</f>
        <v>-847</v>
      </c>
      <c r="X5" s="279">
        <f>'ПБ V-1 (fin min)'!BH62</f>
        <v>-355</v>
      </c>
      <c r="Y5" s="279">
        <f>'ПБ V-1 (fin min)'!BI62</f>
        <v>1146.4890524503166</v>
      </c>
    </row>
    <row r="6" spans="1:25" x14ac:dyDescent="0.35">
      <c r="B6" s="121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</row>
    <row r="7" spans="1:25" x14ac:dyDescent="0.35">
      <c r="A7" s="113" t="s">
        <v>320</v>
      </c>
      <c r="B7" s="279">
        <f>'ПБ V-1 (fin min)'!AL71</f>
        <v>29086.959999999999</v>
      </c>
      <c r="C7" s="279">
        <f>'ПБ V-1 (fin min)'!AM71</f>
        <v>27552.86</v>
      </c>
      <c r="D7" s="279">
        <f>'ПБ V-1 (fin min)'!AN71</f>
        <v>28107.45</v>
      </c>
      <c r="E7" s="279">
        <f>'ПБ V-1 (fin min)'!AO71</f>
        <v>26945</v>
      </c>
      <c r="F7" s="279">
        <f>'ПБ V-1 (fin min)'!AP71</f>
        <v>25102</v>
      </c>
      <c r="G7" s="279">
        <f>'ПБ V-1 (fin min)'!AQ71</f>
        <v>22802</v>
      </c>
      <c r="H7" s="279">
        <f>'ПБ V-1 (fin min)'!AR71</f>
        <v>22387</v>
      </c>
      <c r="I7" s="279">
        <f>'ПБ V-1 (fin min)'!AS71</f>
        <v>25439</v>
      </c>
      <c r="J7" s="279">
        <f>'ПБ V-1 (fin min)'!AT71</f>
        <v>23932</v>
      </c>
      <c r="K7" s="279">
        <f>'ПБ V-1 (fin min)'!AU71</f>
        <v>25246</v>
      </c>
      <c r="L7" s="279">
        <f>'ПБ V-1 (fin min)'!AV71</f>
        <v>27955</v>
      </c>
      <c r="M7" s="279">
        <f>'ПБ V-1 (fin min)'!AW71</f>
        <v>28494</v>
      </c>
      <c r="N7" s="343">
        <f>'ПБ V-1 (fin min)'!AX71</f>
        <v>29928.21</v>
      </c>
      <c r="O7" s="343">
        <f>'ПБ V-1 (fin min)'!AY71</f>
        <v>28869.64</v>
      </c>
      <c r="P7" s="343">
        <f>'ПБ V-1 (fin min)'!AZ71</f>
        <v>31886.73</v>
      </c>
      <c r="Q7" s="343">
        <f>'ПБ V-1 (fin min)'!BA71</f>
        <v>35952.519999999997</v>
      </c>
      <c r="R7" s="343">
        <f>'ПБ V-1 (fin min)'!BB71</f>
        <v>37321.43</v>
      </c>
      <c r="S7" s="343">
        <f>'ПБ V-1 (fin min)'!BC71</f>
        <v>39026.550000000003</v>
      </c>
      <c r="T7" s="343">
        <f>'ПБ V-1 (fin min)'!BD71</f>
        <v>41737.550000000003</v>
      </c>
      <c r="U7" s="343">
        <f>'ПБ V-1 (fin min)'!BE71</f>
        <v>40405.199999999997</v>
      </c>
      <c r="V7" s="343">
        <f>'ПБ V-1 (fin min)'!BF71</f>
        <v>39722.78</v>
      </c>
      <c r="W7" s="343">
        <f>'ПБ V-1 (fin min)'!BG71</f>
        <v>38987.199999999997</v>
      </c>
      <c r="X7" s="343">
        <f>'ПБ V-1 (fin min)'!BH71</f>
        <v>38796.050000000003</v>
      </c>
      <c r="Y7" s="343">
        <f>'ПБ V-1 (fin min)'!BI71</f>
        <v>40507.879999999997</v>
      </c>
    </row>
    <row r="8" spans="1:25" x14ac:dyDescent="0.35">
      <c r="A8" s="113" t="s">
        <v>321</v>
      </c>
      <c r="B8" s="279">
        <f>'ПБ V-1 (fin min)'!AL64</f>
        <v>-1313.5</v>
      </c>
      <c r="C8" s="279">
        <f>'ПБ V-1 (fin min)'!AM64</f>
        <v>-357.8</v>
      </c>
      <c r="D8" s="279">
        <f>'ПБ V-1 (fin min)'!AN64</f>
        <v>-1728</v>
      </c>
      <c r="E8" s="279">
        <f>'ПБ V-1 (fin min)'!AO64</f>
        <v>-2201</v>
      </c>
      <c r="F8" s="279">
        <f>'ПБ V-1 (fin min)'!AP64</f>
        <v>-3354.2</v>
      </c>
      <c r="G8" s="279">
        <f>'ПБ V-1 (fin min)'!AQ64</f>
        <v>-3956.3</v>
      </c>
      <c r="H8" s="279">
        <f>'ПБ V-1 (fin min)'!AR64</f>
        <v>-1195</v>
      </c>
      <c r="I8" s="279">
        <f>'ПБ V-1 (fin min)'!AS64</f>
        <v>-1329.7</v>
      </c>
      <c r="J8" s="279">
        <f>'ПБ V-1 (fin min)'!AT64</f>
        <v>-2737.7</v>
      </c>
      <c r="K8" s="279">
        <f t="shared" ref="K8:Y8" si="0">$J$9*K3</f>
        <v>-2386.8000000000002</v>
      </c>
      <c r="L8" s="279">
        <f t="shared" si="0"/>
        <v>-1781.1000000000001</v>
      </c>
      <c r="M8" s="279">
        <f t="shared" si="0"/>
        <v>-3324.6</v>
      </c>
      <c r="N8" s="343">
        <f t="shared" si="0"/>
        <v>-3015.9</v>
      </c>
      <c r="O8" s="343">
        <f t="shared" si="0"/>
        <v>-2428.2000000000003</v>
      </c>
      <c r="P8" s="343">
        <f t="shared" si="0"/>
        <v>-1226.7</v>
      </c>
      <c r="Q8" s="343">
        <f t="shared" si="0"/>
        <v>-1235.7</v>
      </c>
      <c r="R8" s="343">
        <f t="shared" si="0"/>
        <v>-1444.5</v>
      </c>
      <c r="S8" s="343">
        <f t="shared" si="0"/>
        <v>-1861.83</v>
      </c>
      <c r="T8" s="343">
        <f t="shared" si="0"/>
        <v>-1735.47</v>
      </c>
      <c r="U8" s="343">
        <f t="shared" si="0"/>
        <v>-2403.9</v>
      </c>
      <c r="V8" s="343">
        <f t="shared" si="0"/>
        <v>-2376.9</v>
      </c>
      <c r="W8" s="343">
        <f>$J$9*W3</f>
        <v>-3117.6</v>
      </c>
      <c r="X8" s="343">
        <f t="shared" si="0"/>
        <v>-2013.3</v>
      </c>
      <c r="Y8" s="343">
        <f t="shared" si="0"/>
        <v>-3374.1720696601396</v>
      </c>
    </row>
    <row r="9" spans="1:25" ht="41.45" customHeight="1" x14ac:dyDescent="0.35">
      <c r="A9" s="1162" t="s">
        <v>325</v>
      </c>
      <c r="B9" s="1169">
        <f t="shared" ref="B9:I9" si="1">B8/B3</f>
        <v>1.0285826155050901</v>
      </c>
      <c r="C9" s="1169">
        <f t="shared" si="1"/>
        <v>0.33037857802400739</v>
      </c>
      <c r="D9" s="1169">
        <f t="shared" si="1"/>
        <v>0.88073394495412849</v>
      </c>
      <c r="E9" s="1169">
        <f t="shared" si="1"/>
        <v>1.3251053582179411</v>
      </c>
      <c r="F9" s="1169">
        <f t="shared" si="1"/>
        <v>1.1646527777777778</v>
      </c>
      <c r="G9" s="1169">
        <f t="shared" si="1"/>
        <v>0.9990656565656566</v>
      </c>
      <c r="H9" s="1169">
        <f t="shared" si="1"/>
        <v>9.4841269841269842</v>
      </c>
      <c r="I9" s="1169">
        <f t="shared" si="1"/>
        <v>-0.79813925570228095</v>
      </c>
      <c r="J9" s="1169">
        <v>0.9</v>
      </c>
      <c r="K9" s="1171"/>
      <c r="L9" s="1171"/>
      <c r="M9" s="1171"/>
    </row>
    <row r="10" spans="1:25" ht="23.45" customHeight="1" x14ac:dyDescent="0.35">
      <c r="A10" s="1166" t="s">
        <v>326</v>
      </c>
      <c r="B10" s="647">
        <v>28.344999999999999</v>
      </c>
      <c r="C10" s="647">
        <v>30.2</v>
      </c>
      <c r="D10" s="647">
        <v>32.200000000000003</v>
      </c>
      <c r="E10" s="647">
        <v>33.4</v>
      </c>
      <c r="F10" s="647">
        <v>35.5</v>
      </c>
      <c r="G10" s="647">
        <v>35.5</v>
      </c>
      <c r="H10" s="647">
        <v>42.125</v>
      </c>
      <c r="I10" s="647">
        <v>40.64</v>
      </c>
      <c r="J10" s="647">
        <v>41.9</v>
      </c>
      <c r="K10" s="1170"/>
      <c r="L10" s="1170"/>
      <c r="M10" s="1170"/>
      <c r="N10" s="557"/>
      <c r="O10" s="557"/>
      <c r="P10" s="557"/>
      <c r="Q10" s="557"/>
      <c r="R10" s="557"/>
      <c r="S10" s="557"/>
      <c r="T10" s="557"/>
      <c r="U10" s="557"/>
      <c r="V10" s="557"/>
      <c r="W10" s="557"/>
      <c r="X10" s="557"/>
      <c r="Y10" s="557"/>
    </row>
    <row r="11" spans="1:25" x14ac:dyDescent="0.35">
      <c r="A11" s="113" t="s">
        <v>322</v>
      </c>
    </row>
    <row r="12" spans="1:25" x14ac:dyDescent="0.35">
      <c r="A12" s="343">
        <f>SUM(D8:I8)</f>
        <v>-13764.2</v>
      </c>
      <c r="J12">
        <f>480*4</f>
        <v>1920</v>
      </c>
    </row>
    <row r="14" spans="1:25" x14ac:dyDescent="0.35">
      <c r="A14" s="113" t="s">
        <v>324</v>
      </c>
    </row>
    <row r="15" spans="1:25" x14ac:dyDescent="0.35">
      <c r="A15" s="343">
        <f>SUM(D3:I3)</f>
        <v>-8923</v>
      </c>
    </row>
    <row r="17" spans="1:25" x14ac:dyDescent="0.35">
      <c r="A17" s="113" t="s">
        <v>323</v>
      </c>
      <c r="B17" s="275">
        <f>'ПБ V-1 (fin min)'!AL8</f>
        <v>5886</v>
      </c>
      <c r="C17" s="275">
        <f>'ПБ V-1 (fin min)'!AM8</f>
        <v>5874</v>
      </c>
      <c r="D17" s="275">
        <f>'ПБ V-1 (fin min)'!AN8</f>
        <v>1993</v>
      </c>
      <c r="E17" s="275">
        <f>'ПБ V-1 (fin min)'!AO8</f>
        <v>2780</v>
      </c>
      <c r="F17" s="275">
        <f>'ПБ V-1 (fin min)'!AP8</f>
        <v>3841</v>
      </c>
      <c r="G17" s="275">
        <f>'ПБ V-1 (fin min)'!AQ8</f>
        <v>4827</v>
      </c>
      <c r="H17" s="275">
        <f>'ПБ V-1 (fin min)'!AR8</f>
        <v>4597</v>
      </c>
      <c r="I17" s="275">
        <f>'ПБ V-1 (fin min)'!AS8</f>
        <v>4669</v>
      </c>
      <c r="J17" s="275">
        <f>'ПБ V-1 (fin min)'!AT8</f>
        <v>4584</v>
      </c>
      <c r="K17" s="275">
        <f>'ПБ V-1 (fin min)'!AU8</f>
        <v>4818</v>
      </c>
      <c r="L17" s="275">
        <f>'ПБ V-1 (fin min)'!AV8</f>
        <v>5493</v>
      </c>
      <c r="M17" s="275">
        <f>'ПБ V-1 (fin min)'!AW8</f>
        <v>6189</v>
      </c>
      <c r="N17" s="275">
        <f>'ПБ V-1 (fin min)'!AX8</f>
        <v>5128</v>
      </c>
      <c r="O17" s="275">
        <f>'ПБ V-1 (fin min)'!AY8</f>
        <v>5148</v>
      </c>
      <c r="P17" s="275">
        <f>'ПБ V-1 (fin min)'!AZ8</f>
        <v>5480</v>
      </c>
      <c r="Q17" s="275">
        <f>'ПБ V-1 (fin min)'!BA8</f>
        <v>4619</v>
      </c>
      <c r="R17" s="275">
        <f>'ПБ V-1 (fin min)'!BB8</f>
        <v>4916</v>
      </c>
      <c r="S17" s="275">
        <f>'ПБ V-1 (fin min)'!BC8</f>
        <v>5142</v>
      </c>
      <c r="T17" s="275">
        <f>'ПБ V-1 (fin min)'!BD8</f>
        <v>5226</v>
      </c>
      <c r="U17" s="275">
        <f>'ПБ V-1 (fin min)'!BE8</f>
        <v>5522</v>
      </c>
      <c r="V17" s="275">
        <f>'ПБ V-1 (fin min)'!BF8</f>
        <v>5355</v>
      </c>
      <c r="W17" s="275">
        <f>'ПБ V-1 (fin min)'!BG8</f>
        <v>5486</v>
      </c>
      <c r="X17" s="275">
        <f>'ПБ V-1 (fin min)'!BH8</f>
        <v>4988</v>
      </c>
      <c r="Y17" s="275">
        <f>'ПБ V-1 (fin min)'!BI8</f>
        <v>6025.4682381922266</v>
      </c>
    </row>
    <row r="18" spans="1:25" x14ac:dyDescent="0.35">
      <c r="B18" s="106">
        <f t="shared" ref="B18:Y18" si="2">B7/B17</f>
        <v>4.9417193340129115</v>
      </c>
      <c r="C18" s="106">
        <f t="shared" si="2"/>
        <v>4.6906469186244468</v>
      </c>
      <c r="D18" s="106">
        <f t="shared" si="2"/>
        <v>14.103085800301054</v>
      </c>
      <c r="E18" s="106">
        <f t="shared" si="2"/>
        <v>9.692446043165468</v>
      </c>
      <c r="F18" s="106">
        <f t="shared" si="2"/>
        <v>6.5352772715438689</v>
      </c>
      <c r="G18" s="106">
        <f t="shared" si="2"/>
        <v>4.7238450383260826</v>
      </c>
      <c r="H18" s="106">
        <f t="shared" si="2"/>
        <v>4.8699151620622141</v>
      </c>
      <c r="I18" s="106">
        <f t="shared" si="2"/>
        <v>5.4484900406939385</v>
      </c>
      <c r="J18" s="106">
        <f t="shared" si="2"/>
        <v>5.2207678883071553</v>
      </c>
      <c r="K18" s="106">
        <f t="shared" si="2"/>
        <v>5.2399335823993356</v>
      </c>
      <c r="L18" s="106">
        <f t="shared" si="2"/>
        <v>5.0892044420171123</v>
      </c>
      <c r="M18" s="106">
        <f t="shared" si="2"/>
        <v>4.6039747939893356</v>
      </c>
      <c r="N18" s="106">
        <f t="shared" si="2"/>
        <v>5.8362343993759751</v>
      </c>
      <c r="O18" s="106">
        <f t="shared" si="2"/>
        <v>5.6079331779331776</v>
      </c>
      <c r="P18" s="106">
        <f t="shared" si="2"/>
        <v>5.8187463503649637</v>
      </c>
      <c r="Q18" s="106">
        <f t="shared" si="2"/>
        <v>7.7836155011907335</v>
      </c>
      <c r="R18" s="106">
        <f t="shared" si="2"/>
        <v>7.5918287225386489</v>
      </c>
      <c r="S18" s="106">
        <f t="shared" si="2"/>
        <v>7.5897607934655777</v>
      </c>
      <c r="T18" s="106">
        <f t="shared" si="2"/>
        <v>7.9865193264447001</v>
      </c>
      <c r="U18" s="106">
        <f t="shared" si="2"/>
        <v>7.3171314741035856</v>
      </c>
      <c r="V18" s="106">
        <f t="shared" si="2"/>
        <v>7.4178860877684407</v>
      </c>
      <c r="W18" s="106">
        <f t="shared" si="2"/>
        <v>7.1066715275246075</v>
      </c>
      <c r="X18" s="106">
        <f t="shared" si="2"/>
        <v>7.777876904570971</v>
      </c>
      <c r="Y18" s="106">
        <f t="shared" si="2"/>
        <v>6.7227771185054417</v>
      </c>
    </row>
    <row r="21" spans="1:25" x14ac:dyDescent="0.35">
      <c r="A21" s="516">
        <f>A12/A15</f>
        <v>1.5425529530426987</v>
      </c>
    </row>
    <row r="22" spans="1:25" x14ac:dyDescent="0.35">
      <c r="A22" s="113"/>
    </row>
  </sheetData>
  <mergeCells count="2">
    <mergeCell ref="B1:M1"/>
    <mergeCell ref="N1:Y1"/>
  </mergeCells>
  <conditionalFormatting sqref="B3:Y3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4:Y4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:Y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7:Y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Y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M1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7"/>
  </sheetPr>
  <dimension ref="A1:GL175"/>
  <sheetViews>
    <sheetView zoomScale="70" zoomScaleNormal="70" workbookViewId="0">
      <pane xSplit="25" ySplit="2" topLeftCell="AT27" activePane="bottomRight" state="frozen"/>
      <selection pane="topRight" activeCell="Z1" sqref="Z1"/>
      <selection pane="bottomLeft" activeCell="A3" sqref="A3"/>
      <selection pane="bottomRight" activeCell="A50" sqref="A50:A51"/>
    </sheetView>
  </sheetViews>
  <sheetFormatPr defaultRowHeight="18" zeroHeight="1" outlineLevelCol="1" x14ac:dyDescent="0.35"/>
  <cols>
    <col min="1" max="1" width="47.59765625" style="61" customWidth="1"/>
    <col min="2" max="5" width="8.69921875" style="61" hidden="1" customWidth="1" outlineLevel="1"/>
    <col min="6" max="12" width="12.09765625" hidden="1" customWidth="1" outlineLevel="1"/>
    <col min="13" max="13" width="33" hidden="1" customWidth="1" outlineLevel="1"/>
    <col min="14" max="14" width="12.69921875" hidden="1" customWidth="1" outlineLevel="1" collapsed="1"/>
    <col min="15" max="23" width="10" hidden="1" customWidth="1" outlineLevel="1"/>
    <col min="24" max="24" width="12" hidden="1" customWidth="1" outlineLevel="1"/>
    <col min="25" max="25" width="16.09765625" hidden="1" customWidth="1" outlineLevel="1"/>
    <col min="26" max="26" width="14.5" style="391" customWidth="1" collapsed="1"/>
    <col min="27" max="27" width="16" customWidth="1"/>
    <col min="28" max="28" width="11.3984375" customWidth="1"/>
    <col min="29" max="29" width="12" customWidth="1"/>
    <col min="30" max="30" width="13.3984375" customWidth="1"/>
    <col min="31" max="33" width="11.3984375" customWidth="1"/>
    <col min="34" max="34" width="11.69921875" customWidth="1"/>
    <col min="35" max="36" width="12" customWidth="1"/>
    <col min="37" max="37" width="12.69921875" customWidth="1"/>
    <col min="38" max="38" width="9.19921875" customWidth="1"/>
    <col min="39" max="39" width="7.8984375" customWidth="1"/>
    <col min="40" max="40" width="9.09765625" customWidth="1"/>
    <col min="41" max="41" width="7.8984375" customWidth="1"/>
    <col min="42" max="43" width="8.3984375" customWidth="1"/>
    <col min="44" max="44" width="8.59765625" customWidth="1"/>
    <col min="45" max="45" width="8.8984375" customWidth="1"/>
    <col min="46" max="46" width="9.09765625" bestFit="1" customWidth="1"/>
    <col min="47" max="48" width="9.5" bestFit="1" customWidth="1"/>
    <col min="49" max="49" width="13" customWidth="1"/>
    <col min="50" max="61" width="9.5" customWidth="1"/>
    <col min="62" max="62" width="14.69921875" customWidth="1"/>
    <col min="63" max="68" width="15.09765625" customWidth="1"/>
    <col min="69" max="69" width="11.69921875" style="894" customWidth="1"/>
    <col min="70" max="70" width="12.69921875" style="94" customWidth="1"/>
    <col min="71" max="71" width="11.796875" customWidth="1"/>
    <col min="72" max="72" width="22.5" customWidth="1"/>
  </cols>
  <sheetData>
    <row r="1" spans="1:194" ht="42.6" customHeight="1" x14ac:dyDescent="0.35">
      <c r="A1" s="811" t="s">
        <v>130</v>
      </c>
      <c r="B1" s="1455">
        <v>2019</v>
      </c>
      <c r="C1" s="1455"/>
      <c r="D1" s="1455"/>
      <c r="E1" s="1455"/>
      <c r="F1" s="1455"/>
      <c r="G1" s="1455"/>
      <c r="H1" s="1455"/>
      <c r="I1" s="1455"/>
      <c r="J1" s="1455"/>
      <c r="K1" s="1455"/>
      <c r="L1" s="1455"/>
      <c r="M1" s="1455"/>
      <c r="N1" s="1456">
        <v>2020</v>
      </c>
      <c r="O1" s="1456"/>
      <c r="P1" s="1456"/>
      <c r="Q1" s="1456"/>
      <c r="R1" s="1456"/>
      <c r="S1" s="1456"/>
      <c r="T1" s="1456"/>
      <c r="U1" s="1456"/>
      <c r="V1" s="1456"/>
      <c r="W1" s="1456"/>
      <c r="X1" s="1456"/>
      <c r="Y1" s="1456"/>
      <c r="Z1" s="1456">
        <v>2021</v>
      </c>
      <c r="AA1" s="1456"/>
      <c r="AB1" s="1456"/>
      <c r="AC1" s="1456"/>
      <c r="AD1" s="1456"/>
      <c r="AE1" s="1456"/>
      <c r="AF1" s="1456"/>
      <c r="AG1" s="1456"/>
      <c r="AH1" s="1456"/>
      <c r="AI1" s="1456"/>
      <c r="AJ1" s="1456"/>
      <c r="AK1" s="1457"/>
      <c r="AL1" s="1458">
        <v>2022</v>
      </c>
      <c r="AM1" s="1456"/>
      <c r="AN1" s="1456"/>
      <c r="AO1" s="1456"/>
      <c r="AP1" s="1456"/>
      <c r="AQ1" s="1456"/>
      <c r="AR1" s="1456"/>
      <c r="AS1" s="1456"/>
      <c r="AT1" s="1456"/>
      <c r="AU1" s="1456"/>
      <c r="AV1" s="1456"/>
      <c r="AW1" s="1459"/>
      <c r="AX1" s="1460">
        <v>2023</v>
      </c>
      <c r="AY1" s="1460"/>
      <c r="AZ1" s="1460"/>
      <c r="BA1" s="1460"/>
      <c r="BB1" s="1460"/>
      <c r="BC1" s="1460"/>
      <c r="BD1" s="1460"/>
      <c r="BE1" s="1460"/>
      <c r="BF1" s="1460"/>
      <c r="BG1" s="1460"/>
      <c r="BH1" s="1460"/>
      <c r="BI1" s="1460"/>
      <c r="BJ1" s="1159"/>
      <c r="BK1" s="1159"/>
      <c r="BL1" s="1179"/>
      <c r="BM1" s="1179"/>
      <c r="BN1" s="1179"/>
      <c r="BO1" s="1179"/>
      <c r="BP1" s="1179"/>
      <c r="BQ1" s="895"/>
      <c r="BR1" s="1143"/>
      <c r="BS1" s="1144"/>
      <c r="BU1" s="1075"/>
    </row>
    <row r="2" spans="1:194" x14ac:dyDescent="0.35">
      <c r="A2" s="811"/>
      <c r="B2" s="1153" t="s">
        <v>68</v>
      </c>
      <c r="C2" s="1153" t="s">
        <v>69</v>
      </c>
      <c r="D2" s="1153" t="s">
        <v>70</v>
      </c>
      <c r="E2" s="1153" t="s">
        <v>71</v>
      </c>
      <c r="F2" s="1153" t="s">
        <v>72</v>
      </c>
      <c r="G2" s="1153" t="s">
        <v>73</v>
      </c>
      <c r="H2" s="1153" t="s">
        <v>74</v>
      </c>
      <c r="I2" s="1153" t="s">
        <v>75</v>
      </c>
      <c r="J2" s="1153" t="s">
        <v>76</v>
      </c>
      <c r="K2" s="1153" t="s">
        <v>77</v>
      </c>
      <c r="L2" s="1153" t="s">
        <v>78</v>
      </c>
      <c r="M2" s="1153" t="s">
        <v>79</v>
      </c>
      <c r="N2" s="1154" t="s">
        <v>68</v>
      </c>
      <c r="O2" s="1154" t="s">
        <v>69</v>
      </c>
      <c r="P2" s="1154" t="s">
        <v>70</v>
      </c>
      <c r="Q2" s="1154" t="s">
        <v>71</v>
      </c>
      <c r="R2" s="1154" t="s">
        <v>72</v>
      </c>
      <c r="S2" s="1154" t="s">
        <v>191</v>
      </c>
      <c r="T2" s="1154" t="s">
        <v>74</v>
      </c>
      <c r="U2" s="1154" t="s">
        <v>75</v>
      </c>
      <c r="V2" s="1154" t="s">
        <v>76</v>
      </c>
      <c r="W2" s="1154" t="s">
        <v>77</v>
      </c>
      <c r="X2" s="1154" t="s">
        <v>78</v>
      </c>
      <c r="Y2" s="1154" t="s">
        <v>79</v>
      </c>
      <c r="Z2" s="1154" t="s">
        <v>68</v>
      </c>
      <c r="AA2" s="1154" t="s">
        <v>69</v>
      </c>
      <c r="AB2" s="1154" t="s">
        <v>70</v>
      </c>
      <c r="AC2" s="1154" t="s">
        <v>71</v>
      </c>
      <c r="AD2" s="1154" t="s">
        <v>72</v>
      </c>
      <c r="AE2" s="1154" t="s">
        <v>191</v>
      </c>
      <c r="AF2" s="1154" t="s">
        <v>74</v>
      </c>
      <c r="AG2" s="1154" t="s">
        <v>75</v>
      </c>
      <c r="AH2" s="1154" t="s">
        <v>76</v>
      </c>
      <c r="AI2" s="1154" t="s">
        <v>77</v>
      </c>
      <c r="AJ2" s="1154" t="s">
        <v>78</v>
      </c>
      <c r="AK2" s="1155" t="s">
        <v>79</v>
      </c>
      <c r="AL2" s="1156" t="s">
        <v>68</v>
      </c>
      <c r="AM2" s="1154" t="s">
        <v>69</v>
      </c>
      <c r="AN2" s="1154" t="s">
        <v>70</v>
      </c>
      <c r="AO2" s="1154" t="s">
        <v>71</v>
      </c>
      <c r="AP2" s="1154" t="s">
        <v>72</v>
      </c>
      <c r="AQ2" s="1154" t="s">
        <v>191</v>
      </c>
      <c r="AR2" s="1154" t="s">
        <v>74</v>
      </c>
      <c r="AS2" s="1154" t="s">
        <v>75</v>
      </c>
      <c r="AT2" s="1154" t="s">
        <v>76</v>
      </c>
      <c r="AU2" s="1154" t="s">
        <v>77</v>
      </c>
      <c r="AV2" s="1154" t="s">
        <v>78</v>
      </c>
      <c r="AW2" s="1157" t="s">
        <v>79</v>
      </c>
      <c r="AX2" s="1159" t="s">
        <v>68</v>
      </c>
      <c r="AY2" s="1159" t="s">
        <v>69</v>
      </c>
      <c r="AZ2" s="1159" t="s">
        <v>70</v>
      </c>
      <c r="BA2" s="1159" t="s">
        <v>71</v>
      </c>
      <c r="BB2" s="1159" t="s">
        <v>72</v>
      </c>
      <c r="BC2" s="1159" t="s">
        <v>191</v>
      </c>
      <c r="BD2" s="1159" t="s">
        <v>74</v>
      </c>
      <c r="BE2" s="1159" t="s">
        <v>75</v>
      </c>
      <c r="BF2" s="1159" t="s">
        <v>76</v>
      </c>
      <c r="BG2" s="1159" t="s">
        <v>77</v>
      </c>
      <c r="BH2" s="1159" t="s">
        <v>78</v>
      </c>
      <c r="BI2" s="1159" t="s">
        <v>79</v>
      </c>
      <c r="BJ2" s="1159" t="s">
        <v>316</v>
      </c>
      <c r="BK2" s="1159" t="s">
        <v>305</v>
      </c>
      <c r="BL2" s="1179"/>
      <c r="BM2" s="1179"/>
      <c r="BN2" s="1179"/>
      <c r="BO2" s="1179"/>
      <c r="BP2" s="1179"/>
      <c r="BQ2" s="896" t="s">
        <v>214</v>
      </c>
      <c r="BR2" s="876" t="s">
        <v>133</v>
      </c>
      <c r="BS2" s="1157" t="s">
        <v>134</v>
      </c>
      <c r="BT2" s="1076"/>
      <c r="BU2" s="1075"/>
    </row>
    <row r="3" spans="1:194" ht="17.850000000000001" customHeight="1" x14ac:dyDescent="0.35">
      <c r="A3" s="787" t="s">
        <v>136</v>
      </c>
      <c r="B3" s="812"/>
      <c r="C3" s="812"/>
      <c r="D3" s="812"/>
      <c r="E3" s="812"/>
      <c r="F3" s="812"/>
      <c r="G3" s="812"/>
      <c r="H3" s="812"/>
      <c r="I3" s="812"/>
      <c r="J3" s="812"/>
      <c r="K3" s="812"/>
      <c r="L3" s="812"/>
      <c r="M3" s="812"/>
      <c r="N3" s="789">
        <f t="shared" ref="N3:AK3" si="0">N4-N23</f>
        <v>-784</v>
      </c>
      <c r="O3" s="789">
        <f t="shared" si="0"/>
        <v>665</v>
      </c>
      <c r="P3" s="789">
        <f t="shared" si="0"/>
        <v>-1338</v>
      </c>
      <c r="Q3" s="789">
        <f t="shared" si="0"/>
        <v>1035</v>
      </c>
      <c r="R3" s="789">
        <f t="shared" si="0"/>
        <v>878</v>
      </c>
      <c r="S3" s="789">
        <f t="shared" si="0"/>
        <v>613</v>
      </c>
      <c r="T3" s="789">
        <f t="shared" si="0"/>
        <v>-310</v>
      </c>
      <c r="U3" s="789">
        <f t="shared" si="0"/>
        <v>608</v>
      </c>
      <c r="V3" s="789">
        <f t="shared" si="0"/>
        <v>-439</v>
      </c>
      <c r="W3" s="789">
        <f t="shared" si="0"/>
        <v>-220</v>
      </c>
      <c r="X3" s="789">
        <f t="shared" si="0"/>
        <v>75</v>
      </c>
      <c r="Y3" s="789">
        <f t="shared" si="0"/>
        <v>326</v>
      </c>
      <c r="Z3" s="789">
        <f t="shared" si="0"/>
        <v>-554</v>
      </c>
      <c r="AA3" s="789">
        <f t="shared" si="0"/>
        <v>-185</v>
      </c>
      <c r="AB3" s="789">
        <f t="shared" si="0"/>
        <v>-461</v>
      </c>
      <c r="AC3" s="789">
        <f t="shared" si="0"/>
        <v>-317</v>
      </c>
      <c r="AD3" s="789">
        <f t="shared" si="0"/>
        <v>-467</v>
      </c>
      <c r="AE3" s="789">
        <f t="shared" si="0"/>
        <v>-181</v>
      </c>
      <c r="AF3" s="789">
        <f t="shared" si="0"/>
        <v>-88</v>
      </c>
      <c r="AG3" s="789">
        <f t="shared" si="0"/>
        <v>215</v>
      </c>
      <c r="AH3" s="789">
        <f t="shared" si="0"/>
        <v>-592</v>
      </c>
      <c r="AI3" s="789">
        <f t="shared" si="0"/>
        <v>584</v>
      </c>
      <c r="AJ3" s="789">
        <f t="shared" si="0"/>
        <v>194</v>
      </c>
      <c r="AK3" s="1024">
        <f t="shared" si="0"/>
        <v>-104</v>
      </c>
      <c r="AL3" s="1002">
        <v>-1336</v>
      </c>
      <c r="AM3" s="1002">
        <v>-1281</v>
      </c>
      <c r="AN3" s="1002">
        <v>-2197</v>
      </c>
      <c r="AO3" s="1002">
        <v>-2498</v>
      </c>
      <c r="AP3" s="1002">
        <v>-3519</v>
      </c>
      <c r="AQ3" s="1002">
        <v>-5342</v>
      </c>
      <c r="AR3" s="1002">
        <v>-2851.2737022683759</v>
      </c>
      <c r="AS3" s="1002">
        <v>-2973.7840728637602</v>
      </c>
      <c r="AT3" s="1002">
        <v>-2737.6903900036723</v>
      </c>
      <c r="AU3" s="1002">
        <v>-2199.6708366589214</v>
      </c>
      <c r="AV3" s="1002">
        <v>-1960.1451459764128</v>
      </c>
      <c r="AW3" s="1002">
        <v>-1735.8142702843536</v>
      </c>
      <c r="AX3" s="1099">
        <v>-3707.2666929061588</v>
      </c>
      <c r="AY3" s="1099">
        <v>-2419.7716519302958</v>
      </c>
      <c r="AZ3" s="1099">
        <v>-4612.4098185406092</v>
      </c>
      <c r="BA3" s="1099">
        <v>-1610.1026783780794</v>
      </c>
      <c r="BB3" s="1099">
        <v>-1252.06440400154</v>
      </c>
      <c r="BC3" s="1099">
        <v>-3447.9404745778525</v>
      </c>
      <c r="BD3" s="1099">
        <v>-1499.8166909013889</v>
      </c>
      <c r="BE3" s="1099">
        <v>-770.52110696587681</v>
      </c>
      <c r="BF3" s="1099">
        <v>-1079.4628612161828</v>
      </c>
      <c r="BG3" s="1099">
        <v>-1211.3653874196848</v>
      </c>
      <c r="BH3" s="1099">
        <v>-2140.642540150046</v>
      </c>
      <c r="BI3" s="1099">
        <v>-3262.0205869316551</v>
      </c>
      <c r="BJ3" s="984">
        <v>-27013.38489391937</v>
      </c>
      <c r="BK3" s="984">
        <v>-30631.378418055501</v>
      </c>
      <c r="BL3" s="1085">
        <f t="shared" ref="BL3:BL34" si="1">BJ3-BK3</f>
        <v>3617.9935241361309</v>
      </c>
      <c r="BM3" s="1198">
        <f t="shared" ref="BM3:BM64" si="2">BL3/BK3</f>
        <v>-0.11811396388232806</v>
      </c>
      <c r="BN3" s="1224">
        <v>-22545.597106328853</v>
      </c>
      <c r="BO3" s="1224">
        <f t="shared" ref="BO3:BO34" si="3">BJ3-BN3</f>
        <v>-4467.7877875905178</v>
      </c>
      <c r="BP3" s="1224"/>
      <c r="BQ3" s="897">
        <f t="shared" ref="BQ3:BQ20" si="4">SUM(Z3:AK3)</f>
        <v>-1956</v>
      </c>
      <c r="BR3" s="876"/>
      <c r="BS3" s="1157"/>
      <c r="BT3" s="1076"/>
    </row>
    <row r="4" spans="1:194" s="61" customFormat="1" ht="31.5" customHeight="1" x14ac:dyDescent="0.35">
      <c r="A4" s="787" t="s">
        <v>80</v>
      </c>
      <c r="B4" s="812">
        <v>625</v>
      </c>
      <c r="C4" s="812">
        <v>-249</v>
      </c>
      <c r="D4" s="812">
        <v>-526</v>
      </c>
      <c r="E4" s="812">
        <v>-92</v>
      </c>
      <c r="F4" s="812">
        <v>138</v>
      </c>
      <c r="G4" s="812">
        <v>-518</v>
      </c>
      <c r="H4" s="812">
        <v>-627</v>
      </c>
      <c r="I4" s="812">
        <v>-462</v>
      </c>
      <c r="J4" s="812">
        <v>-1326</v>
      </c>
      <c r="K4" s="812">
        <v>-676</v>
      </c>
      <c r="L4" s="812">
        <v>40</v>
      </c>
      <c r="M4" s="812">
        <v>2351</v>
      </c>
      <c r="N4" s="789">
        <f t="shared" ref="N4:AK4" si="5">N5+N12+N17</f>
        <v>1232</v>
      </c>
      <c r="O4" s="789">
        <f t="shared" si="5"/>
        <v>504</v>
      </c>
      <c r="P4" s="789">
        <f t="shared" si="5"/>
        <v>460</v>
      </c>
      <c r="Q4" s="789">
        <f t="shared" si="5"/>
        <v>1256</v>
      </c>
      <c r="R4" s="789">
        <f t="shared" si="5"/>
        <v>802</v>
      </c>
      <c r="S4" s="789">
        <f t="shared" si="5"/>
        <v>-13</v>
      </c>
      <c r="T4" s="789">
        <f t="shared" si="5"/>
        <v>57</v>
      </c>
      <c r="U4" s="789">
        <f t="shared" si="5"/>
        <v>609</v>
      </c>
      <c r="V4" s="789">
        <f t="shared" si="5"/>
        <v>-160</v>
      </c>
      <c r="W4" s="789">
        <f t="shared" si="5"/>
        <v>645</v>
      </c>
      <c r="X4" s="789">
        <f t="shared" si="5"/>
        <v>724</v>
      </c>
      <c r="Y4" s="789">
        <f t="shared" si="5"/>
        <v>108</v>
      </c>
      <c r="Z4" s="789">
        <f t="shared" si="5"/>
        <v>160</v>
      </c>
      <c r="AA4" s="789">
        <f t="shared" si="5"/>
        <v>94</v>
      </c>
      <c r="AB4" s="789">
        <f t="shared" si="5"/>
        <v>-821</v>
      </c>
      <c r="AC4" s="789">
        <f t="shared" si="5"/>
        <v>14</v>
      </c>
      <c r="AD4" s="789">
        <f t="shared" si="5"/>
        <v>315</v>
      </c>
      <c r="AE4" s="789">
        <f t="shared" si="5"/>
        <v>-181</v>
      </c>
      <c r="AF4" s="789">
        <f t="shared" si="5"/>
        <v>-662</v>
      </c>
      <c r="AG4" s="789">
        <f t="shared" si="5"/>
        <v>-62</v>
      </c>
      <c r="AH4" s="789">
        <f t="shared" si="5"/>
        <v>-910</v>
      </c>
      <c r="AI4" s="939">
        <f t="shared" si="5"/>
        <v>-24</v>
      </c>
      <c r="AJ4" s="939">
        <f t="shared" si="5"/>
        <v>-654</v>
      </c>
      <c r="AK4" s="1025">
        <f t="shared" si="5"/>
        <v>-537</v>
      </c>
      <c r="AL4" s="1003">
        <v>771</v>
      </c>
      <c r="AM4" s="1003">
        <v>189</v>
      </c>
      <c r="AN4" s="1003">
        <v>1451</v>
      </c>
      <c r="AO4" s="1003">
        <v>1164</v>
      </c>
      <c r="AP4" s="1003">
        <v>-101</v>
      </c>
      <c r="AQ4" s="1003">
        <v>-104</v>
      </c>
      <c r="AR4" s="1003">
        <v>1427.7262977316241</v>
      </c>
      <c r="AS4" s="1003">
        <v>518.21592713623977</v>
      </c>
      <c r="AT4" s="940">
        <v>382.71554886929357</v>
      </c>
      <c r="AU4" s="940">
        <v>195.44043369172164</v>
      </c>
      <c r="AV4" s="940">
        <v>548.21597986526626</v>
      </c>
      <c r="AW4" s="940">
        <v>1386.0208943134769</v>
      </c>
      <c r="AX4" s="984">
        <v>-996.86408221559964</v>
      </c>
      <c r="AY4" s="984">
        <v>-223.68904124254323</v>
      </c>
      <c r="AZ4" s="984">
        <v>-420.24047508799777</v>
      </c>
      <c r="BA4" s="984">
        <v>14.871601111140421</v>
      </c>
      <c r="BB4" s="984">
        <v>290.19575741903679</v>
      </c>
      <c r="BC4" s="984">
        <v>286.94333181583909</v>
      </c>
      <c r="BD4" s="984">
        <v>-71.513577083613654</v>
      </c>
      <c r="BE4" s="984">
        <v>919.9052484363965</v>
      </c>
      <c r="BF4" s="984">
        <v>601.96440870744982</v>
      </c>
      <c r="BG4" s="984">
        <v>479.0418352841366</v>
      </c>
      <c r="BH4" s="984">
        <v>309.53532104237365</v>
      </c>
      <c r="BI4" s="984">
        <v>644.11931429802212</v>
      </c>
      <c r="BJ4" s="984">
        <v>1834.2696424846406</v>
      </c>
      <c r="BK4" s="984">
        <v>7828.3350816076218</v>
      </c>
      <c r="BL4" s="1085">
        <f t="shared" si="1"/>
        <v>-5994.0654391229809</v>
      </c>
      <c r="BM4" s="1198">
        <f t="shared" si="2"/>
        <v>-0.7656884096857085</v>
      </c>
      <c r="BN4" s="1224">
        <v>1983.55752367174</v>
      </c>
      <c r="BO4" s="1224">
        <f t="shared" si="3"/>
        <v>-149.2878811870994</v>
      </c>
      <c r="BP4" s="1224"/>
      <c r="BQ4" s="897">
        <f t="shared" si="4"/>
        <v>-3268</v>
      </c>
      <c r="BR4" s="877">
        <f t="shared" ref="BR4:BR20" si="6">SUM(N4:Y4)</f>
        <v>6224</v>
      </c>
      <c r="BS4" s="1069">
        <f>SUM(B4:M4)</f>
        <v>-1322</v>
      </c>
    </row>
    <row r="5" spans="1:194" s="825" customFormat="1" ht="17.850000000000001" customHeight="1" x14ac:dyDescent="0.35">
      <c r="A5" s="821" t="s">
        <v>25</v>
      </c>
      <c r="B5" s="822">
        <v>-83</v>
      </c>
      <c r="C5" s="822">
        <v>-1050</v>
      </c>
      <c r="D5" s="822">
        <v>-702</v>
      </c>
      <c r="E5" s="822">
        <v>-824</v>
      </c>
      <c r="F5" s="822">
        <v>-753</v>
      </c>
      <c r="G5" s="822">
        <v>-1293</v>
      </c>
      <c r="H5" s="822">
        <v>-1505</v>
      </c>
      <c r="I5" s="822">
        <v>-1218</v>
      </c>
      <c r="J5" s="822">
        <v>-1407</v>
      </c>
      <c r="K5" s="822">
        <v>-1405</v>
      </c>
      <c r="L5" s="822">
        <v>-912</v>
      </c>
      <c r="M5" s="822">
        <v>-1231</v>
      </c>
      <c r="N5" s="822">
        <f t="shared" ref="N5:AK5" si="7">N6+N9</f>
        <v>-26</v>
      </c>
      <c r="O5" s="822">
        <f t="shared" si="7"/>
        <v>-633</v>
      </c>
      <c r="P5" s="822">
        <f t="shared" si="7"/>
        <v>-285</v>
      </c>
      <c r="Q5" s="822">
        <f t="shared" si="7"/>
        <v>812</v>
      </c>
      <c r="R5" s="822">
        <f t="shared" si="7"/>
        <v>413</v>
      </c>
      <c r="S5" s="822">
        <f t="shared" si="7"/>
        <v>-345</v>
      </c>
      <c r="T5" s="822">
        <f t="shared" si="7"/>
        <v>-650</v>
      </c>
      <c r="U5" s="822">
        <f t="shared" si="7"/>
        <v>-62</v>
      </c>
      <c r="V5" s="822">
        <f t="shared" si="7"/>
        <v>-391</v>
      </c>
      <c r="W5" s="822">
        <f t="shared" si="7"/>
        <v>-143</v>
      </c>
      <c r="X5" s="822">
        <f t="shared" si="7"/>
        <v>-114</v>
      </c>
      <c r="Y5" s="822">
        <f t="shared" si="7"/>
        <v>-366</v>
      </c>
      <c r="Z5" s="822">
        <f t="shared" si="7"/>
        <v>-74</v>
      </c>
      <c r="AA5" s="822">
        <f t="shared" si="7"/>
        <v>-229</v>
      </c>
      <c r="AB5" s="822">
        <f t="shared" si="7"/>
        <v>-581</v>
      </c>
      <c r="AC5" s="822">
        <f t="shared" si="7"/>
        <v>152</v>
      </c>
      <c r="AD5" s="822">
        <f t="shared" si="7"/>
        <v>446</v>
      </c>
      <c r="AE5" s="1109">
        <f t="shared" si="7"/>
        <v>-182</v>
      </c>
      <c r="AF5" s="1109">
        <f t="shared" si="7"/>
        <v>-630</v>
      </c>
      <c r="AG5" s="1109">
        <f t="shared" si="7"/>
        <v>-1</v>
      </c>
      <c r="AH5" s="1110">
        <f t="shared" si="7"/>
        <v>-323</v>
      </c>
      <c r="AI5" s="1111">
        <f t="shared" si="7"/>
        <v>-184</v>
      </c>
      <c r="AJ5" s="1111">
        <f t="shared" si="7"/>
        <v>-631</v>
      </c>
      <c r="AK5" s="1112">
        <f t="shared" si="7"/>
        <v>-696</v>
      </c>
      <c r="AL5" s="1113">
        <v>173</v>
      </c>
      <c r="AM5" s="1113">
        <v>-566</v>
      </c>
      <c r="AN5" s="1113">
        <v>-331</v>
      </c>
      <c r="AO5" s="1113">
        <v>-1118</v>
      </c>
      <c r="AP5" s="1113">
        <v>-2123</v>
      </c>
      <c r="AQ5" s="1113">
        <v>-3004</v>
      </c>
      <c r="AR5" s="1113">
        <v>-3160</v>
      </c>
      <c r="AS5" s="1113">
        <v>-2738</v>
      </c>
      <c r="AT5" s="1111">
        <v>-1905.4927112031228</v>
      </c>
      <c r="AU5" s="1111">
        <v>-1863.4589664223176</v>
      </c>
      <c r="AV5" s="1111">
        <v>-1864.6233438192858</v>
      </c>
      <c r="AW5" s="1111">
        <v>-1504.649057786424</v>
      </c>
      <c r="AX5" s="936">
        <v>-2296.3656197680821</v>
      </c>
      <c r="AY5" s="936">
        <v>-1789.6969628285281</v>
      </c>
      <c r="AZ5" s="936">
        <v>-2224.7801471610746</v>
      </c>
      <c r="BA5" s="936">
        <v>-1459.8255825564843</v>
      </c>
      <c r="BB5" s="936">
        <v>-1164.4304683253622</v>
      </c>
      <c r="BC5" s="936">
        <v>-1243.876502533139</v>
      </c>
      <c r="BD5" s="936">
        <v>-1727.2973623035332</v>
      </c>
      <c r="BE5" s="936">
        <v>-630.91392901221661</v>
      </c>
      <c r="BF5" s="936">
        <v>-1015.8846722035846</v>
      </c>
      <c r="BG5" s="936">
        <v>-936.09235248549021</v>
      </c>
      <c r="BH5" s="936">
        <v>-1047.6344636435585</v>
      </c>
      <c r="BI5" s="936">
        <v>-884.53603867180595</v>
      </c>
      <c r="BJ5" s="936">
        <v>-16421.334101492863</v>
      </c>
      <c r="BK5" s="936">
        <v>-20005.22407923115</v>
      </c>
      <c r="BL5" s="1180">
        <f t="shared" si="1"/>
        <v>3583.8899777382867</v>
      </c>
      <c r="BM5" s="1199">
        <f t="shared" si="2"/>
        <v>-0.17914770479671752</v>
      </c>
      <c r="BN5" s="1225">
        <v>-16272.046220305761</v>
      </c>
      <c r="BO5" s="1225">
        <f t="shared" si="3"/>
        <v>-149.28788118710145</v>
      </c>
      <c r="BP5" s="1225"/>
      <c r="BQ5" s="925">
        <f t="shared" si="4"/>
        <v>-2933</v>
      </c>
      <c r="BR5" s="878">
        <f t="shared" si="6"/>
        <v>-1790</v>
      </c>
      <c r="BS5" s="1070"/>
      <c r="BT5" s="1077"/>
      <c r="BU5" s="1078"/>
      <c r="BV5" s="1078"/>
      <c r="BW5" s="1077"/>
      <c r="BX5" s="817"/>
    </row>
    <row r="6" spans="1:194" s="832" customFormat="1" ht="17.850000000000001" customHeight="1" x14ac:dyDescent="0.35">
      <c r="A6" s="830" t="s">
        <v>23</v>
      </c>
      <c r="B6" s="799">
        <v>-287</v>
      </c>
      <c r="C6" s="799">
        <v>-1136</v>
      </c>
      <c r="D6" s="799">
        <v>-854</v>
      </c>
      <c r="E6" s="799">
        <v>-1008</v>
      </c>
      <c r="F6" s="799">
        <v>-888</v>
      </c>
      <c r="G6" s="799">
        <v>-1358</v>
      </c>
      <c r="H6" s="799">
        <v>-1569</v>
      </c>
      <c r="I6" s="799">
        <v>-1327</v>
      </c>
      <c r="J6" s="799">
        <v>-1574</v>
      </c>
      <c r="K6" s="799">
        <v>-1622</v>
      </c>
      <c r="L6" s="799">
        <v>-1215</v>
      </c>
      <c r="M6" s="799">
        <v>-1494</v>
      </c>
      <c r="N6" s="799">
        <f t="shared" ref="N6:AK6" si="8">N7-N8</f>
        <v>-142</v>
      </c>
      <c r="O6" s="799">
        <f t="shared" si="8"/>
        <v>-806</v>
      </c>
      <c r="P6" s="799">
        <f t="shared" si="8"/>
        <v>-678</v>
      </c>
      <c r="Q6" s="799">
        <f t="shared" si="8"/>
        <v>319</v>
      </c>
      <c r="R6" s="799">
        <f t="shared" si="8"/>
        <v>-69</v>
      </c>
      <c r="S6" s="799">
        <f t="shared" si="8"/>
        <v>-814</v>
      </c>
      <c r="T6" s="799">
        <f t="shared" si="8"/>
        <v>-997</v>
      </c>
      <c r="U6" s="799">
        <f t="shared" si="8"/>
        <v>-435</v>
      </c>
      <c r="V6" s="799">
        <f t="shared" si="8"/>
        <v>-734</v>
      </c>
      <c r="W6" s="799">
        <f t="shared" si="8"/>
        <v>-629</v>
      </c>
      <c r="X6" s="799">
        <f t="shared" si="8"/>
        <v>-676</v>
      </c>
      <c r="Y6" s="799">
        <f t="shared" si="8"/>
        <v>-943</v>
      </c>
      <c r="Z6" s="799">
        <f t="shared" si="8"/>
        <v>-396</v>
      </c>
      <c r="AA6" s="799">
        <f t="shared" si="8"/>
        <v>-503</v>
      </c>
      <c r="AB6" s="799">
        <f t="shared" si="8"/>
        <v>-893</v>
      </c>
      <c r="AC6" s="799">
        <f t="shared" si="8"/>
        <v>-148</v>
      </c>
      <c r="AD6" s="871">
        <f t="shared" si="8"/>
        <v>188</v>
      </c>
      <c r="AE6" s="933">
        <f t="shared" si="8"/>
        <v>-353</v>
      </c>
      <c r="AF6" s="933">
        <f t="shared" si="8"/>
        <v>-793</v>
      </c>
      <c r="AG6" s="933">
        <f t="shared" si="8"/>
        <v>-163</v>
      </c>
      <c r="AH6" s="933">
        <f t="shared" si="8"/>
        <v>-493</v>
      </c>
      <c r="AI6" s="933">
        <f t="shared" si="8"/>
        <v>-607</v>
      </c>
      <c r="AJ6" s="933">
        <f t="shared" si="8"/>
        <v>-1195</v>
      </c>
      <c r="AK6" s="933">
        <f t="shared" si="8"/>
        <v>-1288</v>
      </c>
      <c r="AL6" s="933">
        <v>-363</v>
      </c>
      <c r="AM6" s="933">
        <v>-1025</v>
      </c>
      <c r="AN6" s="933">
        <v>326</v>
      </c>
      <c r="AO6" s="933">
        <v>-336</v>
      </c>
      <c r="AP6" s="933">
        <v>-1117</v>
      </c>
      <c r="AQ6" s="933">
        <v>-1857</v>
      </c>
      <c r="AR6" s="933">
        <v>-1984</v>
      </c>
      <c r="AS6" s="933">
        <v>-1634</v>
      </c>
      <c r="AT6" s="933">
        <v>-846.59225368678244</v>
      </c>
      <c r="AU6" s="933">
        <v>-942.14770299319844</v>
      </c>
      <c r="AV6" s="933">
        <v>-1045.1652946758804</v>
      </c>
      <c r="AW6" s="933">
        <v>-891.17454980965886</v>
      </c>
      <c r="AX6" s="933">
        <v>-1968.8884769109395</v>
      </c>
      <c r="AY6" s="933">
        <v>-1521.2543750447776</v>
      </c>
      <c r="AZ6" s="933">
        <v>-1547.1547123031614</v>
      </c>
      <c r="BA6" s="933">
        <v>-812.82530071526298</v>
      </c>
      <c r="BB6" s="933">
        <v>-524.34084456452911</v>
      </c>
      <c r="BC6" s="933">
        <v>-613.31633145343767</v>
      </c>
      <c r="BD6" s="933">
        <v>-1180.5135406085919</v>
      </c>
      <c r="BE6" s="933">
        <v>-244.56348481700024</v>
      </c>
      <c r="BF6" s="933">
        <v>-630.95649230439722</v>
      </c>
      <c r="BG6" s="933">
        <v>-842.63816340590893</v>
      </c>
      <c r="BH6" s="933">
        <v>-960.43696924883261</v>
      </c>
      <c r="BI6" s="933">
        <v>-1066.7408456391722</v>
      </c>
      <c r="BJ6" s="1004">
        <v>-11913.629537016015</v>
      </c>
      <c r="BK6" s="933">
        <v>-11715.079801165519</v>
      </c>
      <c r="BL6" s="1181">
        <f t="shared" si="1"/>
        <v>-198.54973585049629</v>
      </c>
      <c r="BM6" s="1200">
        <f t="shared" si="2"/>
        <v>1.6948218810318546E-2</v>
      </c>
      <c r="BN6" s="1226">
        <v>-12808.380889394051</v>
      </c>
      <c r="BO6" s="1226">
        <f t="shared" si="3"/>
        <v>894.75135237803624</v>
      </c>
      <c r="BP6" s="1226"/>
      <c r="BQ6" s="920">
        <f t="shared" si="4"/>
        <v>-6644</v>
      </c>
      <c r="BR6" s="879">
        <f t="shared" si="6"/>
        <v>-6604</v>
      </c>
      <c r="BS6" s="1071">
        <f t="shared" ref="BS6:BS20" si="9">SUM(B6:M6)</f>
        <v>-14332</v>
      </c>
      <c r="BT6" s="113"/>
      <c r="BU6" s="1079"/>
      <c r="BV6" s="113"/>
      <c r="BW6" s="113"/>
      <c r="BX6"/>
    </row>
    <row r="7" spans="1:194" s="840" customFormat="1" ht="17.850000000000001" customHeight="1" x14ac:dyDescent="0.35">
      <c r="A7" s="836" t="s">
        <v>26</v>
      </c>
      <c r="B7" s="837">
        <v>3727</v>
      </c>
      <c r="C7" s="837">
        <v>3561</v>
      </c>
      <c r="D7" s="837">
        <v>3984</v>
      </c>
      <c r="E7" s="837">
        <v>3759</v>
      </c>
      <c r="F7" s="837">
        <v>4181</v>
      </c>
      <c r="G7" s="837">
        <v>3262</v>
      </c>
      <c r="H7" s="837">
        <v>3967</v>
      </c>
      <c r="I7" s="837">
        <v>3954</v>
      </c>
      <c r="J7" s="837">
        <v>3721</v>
      </c>
      <c r="K7" s="837">
        <v>4218</v>
      </c>
      <c r="L7" s="837">
        <v>3946</v>
      </c>
      <c r="M7" s="837">
        <v>3833</v>
      </c>
      <c r="N7" s="839">
        <v>3793</v>
      </c>
      <c r="O7" s="839">
        <v>3614</v>
      </c>
      <c r="P7" s="839">
        <v>3864</v>
      </c>
      <c r="Q7" s="839">
        <v>3621</v>
      </c>
      <c r="R7" s="839">
        <v>3186</v>
      </c>
      <c r="S7" s="839">
        <v>3038</v>
      </c>
      <c r="T7" s="839">
        <v>3354</v>
      </c>
      <c r="U7" s="839">
        <v>3869</v>
      </c>
      <c r="V7" s="839">
        <v>3776</v>
      </c>
      <c r="W7" s="839">
        <v>4225</v>
      </c>
      <c r="X7" s="839">
        <v>4315</v>
      </c>
      <c r="Y7" s="839">
        <v>4509</v>
      </c>
      <c r="Z7" s="839">
        <v>3559</v>
      </c>
      <c r="AA7" s="839">
        <v>4097</v>
      </c>
      <c r="AB7" s="837">
        <v>4826</v>
      </c>
      <c r="AC7" s="837">
        <v>4909</v>
      </c>
      <c r="AD7" s="861">
        <v>5157</v>
      </c>
      <c r="AE7" s="934">
        <v>4894</v>
      </c>
      <c r="AF7" s="934">
        <v>5187</v>
      </c>
      <c r="AG7" s="934">
        <v>5955</v>
      </c>
      <c r="AH7" s="934">
        <v>5997</v>
      </c>
      <c r="AI7" s="934">
        <v>5872</v>
      </c>
      <c r="AJ7" s="934">
        <v>6297</v>
      </c>
      <c r="AK7" s="934">
        <v>6381</v>
      </c>
      <c r="AL7" s="934">
        <v>5590</v>
      </c>
      <c r="AM7" s="934">
        <v>4916</v>
      </c>
      <c r="AN7" s="934">
        <v>2293</v>
      </c>
      <c r="AO7" s="934">
        <v>2380</v>
      </c>
      <c r="AP7" s="934">
        <v>2649</v>
      </c>
      <c r="AQ7" s="934">
        <v>2953</v>
      </c>
      <c r="AR7" s="934">
        <v>2700</v>
      </c>
      <c r="AS7" s="934">
        <v>3131</v>
      </c>
      <c r="AT7" s="934">
        <v>3861.7366935731275</v>
      </c>
      <c r="AU7" s="934">
        <v>4078.5668233833794</v>
      </c>
      <c r="AV7" s="934">
        <v>4226.4143528756467</v>
      </c>
      <c r="AW7" s="934">
        <v>4402.4584531873579</v>
      </c>
      <c r="AX7" s="934">
        <v>2959.7127630445752</v>
      </c>
      <c r="AY7" s="934">
        <v>3405.3324374804997</v>
      </c>
      <c r="AZ7" s="934">
        <v>4012.2398299025617</v>
      </c>
      <c r="BA7" s="934">
        <v>4081.2443690409605</v>
      </c>
      <c r="BB7" s="934">
        <v>4288.2579864561567</v>
      </c>
      <c r="BC7" s="934">
        <v>4067.9422892070525</v>
      </c>
      <c r="BD7" s="934">
        <v>4310.7052461758776</v>
      </c>
      <c r="BE7" s="934">
        <v>4950.8678381827094</v>
      </c>
      <c r="BF7" s="934">
        <v>4986.6171777363379</v>
      </c>
      <c r="BG7" s="934">
        <v>4881.8632990443111</v>
      </c>
      <c r="BH7" s="934">
        <v>5234.3684146428777</v>
      </c>
      <c r="BI7" s="934">
        <v>5291.7336339266076</v>
      </c>
      <c r="BJ7" s="1004">
        <v>52470.885284840537</v>
      </c>
      <c r="BK7" s="1004">
        <v>43181.176323019507</v>
      </c>
      <c r="BL7" s="1181">
        <f t="shared" si="1"/>
        <v>9289.7089618210302</v>
      </c>
      <c r="BM7" s="1200">
        <f t="shared" si="2"/>
        <v>0.21513330003631159</v>
      </c>
      <c r="BN7" s="1226">
        <v>52180.616756144358</v>
      </c>
      <c r="BO7" s="1226">
        <f t="shared" si="3"/>
        <v>290.26852869617869</v>
      </c>
      <c r="BP7" s="1226"/>
      <c r="BQ7" s="926">
        <f t="shared" si="4"/>
        <v>63131</v>
      </c>
      <c r="BR7" s="880">
        <f t="shared" si="6"/>
        <v>45164</v>
      </c>
      <c r="BS7" s="1072">
        <f t="shared" si="9"/>
        <v>46113</v>
      </c>
      <c r="BT7" s="1102"/>
      <c r="BU7" s="1084"/>
      <c r="BV7" s="275"/>
      <c r="BW7" s="113"/>
      <c r="BX7"/>
    </row>
    <row r="8" spans="1:194" s="840" customFormat="1" ht="17.850000000000001" customHeight="1" x14ac:dyDescent="0.35">
      <c r="A8" s="836" t="s">
        <v>27</v>
      </c>
      <c r="B8" s="837">
        <v>4014</v>
      </c>
      <c r="C8" s="837">
        <v>4697</v>
      </c>
      <c r="D8" s="837">
        <v>4838</v>
      </c>
      <c r="E8" s="837">
        <v>4767</v>
      </c>
      <c r="F8" s="837">
        <v>5069</v>
      </c>
      <c r="G8" s="837">
        <v>4620</v>
      </c>
      <c r="H8" s="837">
        <v>5536</v>
      </c>
      <c r="I8" s="837">
        <v>5281</v>
      </c>
      <c r="J8" s="837">
        <v>5295</v>
      </c>
      <c r="K8" s="837">
        <v>5840</v>
      </c>
      <c r="L8" s="837">
        <v>5161</v>
      </c>
      <c r="M8" s="837">
        <v>5327</v>
      </c>
      <c r="N8" s="839">
        <v>3935</v>
      </c>
      <c r="O8" s="839">
        <v>4420</v>
      </c>
      <c r="P8" s="839">
        <v>4542</v>
      </c>
      <c r="Q8" s="839">
        <v>3302</v>
      </c>
      <c r="R8" s="839">
        <v>3255</v>
      </c>
      <c r="S8" s="839">
        <v>3852</v>
      </c>
      <c r="T8" s="839">
        <v>4351</v>
      </c>
      <c r="U8" s="839">
        <v>4304</v>
      </c>
      <c r="V8" s="839">
        <v>4510</v>
      </c>
      <c r="W8" s="839">
        <v>4854</v>
      </c>
      <c r="X8" s="839">
        <v>4991</v>
      </c>
      <c r="Y8" s="839">
        <v>5452</v>
      </c>
      <c r="Z8" s="839">
        <v>3955</v>
      </c>
      <c r="AA8" s="839">
        <v>4600</v>
      </c>
      <c r="AB8" s="841">
        <v>5719</v>
      </c>
      <c r="AC8" s="841">
        <v>5057</v>
      </c>
      <c r="AD8" s="862">
        <v>4969</v>
      </c>
      <c r="AE8" s="932">
        <v>5247</v>
      </c>
      <c r="AF8" s="932">
        <v>5980</v>
      </c>
      <c r="AG8" s="932">
        <v>6118</v>
      </c>
      <c r="AH8" s="932">
        <v>6490</v>
      </c>
      <c r="AI8" s="932">
        <v>6479</v>
      </c>
      <c r="AJ8" s="932">
        <v>7492</v>
      </c>
      <c r="AK8" s="932">
        <v>7669</v>
      </c>
      <c r="AL8" s="932">
        <v>5953</v>
      </c>
      <c r="AM8" s="932">
        <v>5941</v>
      </c>
      <c r="AN8" s="932">
        <v>1967</v>
      </c>
      <c r="AO8" s="932">
        <v>2716</v>
      </c>
      <c r="AP8" s="932">
        <v>3766</v>
      </c>
      <c r="AQ8" s="932">
        <v>4810</v>
      </c>
      <c r="AR8" s="932">
        <v>4684</v>
      </c>
      <c r="AS8" s="932">
        <v>4765</v>
      </c>
      <c r="AT8" s="932">
        <v>4708.3289472599099</v>
      </c>
      <c r="AU8" s="932">
        <v>5020.7145263765779</v>
      </c>
      <c r="AV8" s="932">
        <v>5271.5796475515272</v>
      </c>
      <c r="AW8" s="932">
        <v>5293.6330029970168</v>
      </c>
      <c r="AX8" s="932">
        <v>4928.6012399555148</v>
      </c>
      <c r="AY8" s="932">
        <v>4926.5868125252773</v>
      </c>
      <c r="AZ8" s="932">
        <v>5559.3945422057232</v>
      </c>
      <c r="BA8" s="932">
        <v>4894.0696697562234</v>
      </c>
      <c r="BB8" s="932">
        <v>4812.5988310206858</v>
      </c>
      <c r="BC8" s="932">
        <v>4681.2586206604901</v>
      </c>
      <c r="BD8" s="932">
        <v>5491.2187867844696</v>
      </c>
      <c r="BE8" s="932">
        <v>5195.4313229997097</v>
      </c>
      <c r="BF8" s="932">
        <v>5617.5736700407351</v>
      </c>
      <c r="BG8" s="932">
        <v>5724.5014624502201</v>
      </c>
      <c r="BH8" s="932">
        <v>6194.8053838917103</v>
      </c>
      <c r="BI8" s="932">
        <v>6358.4744795657798</v>
      </c>
      <c r="BJ8" s="1004">
        <v>64384.514821856545</v>
      </c>
      <c r="BK8" s="1004">
        <v>54896.256124185042</v>
      </c>
      <c r="BL8" s="1181">
        <f t="shared" si="1"/>
        <v>9488.2586976715029</v>
      </c>
      <c r="BM8" s="1200">
        <f t="shared" si="2"/>
        <v>0.17283981399765011</v>
      </c>
      <c r="BN8" s="1226">
        <v>64988.997645538402</v>
      </c>
      <c r="BO8" s="1226">
        <f t="shared" si="3"/>
        <v>-604.48282368185755</v>
      </c>
      <c r="BP8" s="1226"/>
      <c r="BQ8" s="921">
        <f t="shared" si="4"/>
        <v>69775</v>
      </c>
      <c r="BR8" s="880">
        <f t="shared" si="6"/>
        <v>51768</v>
      </c>
      <c r="BS8" s="1072">
        <f t="shared" si="9"/>
        <v>60445</v>
      </c>
      <c r="BT8" s="1102"/>
      <c r="BU8" s="1084"/>
      <c r="BV8" s="113"/>
      <c r="BW8" s="113"/>
      <c r="BX8"/>
    </row>
    <row r="9" spans="1:194" s="832" customFormat="1" ht="17.850000000000001" customHeight="1" x14ac:dyDescent="0.35">
      <c r="A9" s="830" t="s">
        <v>24</v>
      </c>
      <c r="B9" s="799">
        <v>204</v>
      </c>
      <c r="C9" s="799">
        <v>86</v>
      </c>
      <c r="D9" s="799">
        <v>152</v>
      </c>
      <c r="E9" s="799">
        <v>184</v>
      </c>
      <c r="F9" s="799">
        <v>135</v>
      </c>
      <c r="G9" s="799">
        <v>65</v>
      </c>
      <c r="H9" s="799">
        <v>64</v>
      </c>
      <c r="I9" s="799">
        <v>109</v>
      </c>
      <c r="J9" s="799">
        <v>167</v>
      </c>
      <c r="K9" s="799">
        <v>217</v>
      </c>
      <c r="L9" s="799">
        <v>303</v>
      </c>
      <c r="M9" s="799">
        <v>263</v>
      </c>
      <c r="N9" s="799">
        <f t="shared" ref="N9:AK9" si="10">N10-N11</f>
        <v>116</v>
      </c>
      <c r="O9" s="799">
        <f t="shared" si="10"/>
        <v>173</v>
      </c>
      <c r="P9" s="799">
        <f t="shared" si="10"/>
        <v>393</v>
      </c>
      <c r="Q9" s="799">
        <f t="shared" si="10"/>
        <v>493</v>
      </c>
      <c r="R9" s="799">
        <f t="shared" si="10"/>
        <v>482</v>
      </c>
      <c r="S9" s="799">
        <f t="shared" si="10"/>
        <v>469</v>
      </c>
      <c r="T9" s="799">
        <f t="shared" si="10"/>
        <v>347</v>
      </c>
      <c r="U9" s="799">
        <f t="shared" si="10"/>
        <v>373</v>
      </c>
      <c r="V9" s="799">
        <f t="shared" si="10"/>
        <v>343</v>
      </c>
      <c r="W9" s="799">
        <f t="shared" si="10"/>
        <v>486</v>
      </c>
      <c r="X9" s="799">
        <f t="shared" si="10"/>
        <v>562</v>
      </c>
      <c r="Y9" s="799">
        <f>Y10-Y11</f>
        <v>577</v>
      </c>
      <c r="Z9" s="799">
        <f t="shared" si="10"/>
        <v>322</v>
      </c>
      <c r="AA9" s="799">
        <f t="shared" si="10"/>
        <v>274</v>
      </c>
      <c r="AB9" s="799">
        <f t="shared" si="10"/>
        <v>312</v>
      </c>
      <c r="AC9" s="799">
        <f t="shared" si="10"/>
        <v>300</v>
      </c>
      <c r="AD9" s="871">
        <f t="shared" si="10"/>
        <v>258</v>
      </c>
      <c r="AE9" s="933">
        <f t="shared" si="10"/>
        <v>171</v>
      </c>
      <c r="AF9" s="933">
        <f t="shared" si="10"/>
        <v>163</v>
      </c>
      <c r="AG9" s="933">
        <f t="shared" si="10"/>
        <v>162</v>
      </c>
      <c r="AH9" s="933">
        <f t="shared" si="10"/>
        <v>170</v>
      </c>
      <c r="AI9" s="933">
        <f t="shared" si="10"/>
        <v>423</v>
      </c>
      <c r="AJ9" s="933">
        <f t="shared" si="10"/>
        <v>564</v>
      </c>
      <c r="AK9" s="933">
        <f t="shared" si="10"/>
        <v>592</v>
      </c>
      <c r="AL9" s="933">
        <v>536</v>
      </c>
      <c r="AM9" s="933">
        <v>459</v>
      </c>
      <c r="AN9" s="933">
        <v>-657</v>
      </c>
      <c r="AO9" s="933">
        <v>-782</v>
      </c>
      <c r="AP9" s="933">
        <v>-1006</v>
      </c>
      <c r="AQ9" s="933">
        <v>-1147</v>
      </c>
      <c r="AR9" s="933">
        <v>-1176</v>
      </c>
      <c r="AS9" s="933">
        <v>-1104</v>
      </c>
      <c r="AT9" s="933">
        <v>-1058.9004575163403</v>
      </c>
      <c r="AU9" s="933">
        <v>-921.31126342911921</v>
      </c>
      <c r="AV9" s="933">
        <v>-819.45804914340533</v>
      </c>
      <c r="AW9" s="933">
        <v>-613.47450797676515</v>
      </c>
      <c r="AX9" s="933">
        <v>-327.47714285714278</v>
      </c>
      <c r="AY9" s="933">
        <v>-268.44258778375047</v>
      </c>
      <c r="AZ9" s="933">
        <v>-677.62543485791343</v>
      </c>
      <c r="BA9" s="933">
        <v>-647.00028184122129</v>
      </c>
      <c r="BB9" s="933">
        <v>-640.08962376083309</v>
      </c>
      <c r="BC9" s="933">
        <v>-630.56017107970138</v>
      </c>
      <c r="BD9" s="933">
        <v>-546.78382169494125</v>
      </c>
      <c r="BE9" s="933">
        <v>-386.35044419521637</v>
      </c>
      <c r="BF9" s="933">
        <v>-384.9281798991874</v>
      </c>
      <c r="BG9" s="933">
        <v>-93.454189079581283</v>
      </c>
      <c r="BH9" s="933">
        <v>-87.197494394725936</v>
      </c>
      <c r="BI9" s="933">
        <v>182.20480696736627</v>
      </c>
      <c r="BJ9" s="1004">
        <v>-4507.7045644768468</v>
      </c>
      <c r="BK9" s="933">
        <v>-8290.1442780656289</v>
      </c>
      <c r="BL9" s="1181">
        <f t="shared" si="1"/>
        <v>3782.4397135887821</v>
      </c>
      <c r="BM9" s="1200">
        <f t="shared" si="2"/>
        <v>-0.45625740478323173</v>
      </c>
      <c r="BN9" s="1226">
        <v>-3463.66533091171</v>
      </c>
      <c r="BO9" s="1226">
        <f t="shared" si="3"/>
        <v>-1044.0392335651368</v>
      </c>
      <c r="BP9" s="1226"/>
      <c r="BQ9" s="920">
        <f t="shared" si="4"/>
        <v>3711</v>
      </c>
      <c r="BR9" s="879">
        <f t="shared" si="6"/>
        <v>4814</v>
      </c>
      <c r="BS9" s="1071">
        <f t="shared" si="9"/>
        <v>1949</v>
      </c>
      <c r="BT9" s="343"/>
      <c r="BU9" s="1081"/>
      <c r="BV9" s="113"/>
      <c r="BW9" s="113"/>
      <c r="BX9"/>
    </row>
    <row r="10" spans="1:194" s="840" customFormat="1" ht="17.850000000000001" customHeight="1" x14ac:dyDescent="0.35">
      <c r="A10" s="836" t="s">
        <v>28</v>
      </c>
      <c r="B10" s="837">
        <v>1288</v>
      </c>
      <c r="C10" s="837">
        <v>1217</v>
      </c>
      <c r="D10" s="837">
        <v>1307</v>
      </c>
      <c r="E10" s="837">
        <v>1385</v>
      </c>
      <c r="F10" s="837">
        <v>1477</v>
      </c>
      <c r="G10" s="837">
        <v>1436</v>
      </c>
      <c r="H10" s="837">
        <v>1554</v>
      </c>
      <c r="I10" s="837">
        <v>1529</v>
      </c>
      <c r="J10" s="837">
        <v>1559</v>
      </c>
      <c r="K10" s="837">
        <v>1439</v>
      </c>
      <c r="L10" s="837">
        <v>1495</v>
      </c>
      <c r="M10" s="837">
        <v>1622</v>
      </c>
      <c r="N10" s="839">
        <v>1308</v>
      </c>
      <c r="O10" s="839">
        <v>1356</v>
      </c>
      <c r="P10" s="839">
        <v>1346</v>
      </c>
      <c r="Q10" s="839">
        <v>1134</v>
      </c>
      <c r="R10" s="839">
        <v>1098</v>
      </c>
      <c r="S10" s="839">
        <v>1138</v>
      </c>
      <c r="T10" s="839">
        <v>1298</v>
      </c>
      <c r="U10" s="839">
        <v>1277</v>
      </c>
      <c r="V10" s="839">
        <v>1282</v>
      </c>
      <c r="W10" s="839">
        <v>1323</v>
      </c>
      <c r="X10" s="839">
        <v>1347</v>
      </c>
      <c r="Y10" s="839">
        <v>1602</v>
      </c>
      <c r="Z10" s="839">
        <v>1227</v>
      </c>
      <c r="AA10" s="839">
        <v>1234</v>
      </c>
      <c r="AB10" s="837">
        <v>1342</v>
      </c>
      <c r="AC10" s="837">
        <v>1440</v>
      </c>
      <c r="AD10" s="861">
        <v>1354</v>
      </c>
      <c r="AE10" s="934">
        <v>1431</v>
      </c>
      <c r="AF10" s="934">
        <v>1567</v>
      </c>
      <c r="AG10" s="934">
        <v>1621</v>
      </c>
      <c r="AH10" s="934">
        <v>1598</v>
      </c>
      <c r="AI10" s="934">
        <v>1768</v>
      </c>
      <c r="AJ10" s="934">
        <v>1826</v>
      </c>
      <c r="AK10" s="934">
        <v>2048</v>
      </c>
      <c r="AL10" s="934">
        <v>1708</v>
      </c>
      <c r="AM10" s="934">
        <v>1730</v>
      </c>
      <c r="AN10" s="934">
        <v>1073</v>
      </c>
      <c r="AO10" s="934">
        <v>1169</v>
      </c>
      <c r="AP10" s="934">
        <v>1281</v>
      </c>
      <c r="AQ10" s="934">
        <v>1239</v>
      </c>
      <c r="AR10" s="934">
        <v>1222</v>
      </c>
      <c r="AS10" s="934">
        <v>1281</v>
      </c>
      <c r="AT10" s="934">
        <v>1306.8495424836601</v>
      </c>
      <c r="AU10" s="934">
        <v>1391.1387365708811</v>
      </c>
      <c r="AV10" s="934">
        <v>1456.5919508565953</v>
      </c>
      <c r="AW10" s="934">
        <v>1696.8254920232346</v>
      </c>
      <c r="AX10" s="934">
        <v>1400.0228571428572</v>
      </c>
      <c r="AY10" s="934">
        <v>1420.2815857826383</v>
      </c>
      <c r="AZ10" s="934">
        <v>1434.4636207783985</v>
      </c>
      <c r="BA10" s="934">
        <v>1423.8113826125737</v>
      </c>
      <c r="BB10" s="934">
        <v>1347.6767365379278</v>
      </c>
      <c r="BC10" s="934">
        <v>1423.3185447404335</v>
      </c>
      <c r="BD10" s="934">
        <v>1521.3131335452531</v>
      </c>
      <c r="BE10" s="934">
        <v>1512.9835039156235</v>
      </c>
      <c r="BF10" s="934">
        <v>1540.1648620056014</v>
      </c>
      <c r="BG10" s="934">
        <v>1694.4794082028297</v>
      </c>
      <c r="BH10" s="934">
        <v>1757.4911335306419</v>
      </c>
      <c r="BI10" s="934">
        <v>1970.5554568549501</v>
      </c>
      <c r="BJ10" s="1004">
        <v>18446.562225649726</v>
      </c>
      <c r="BK10" s="1004">
        <v>16554.40572193437</v>
      </c>
      <c r="BL10" s="1181">
        <f t="shared" si="1"/>
        <v>1892.1565037153559</v>
      </c>
      <c r="BM10" s="1200">
        <f t="shared" si="2"/>
        <v>0.11429927087073101</v>
      </c>
      <c r="BN10" s="1226">
        <v>18446.562225649726</v>
      </c>
      <c r="BO10" s="1226">
        <f t="shared" si="3"/>
        <v>0</v>
      </c>
      <c r="BP10" s="1226"/>
      <c r="BQ10" s="922">
        <f t="shared" si="4"/>
        <v>18456</v>
      </c>
      <c r="BR10" s="880">
        <f t="shared" si="6"/>
        <v>15509</v>
      </c>
      <c r="BS10" s="1072">
        <f t="shared" si="9"/>
        <v>17308</v>
      </c>
      <c r="BT10" s="113"/>
      <c r="BU10" s="1081"/>
      <c r="BV10" s="113"/>
      <c r="BW10" s="113"/>
      <c r="BX10"/>
    </row>
    <row r="11" spans="1:194" s="840" customFormat="1" ht="17.850000000000001" customHeight="1" x14ac:dyDescent="0.35">
      <c r="A11" s="836" t="s">
        <v>29</v>
      </c>
      <c r="B11" s="837">
        <v>1084</v>
      </c>
      <c r="C11" s="837">
        <v>1131</v>
      </c>
      <c r="D11" s="837">
        <v>1155</v>
      </c>
      <c r="E11" s="837">
        <v>1201</v>
      </c>
      <c r="F11" s="837">
        <v>1342</v>
      </c>
      <c r="G11" s="837">
        <v>1371</v>
      </c>
      <c r="H11" s="837">
        <v>1490</v>
      </c>
      <c r="I11" s="837">
        <v>1420</v>
      </c>
      <c r="J11" s="837">
        <v>1392</v>
      </c>
      <c r="K11" s="837">
        <v>1222</v>
      </c>
      <c r="L11" s="837">
        <v>1192</v>
      </c>
      <c r="M11" s="837">
        <v>1359</v>
      </c>
      <c r="N11" s="839">
        <v>1192</v>
      </c>
      <c r="O11" s="839">
        <v>1183</v>
      </c>
      <c r="P11" s="839">
        <v>953</v>
      </c>
      <c r="Q11" s="839">
        <v>641</v>
      </c>
      <c r="R11" s="839">
        <v>616</v>
      </c>
      <c r="S11" s="839">
        <v>669</v>
      </c>
      <c r="T11" s="839">
        <v>951</v>
      </c>
      <c r="U11" s="839">
        <v>904</v>
      </c>
      <c r="V11" s="839">
        <v>939</v>
      </c>
      <c r="W11" s="839">
        <v>837</v>
      </c>
      <c r="X11" s="839">
        <v>785</v>
      </c>
      <c r="Y11" s="839">
        <v>1025</v>
      </c>
      <c r="Z11" s="839">
        <v>905</v>
      </c>
      <c r="AA11" s="839">
        <v>960</v>
      </c>
      <c r="AB11" s="837">
        <v>1030</v>
      </c>
      <c r="AC11" s="837">
        <v>1140</v>
      </c>
      <c r="AD11" s="861">
        <v>1096</v>
      </c>
      <c r="AE11" s="934">
        <v>1260</v>
      </c>
      <c r="AF11" s="934">
        <v>1404</v>
      </c>
      <c r="AG11" s="934">
        <v>1459</v>
      </c>
      <c r="AH11" s="934">
        <v>1428</v>
      </c>
      <c r="AI11" s="934">
        <v>1345</v>
      </c>
      <c r="AJ11" s="934">
        <v>1262</v>
      </c>
      <c r="AK11" s="934">
        <v>1456</v>
      </c>
      <c r="AL11" s="934">
        <v>1172</v>
      </c>
      <c r="AM11" s="934">
        <v>1271</v>
      </c>
      <c r="AN11" s="934">
        <v>1730</v>
      </c>
      <c r="AO11" s="934">
        <v>1951</v>
      </c>
      <c r="AP11" s="934">
        <v>2287</v>
      </c>
      <c r="AQ11" s="934">
        <v>2386</v>
      </c>
      <c r="AR11" s="934">
        <v>2398</v>
      </c>
      <c r="AS11" s="934">
        <v>2385</v>
      </c>
      <c r="AT11" s="934">
        <v>2365.7500000000005</v>
      </c>
      <c r="AU11" s="934">
        <v>2312.4500000000003</v>
      </c>
      <c r="AV11" s="934">
        <v>2276.0500000000006</v>
      </c>
      <c r="AW11" s="934">
        <v>2310.2999999999997</v>
      </c>
      <c r="AX11" s="934">
        <v>1727.5</v>
      </c>
      <c r="AY11" s="934">
        <v>1688.7241735663888</v>
      </c>
      <c r="AZ11" s="934">
        <v>2112.089055636312</v>
      </c>
      <c r="BA11" s="934">
        <v>2070.8116644537949</v>
      </c>
      <c r="BB11" s="934">
        <v>1987.7663602987609</v>
      </c>
      <c r="BC11" s="934">
        <v>2053.8787158201349</v>
      </c>
      <c r="BD11" s="934">
        <v>2068.0969552401943</v>
      </c>
      <c r="BE11" s="934">
        <v>1899.3339481108399</v>
      </c>
      <c r="BF11" s="934">
        <v>1925.0930419047888</v>
      </c>
      <c r="BG11" s="934">
        <v>1787.933597282411</v>
      </c>
      <c r="BH11" s="934">
        <v>1844.6886279253679</v>
      </c>
      <c r="BI11" s="934">
        <v>1788.3506498875838</v>
      </c>
      <c r="BJ11" s="1004">
        <v>22954.266790126578</v>
      </c>
      <c r="BK11" s="1004">
        <v>24844.55</v>
      </c>
      <c r="BL11" s="1181">
        <f t="shared" si="1"/>
        <v>-1890.2832098734216</v>
      </c>
      <c r="BM11" s="1200">
        <f t="shared" si="2"/>
        <v>-7.6084421326746574E-2</v>
      </c>
      <c r="BN11" s="1226">
        <v>21910.22755656144</v>
      </c>
      <c r="BO11" s="1226">
        <f t="shared" si="3"/>
        <v>1044.0392335651377</v>
      </c>
      <c r="BP11" s="1226"/>
      <c r="BQ11" s="922">
        <f t="shared" si="4"/>
        <v>14745</v>
      </c>
      <c r="BR11" s="880">
        <f t="shared" si="6"/>
        <v>10695</v>
      </c>
      <c r="BS11" s="1072">
        <f t="shared" si="9"/>
        <v>15359</v>
      </c>
      <c r="BT11" s="113"/>
      <c r="BU11" s="1081"/>
      <c r="BV11" s="113"/>
      <c r="BW11" s="113"/>
      <c r="BX11"/>
    </row>
    <row r="12" spans="1:194" s="118" customFormat="1" ht="17.850000000000001" customHeight="1" x14ac:dyDescent="0.35">
      <c r="A12" s="787" t="s">
        <v>30</v>
      </c>
      <c r="B12" s="788">
        <v>450</v>
      </c>
      <c r="C12" s="788">
        <v>530</v>
      </c>
      <c r="D12" s="790">
        <v>-106</v>
      </c>
      <c r="E12" s="790">
        <v>469</v>
      </c>
      <c r="F12" s="790">
        <v>613</v>
      </c>
      <c r="G12" s="790">
        <v>509</v>
      </c>
      <c r="H12" s="790">
        <v>575</v>
      </c>
      <c r="I12" s="790">
        <v>497</v>
      </c>
      <c r="J12" s="790">
        <v>-200</v>
      </c>
      <c r="K12" s="790">
        <v>386</v>
      </c>
      <c r="L12" s="790">
        <v>673</v>
      </c>
      <c r="M12" s="790">
        <v>357</v>
      </c>
      <c r="N12" s="793">
        <f t="shared" ref="N12:AK12" si="11">N13+N14</f>
        <v>954</v>
      </c>
      <c r="O12" s="793">
        <f t="shared" si="11"/>
        <v>863</v>
      </c>
      <c r="P12" s="793">
        <f t="shared" si="11"/>
        <v>481</v>
      </c>
      <c r="Q12" s="793">
        <f t="shared" si="11"/>
        <v>177</v>
      </c>
      <c r="R12" s="793">
        <f t="shared" si="11"/>
        <v>96</v>
      </c>
      <c r="S12" s="793">
        <f t="shared" si="11"/>
        <v>27</v>
      </c>
      <c r="T12" s="793">
        <f t="shared" si="11"/>
        <v>377</v>
      </c>
      <c r="U12" s="793">
        <f t="shared" si="11"/>
        <v>382</v>
      </c>
      <c r="V12" s="793">
        <f t="shared" si="11"/>
        <v>-84</v>
      </c>
      <c r="W12" s="793">
        <f t="shared" si="11"/>
        <v>443</v>
      </c>
      <c r="X12" s="793">
        <f t="shared" si="11"/>
        <v>470</v>
      </c>
      <c r="Y12" s="793">
        <f t="shared" si="11"/>
        <v>66</v>
      </c>
      <c r="Z12" s="789">
        <f>Z13+Z14</f>
        <v>-99</v>
      </c>
      <c r="AA12" s="789">
        <f t="shared" si="11"/>
        <v>2</v>
      </c>
      <c r="AB12" s="789">
        <f t="shared" si="11"/>
        <v>-678</v>
      </c>
      <c r="AC12" s="789">
        <f t="shared" si="11"/>
        <v>-483</v>
      </c>
      <c r="AD12" s="789">
        <f t="shared" si="11"/>
        <v>-487</v>
      </c>
      <c r="AE12" s="941">
        <f t="shared" si="11"/>
        <v>-386</v>
      </c>
      <c r="AF12" s="941">
        <f t="shared" si="11"/>
        <v>-458</v>
      </c>
      <c r="AG12" s="941">
        <f t="shared" si="11"/>
        <v>-448</v>
      </c>
      <c r="AH12" s="941">
        <f t="shared" si="11"/>
        <v>-1055</v>
      </c>
      <c r="AI12" s="941">
        <f t="shared" si="11"/>
        <v>-236</v>
      </c>
      <c r="AJ12" s="941">
        <f>AJ13+AJ14</f>
        <v>-409</v>
      </c>
      <c r="AK12" s="1146">
        <f t="shared" si="11"/>
        <v>-287</v>
      </c>
      <c r="AL12" s="1085">
        <v>268</v>
      </c>
      <c r="AM12" s="1085">
        <v>230</v>
      </c>
      <c r="AN12" s="1085">
        <v>689</v>
      </c>
      <c r="AO12" s="1085">
        <v>863</v>
      </c>
      <c r="AP12" s="1085">
        <v>887</v>
      </c>
      <c r="AQ12" s="1085">
        <v>958</v>
      </c>
      <c r="AR12" s="1085">
        <v>897</v>
      </c>
      <c r="AS12" s="1085">
        <v>818</v>
      </c>
      <c r="AT12" s="1086">
        <v>750.40584246861113</v>
      </c>
      <c r="AU12" s="1087">
        <v>696.46560403130275</v>
      </c>
      <c r="AV12" s="1087">
        <v>765.17187386108719</v>
      </c>
      <c r="AW12" s="1087">
        <v>884.57916122499728</v>
      </c>
      <c r="AX12" s="1087">
        <v>480.08294228751288</v>
      </c>
      <c r="AY12" s="1087">
        <v>686.93115199520889</v>
      </c>
      <c r="AZ12" s="1087">
        <v>819.63032870721577</v>
      </c>
      <c r="BA12" s="1087">
        <v>817.14613815571158</v>
      </c>
      <c r="BB12" s="1087">
        <v>838.95402717510058</v>
      </c>
      <c r="BC12" s="1087">
        <v>898.66734751533329</v>
      </c>
      <c r="BD12" s="1087">
        <v>1017.6894109480106</v>
      </c>
      <c r="BE12" s="1087">
        <v>953.19968745061942</v>
      </c>
      <c r="BF12" s="1087">
        <v>829.63623759430925</v>
      </c>
      <c r="BG12" s="1087">
        <v>784.71200146490787</v>
      </c>
      <c r="BH12" s="1087">
        <v>806.89349355452009</v>
      </c>
      <c r="BI12" s="1087">
        <v>923.39383032978662</v>
      </c>
      <c r="BJ12" s="942">
        <v>9856.9365971782372</v>
      </c>
      <c r="BK12" s="942">
        <v>8706.6224815859969</v>
      </c>
      <c r="BL12" s="1085">
        <f t="shared" si="1"/>
        <v>1150.3141155922403</v>
      </c>
      <c r="BM12" s="1198">
        <f t="shared" si="2"/>
        <v>0.13211944333466716</v>
      </c>
      <c r="BN12" s="1224">
        <v>9856.9365971782372</v>
      </c>
      <c r="BO12" s="1224">
        <f t="shared" si="3"/>
        <v>0</v>
      </c>
      <c r="BP12" s="1224"/>
      <c r="BQ12" s="923">
        <f t="shared" si="4"/>
        <v>-5024</v>
      </c>
      <c r="BR12" s="881">
        <f t="shared" si="6"/>
        <v>4252</v>
      </c>
      <c r="BS12" s="1073">
        <f t="shared" si="9"/>
        <v>4753</v>
      </c>
      <c r="BT12" s="113"/>
      <c r="BU12" s="1081"/>
      <c r="BV12" s="113"/>
      <c r="BW12" s="113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</row>
    <row r="13" spans="1:194" s="825" customFormat="1" ht="17.850000000000001" customHeight="1" x14ac:dyDescent="0.35">
      <c r="A13" s="821" t="s">
        <v>81</v>
      </c>
      <c r="B13" s="822">
        <v>933</v>
      </c>
      <c r="C13" s="822">
        <v>953</v>
      </c>
      <c r="D13" s="823">
        <v>996</v>
      </c>
      <c r="E13" s="823">
        <v>1014</v>
      </c>
      <c r="F13" s="823">
        <v>1076</v>
      </c>
      <c r="G13" s="823">
        <v>1016</v>
      </c>
      <c r="H13" s="823">
        <v>1144</v>
      </c>
      <c r="I13" s="823">
        <v>1108</v>
      </c>
      <c r="J13" s="823">
        <v>1126</v>
      </c>
      <c r="K13" s="823">
        <v>1176</v>
      </c>
      <c r="L13" s="823">
        <v>1164</v>
      </c>
      <c r="M13" s="823">
        <v>1171</v>
      </c>
      <c r="N13" s="826">
        <v>983</v>
      </c>
      <c r="O13" s="826">
        <v>1020</v>
      </c>
      <c r="P13" s="826">
        <v>980</v>
      </c>
      <c r="Q13" s="826">
        <v>883</v>
      </c>
      <c r="R13" s="826">
        <v>875</v>
      </c>
      <c r="S13" s="826">
        <v>920</v>
      </c>
      <c r="T13" s="826">
        <v>988</v>
      </c>
      <c r="U13" s="826">
        <v>986</v>
      </c>
      <c r="V13" s="826">
        <v>993</v>
      </c>
      <c r="W13" s="826">
        <v>974</v>
      </c>
      <c r="X13" s="826">
        <v>950</v>
      </c>
      <c r="Y13" s="826">
        <v>1035</v>
      </c>
      <c r="Z13" s="826">
        <v>1005</v>
      </c>
      <c r="AA13" s="826">
        <v>1100</v>
      </c>
      <c r="AB13" s="822">
        <v>1236</v>
      </c>
      <c r="AC13" s="822">
        <v>1168</v>
      </c>
      <c r="AD13" s="822">
        <v>1103</v>
      </c>
      <c r="AE13" s="822">
        <v>1166</v>
      </c>
      <c r="AF13" s="822">
        <v>1122</v>
      </c>
      <c r="AG13" s="822">
        <v>1078</v>
      </c>
      <c r="AH13" s="822">
        <v>1074</v>
      </c>
      <c r="AI13" s="822">
        <v>1118</v>
      </c>
      <c r="AJ13" s="864">
        <v>1172</v>
      </c>
      <c r="AK13" s="936">
        <v>1249</v>
      </c>
      <c r="AL13" s="936">
        <v>1159</v>
      </c>
      <c r="AM13" s="936">
        <v>1116</v>
      </c>
      <c r="AN13" s="936">
        <v>1030</v>
      </c>
      <c r="AO13" s="936">
        <v>1092</v>
      </c>
      <c r="AP13" s="936">
        <v>1182</v>
      </c>
      <c r="AQ13" s="936">
        <v>1224</v>
      </c>
      <c r="AR13" s="936">
        <v>1220</v>
      </c>
      <c r="AS13" s="936">
        <v>1266</v>
      </c>
      <c r="AT13" s="936">
        <v>1230.8341112655964</v>
      </c>
      <c r="AU13" s="936">
        <v>1271.2507526896675</v>
      </c>
      <c r="AV13" s="936">
        <v>1260.7895776303255</v>
      </c>
      <c r="AW13" s="936">
        <v>1387.9419247891799</v>
      </c>
      <c r="AX13" s="936">
        <v>1136</v>
      </c>
      <c r="AY13" s="936">
        <v>1152.3503803274637</v>
      </c>
      <c r="AZ13" s="936">
        <v>1262.7805922224709</v>
      </c>
      <c r="BA13" s="936">
        <v>1276.5094965607125</v>
      </c>
      <c r="BB13" s="936">
        <v>1282.103466166182</v>
      </c>
      <c r="BC13" s="936">
        <v>1272.1292247927661</v>
      </c>
      <c r="BD13" s="936">
        <v>1432.9730891846327</v>
      </c>
      <c r="BE13" s="936">
        <v>1374.2799886122002</v>
      </c>
      <c r="BF13" s="936">
        <v>1347.7633518358282</v>
      </c>
      <c r="BG13" s="936">
        <v>1392.0195741951859</v>
      </c>
      <c r="BH13" s="936">
        <v>1380.5645875052064</v>
      </c>
      <c r="BI13" s="936">
        <v>1519.7964076441538</v>
      </c>
      <c r="BJ13" s="936">
        <v>15829.270159046804</v>
      </c>
      <c r="BK13" s="950">
        <v>14439.816366374769</v>
      </c>
      <c r="BL13" s="1182">
        <f t="shared" si="1"/>
        <v>1389.453792672035</v>
      </c>
      <c r="BM13" s="1201">
        <f t="shared" si="2"/>
        <v>9.6223785498240955E-2</v>
      </c>
      <c r="BN13" s="1227">
        <v>15829.270159046804</v>
      </c>
      <c r="BO13" s="1227">
        <f t="shared" si="3"/>
        <v>0</v>
      </c>
      <c r="BP13" s="1227"/>
      <c r="BQ13" s="924">
        <f t="shared" si="4"/>
        <v>13591</v>
      </c>
      <c r="BR13" s="882">
        <f t="shared" si="6"/>
        <v>11587</v>
      </c>
      <c r="BS13" s="864">
        <f t="shared" si="9"/>
        <v>12877</v>
      </c>
      <c r="BT13" s="1082"/>
      <c r="BU13" s="1081"/>
      <c r="BV13" s="1078"/>
      <c r="BW13" s="1077"/>
      <c r="BX13" s="817"/>
    </row>
    <row r="14" spans="1:194" s="825" customFormat="1" ht="39.6" customHeight="1" x14ac:dyDescent="0.35">
      <c r="A14" s="821" t="s">
        <v>33</v>
      </c>
      <c r="B14" s="822">
        <v>-483</v>
      </c>
      <c r="C14" s="822">
        <v>-423</v>
      </c>
      <c r="D14" s="823">
        <v>-1102</v>
      </c>
      <c r="E14" s="823">
        <v>-545</v>
      </c>
      <c r="F14" s="823">
        <v>-463</v>
      </c>
      <c r="G14" s="823">
        <v>-507</v>
      </c>
      <c r="H14" s="823">
        <v>-569</v>
      </c>
      <c r="I14" s="823">
        <v>-611</v>
      </c>
      <c r="J14" s="823">
        <v>-1326</v>
      </c>
      <c r="K14" s="823">
        <v>-790</v>
      </c>
      <c r="L14" s="823">
        <v>-491</v>
      </c>
      <c r="M14" s="823">
        <v>-814</v>
      </c>
      <c r="N14" s="823">
        <f>N15-N16</f>
        <v>-29</v>
      </c>
      <c r="O14" s="823">
        <f t="shared" ref="O14:AK14" si="12">O15-O16</f>
        <v>-157</v>
      </c>
      <c r="P14" s="823">
        <f t="shared" si="12"/>
        <v>-499</v>
      </c>
      <c r="Q14" s="823">
        <f t="shared" si="12"/>
        <v>-706</v>
      </c>
      <c r="R14" s="823">
        <f t="shared" si="12"/>
        <v>-779</v>
      </c>
      <c r="S14" s="823">
        <f t="shared" si="12"/>
        <v>-893</v>
      </c>
      <c r="T14" s="823">
        <f t="shared" si="12"/>
        <v>-611</v>
      </c>
      <c r="U14" s="823">
        <f t="shared" si="12"/>
        <v>-604</v>
      </c>
      <c r="V14" s="823">
        <f t="shared" si="12"/>
        <v>-1077</v>
      </c>
      <c r="W14" s="823">
        <f t="shared" si="12"/>
        <v>-531</v>
      </c>
      <c r="X14" s="823">
        <f t="shared" si="12"/>
        <v>-480</v>
      </c>
      <c r="Y14" s="823">
        <f t="shared" si="12"/>
        <v>-969</v>
      </c>
      <c r="Z14" s="823">
        <f>Z15-Z16</f>
        <v>-1104</v>
      </c>
      <c r="AA14" s="823">
        <f t="shared" si="12"/>
        <v>-1098</v>
      </c>
      <c r="AB14" s="823">
        <f t="shared" si="12"/>
        <v>-1914</v>
      </c>
      <c r="AC14" s="823">
        <f t="shared" si="12"/>
        <v>-1651</v>
      </c>
      <c r="AD14" s="823">
        <f t="shared" si="12"/>
        <v>-1590</v>
      </c>
      <c r="AE14" s="823">
        <f t="shared" si="12"/>
        <v>-1552</v>
      </c>
      <c r="AF14" s="823">
        <f t="shared" si="12"/>
        <v>-1580</v>
      </c>
      <c r="AG14" s="823">
        <f t="shared" si="12"/>
        <v>-1526</v>
      </c>
      <c r="AH14" s="823">
        <f t="shared" si="12"/>
        <v>-2129</v>
      </c>
      <c r="AI14" s="823">
        <f t="shared" si="12"/>
        <v>-1354</v>
      </c>
      <c r="AJ14" s="1088">
        <f>AJ15-AJ16</f>
        <v>-1581</v>
      </c>
      <c r="AK14" s="1149">
        <f t="shared" si="12"/>
        <v>-1536</v>
      </c>
      <c r="AL14" s="1149">
        <v>-891</v>
      </c>
      <c r="AM14" s="1149">
        <v>-886</v>
      </c>
      <c r="AN14" s="1149">
        <v>-341</v>
      </c>
      <c r="AO14" s="1149">
        <v>-229</v>
      </c>
      <c r="AP14" s="1149">
        <v>-295</v>
      </c>
      <c r="AQ14" s="1149">
        <v>-266</v>
      </c>
      <c r="AR14" s="1149">
        <v>-323</v>
      </c>
      <c r="AS14" s="1149">
        <v>-448</v>
      </c>
      <c r="AT14" s="1149">
        <v>-480.42826879698526</v>
      </c>
      <c r="AU14" s="1149">
        <v>-574.78514865836473</v>
      </c>
      <c r="AV14" s="1149">
        <v>-495.61770376923835</v>
      </c>
      <c r="AW14" s="1089">
        <v>-503.36276356418256</v>
      </c>
      <c r="AX14" s="1089">
        <v>-655.91705771248712</v>
      </c>
      <c r="AY14" s="1089">
        <v>-465.41922833225476</v>
      </c>
      <c r="AZ14" s="1089">
        <v>-443.15026351525506</v>
      </c>
      <c r="BA14" s="1089">
        <v>-459.36335840500089</v>
      </c>
      <c r="BB14" s="1089">
        <v>-443.14943899108141</v>
      </c>
      <c r="BC14" s="1089">
        <v>-373.46187727743279</v>
      </c>
      <c r="BD14" s="1089">
        <v>-415.28367823662211</v>
      </c>
      <c r="BE14" s="1089">
        <v>-421.08030116158085</v>
      </c>
      <c r="BF14" s="1089">
        <v>-518.12711424151894</v>
      </c>
      <c r="BG14" s="1089">
        <v>-607.30757273027803</v>
      </c>
      <c r="BH14" s="1089">
        <v>-573.67109395068633</v>
      </c>
      <c r="BI14" s="1089">
        <v>-596.40257731436714</v>
      </c>
      <c r="BJ14" s="1089">
        <v>-5972.3335618685669</v>
      </c>
      <c r="BK14" s="1090">
        <v>-5733.1938847887714</v>
      </c>
      <c r="BL14" s="1183">
        <f t="shared" si="1"/>
        <v>-239.13967707979555</v>
      </c>
      <c r="BM14" s="1202">
        <f t="shared" si="2"/>
        <v>4.1711423315767771E-2</v>
      </c>
      <c r="BN14" s="1228">
        <v>-5972.3335618685669</v>
      </c>
      <c r="BO14" s="1228">
        <f t="shared" si="3"/>
        <v>0</v>
      </c>
      <c r="BP14" s="1228"/>
      <c r="BQ14" s="1091">
        <f t="shared" si="4"/>
        <v>-18615</v>
      </c>
      <c r="BR14" s="878">
        <f t="shared" si="6"/>
        <v>-7335</v>
      </c>
      <c r="BS14" s="860">
        <f t="shared" si="9"/>
        <v>-8124</v>
      </c>
      <c r="BT14" s="1083"/>
      <c r="BU14" s="1081"/>
      <c r="BV14" s="1077"/>
      <c r="BW14" s="1077"/>
      <c r="BX14" s="817"/>
    </row>
    <row r="15" spans="1:194" s="840" customFormat="1" ht="17.850000000000001" customHeight="1" x14ac:dyDescent="0.35">
      <c r="A15" s="836" t="s">
        <v>31</v>
      </c>
      <c r="B15" s="837">
        <v>38</v>
      </c>
      <c r="C15" s="837">
        <v>39</v>
      </c>
      <c r="D15" s="838">
        <v>41</v>
      </c>
      <c r="E15" s="838">
        <v>37</v>
      </c>
      <c r="F15" s="838">
        <v>45</v>
      </c>
      <c r="G15" s="838">
        <v>32</v>
      </c>
      <c r="H15" s="838">
        <v>72</v>
      </c>
      <c r="I15" s="838">
        <v>37</v>
      </c>
      <c r="J15" s="838">
        <v>55</v>
      </c>
      <c r="K15" s="838">
        <v>32</v>
      </c>
      <c r="L15" s="838">
        <v>34</v>
      </c>
      <c r="M15" s="838">
        <v>46</v>
      </c>
      <c r="N15" s="839">
        <v>46</v>
      </c>
      <c r="O15" s="839">
        <v>42</v>
      </c>
      <c r="P15" s="839">
        <v>54</v>
      </c>
      <c r="Q15" s="839">
        <v>27</v>
      </c>
      <c r="R15" s="839">
        <v>34</v>
      </c>
      <c r="S15" s="839">
        <v>41</v>
      </c>
      <c r="T15" s="839">
        <v>34</v>
      </c>
      <c r="U15" s="839">
        <v>37</v>
      </c>
      <c r="V15" s="839">
        <v>29</v>
      </c>
      <c r="W15" s="839">
        <v>13</v>
      </c>
      <c r="X15" s="837">
        <v>51</v>
      </c>
      <c r="Y15" s="837">
        <v>32</v>
      </c>
      <c r="Z15" s="839">
        <v>14</v>
      </c>
      <c r="AA15" s="837">
        <v>44</v>
      </c>
      <c r="AB15" s="837">
        <v>41</v>
      </c>
      <c r="AC15" s="837">
        <v>24</v>
      </c>
      <c r="AD15" s="837">
        <v>37</v>
      </c>
      <c r="AE15" s="837">
        <v>47</v>
      </c>
      <c r="AF15" s="837">
        <v>20</v>
      </c>
      <c r="AG15" s="837">
        <v>52</v>
      </c>
      <c r="AH15" s="837">
        <v>34</v>
      </c>
      <c r="AI15" s="861">
        <v>17</v>
      </c>
      <c r="AJ15" s="1121">
        <v>35</v>
      </c>
      <c r="AK15" s="934">
        <v>40</v>
      </c>
      <c r="AL15" s="937">
        <v>25</v>
      </c>
      <c r="AM15" s="937">
        <v>27</v>
      </c>
      <c r="AN15" s="937">
        <v>22</v>
      </c>
      <c r="AO15" s="937">
        <v>6</v>
      </c>
      <c r="AP15" s="937">
        <v>11</v>
      </c>
      <c r="AQ15" s="937">
        <v>13</v>
      </c>
      <c r="AR15" s="937">
        <v>16</v>
      </c>
      <c r="AS15" s="937">
        <v>29</v>
      </c>
      <c r="AT15" s="937">
        <v>15.877094115391989</v>
      </c>
      <c r="AU15" s="937">
        <v>7.9385470576959944</v>
      </c>
      <c r="AV15" s="937">
        <v>16.344067471727048</v>
      </c>
      <c r="AW15" s="937">
        <v>18.678934253402339</v>
      </c>
      <c r="AX15" s="937">
        <v>19.5</v>
      </c>
      <c r="AY15" s="937">
        <v>35.5</v>
      </c>
      <c r="AZ15" s="937">
        <v>31</v>
      </c>
      <c r="BA15" s="937">
        <v>15</v>
      </c>
      <c r="BB15" s="937">
        <v>24.5</v>
      </c>
      <c r="BC15" s="937">
        <v>30</v>
      </c>
      <c r="BD15" s="937">
        <v>18</v>
      </c>
      <c r="BE15" s="937">
        <v>38.141307264711521</v>
      </c>
      <c r="BF15" s="937">
        <v>24.938547057695995</v>
      </c>
      <c r="BG15" s="937">
        <v>12.469273528847998</v>
      </c>
      <c r="BH15" s="937">
        <v>25.672033735863522</v>
      </c>
      <c r="BI15" s="937">
        <v>29.33946712670117</v>
      </c>
      <c r="BJ15" s="937">
        <v>304.06062871382017</v>
      </c>
      <c r="BK15" s="935">
        <v>207.83864289821736</v>
      </c>
      <c r="BL15" s="935">
        <f t="shared" si="1"/>
        <v>96.221985815602807</v>
      </c>
      <c r="BM15" s="1203">
        <f t="shared" si="2"/>
        <v>0.46296484847009223</v>
      </c>
      <c r="BN15" s="1229">
        <v>304.06062871382017</v>
      </c>
      <c r="BO15" s="1229">
        <f t="shared" si="3"/>
        <v>0</v>
      </c>
      <c r="BP15" s="1229"/>
      <c r="BQ15" s="937">
        <f t="shared" si="4"/>
        <v>405</v>
      </c>
      <c r="BR15" s="880">
        <f t="shared" si="6"/>
        <v>440</v>
      </c>
      <c r="BS15" s="1072">
        <f t="shared" si="9"/>
        <v>508</v>
      </c>
      <c r="BT15" s="113"/>
      <c r="BU15" s="1081"/>
      <c r="BV15" s="113"/>
      <c r="BW15" s="113"/>
      <c r="BX15"/>
    </row>
    <row r="16" spans="1:194" s="840" customFormat="1" ht="17.850000000000001" customHeight="1" x14ac:dyDescent="0.35">
      <c r="A16" s="836" t="s">
        <v>32</v>
      </c>
      <c r="B16" s="837">
        <v>452</v>
      </c>
      <c r="C16" s="837">
        <v>417</v>
      </c>
      <c r="D16" s="838">
        <v>1079</v>
      </c>
      <c r="E16" s="838">
        <v>526</v>
      </c>
      <c r="F16" s="838">
        <v>492</v>
      </c>
      <c r="G16" s="838">
        <v>555</v>
      </c>
      <c r="H16" s="838">
        <v>684</v>
      </c>
      <c r="I16" s="838">
        <v>575</v>
      </c>
      <c r="J16" s="838">
        <v>1313</v>
      </c>
      <c r="K16" s="838">
        <v>744</v>
      </c>
      <c r="L16" s="838">
        <v>460</v>
      </c>
      <c r="M16" s="838">
        <v>798</v>
      </c>
      <c r="N16" s="838">
        <v>75</v>
      </c>
      <c r="O16" s="838">
        <v>199</v>
      </c>
      <c r="P16" s="838">
        <v>553</v>
      </c>
      <c r="Q16" s="838">
        <v>733</v>
      </c>
      <c r="R16" s="838">
        <v>813</v>
      </c>
      <c r="S16" s="838">
        <v>934</v>
      </c>
      <c r="T16" s="838">
        <v>645</v>
      </c>
      <c r="U16" s="838">
        <v>641</v>
      </c>
      <c r="V16" s="838">
        <v>1106</v>
      </c>
      <c r="W16" s="838">
        <v>544</v>
      </c>
      <c r="X16" s="838">
        <v>531</v>
      </c>
      <c r="Y16" s="838">
        <v>1001</v>
      </c>
      <c r="Z16" s="839">
        <v>1118</v>
      </c>
      <c r="AA16" s="838">
        <v>1142</v>
      </c>
      <c r="AB16" s="838">
        <v>1955</v>
      </c>
      <c r="AC16" s="838">
        <v>1675</v>
      </c>
      <c r="AD16" s="838">
        <v>1627</v>
      </c>
      <c r="AE16" s="838">
        <v>1599</v>
      </c>
      <c r="AF16" s="838">
        <v>1600</v>
      </c>
      <c r="AG16" s="838">
        <v>1578</v>
      </c>
      <c r="AH16" s="838">
        <v>2163</v>
      </c>
      <c r="AI16" s="863">
        <v>1371</v>
      </c>
      <c r="AJ16" s="1124">
        <v>1616</v>
      </c>
      <c r="AK16" s="937">
        <v>1576</v>
      </c>
      <c r="AL16" s="937">
        <v>916</v>
      </c>
      <c r="AM16" s="937">
        <v>913</v>
      </c>
      <c r="AN16" s="937">
        <v>363</v>
      </c>
      <c r="AO16" s="937">
        <v>235</v>
      </c>
      <c r="AP16" s="937">
        <v>306</v>
      </c>
      <c r="AQ16" s="937">
        <v>279</v>
      </c>
      <c r="AR16" s="937">
        <v>339</v>
      </c>
      <c r="AS16" s="937">
        <v>477</v>
      </c>
      <c r="AT16" s="937">
        <v>496.30536291237723</v>
      </c>
      <c r="AU16" s="937">
        <v>582.72369571606077</v>
      </c>
      <c r="AV16" s="937">
        <v>511.96177124096539</v>
      </c>
      <c r="AW16" s="937">
        <v>522.04169781758492</v>
      </c>
      <c r="AX16" s="937">
        <v>675.41705771248712</v>
      </c>
      <c r="AY16" s="937">
        <v>500.91922833225476</v>
      </c>
      <c r="AZ16" s="937">
        <v>474.15026351525506</v>
      </c>
      <c r="BA16" s="937">
        <v>474.36335840500089</v>
      </c>
      <c r="BB16" s="937">
        <v>467.64943899108141</v>
      </c>
      <c r="BC16" s="937">
        <v>403.46187727743279</v>
      </c>
      <c r="BD16" s="937">
        <v>433.28367823662211</v>
      </c>
      <c r="BE16" s="937">
        <v>459.22160842629239</v>
      </c>
      <c r="BF16" s="937">
        <v>543.06566129921498</v>
      </c>
      <c r="BG16" s="937">
        <v>619.77684625912605</v>
      </c>
      <c r="BH16" s="937">
        <v>599.34312768654979</v>
      </c>
      <c r="BI16" s="937">
        <v>625.74204444106829</v>
      </c>
      <c r="BJ16" s="937">
        <v>6276.3941905823849</v>
      </c>
      <c r="BK16" s="935">
        <v>5941.032527686988</v>
      </c>
      <c r="BL16" s="935">
        <f t="shared" si="1"/>
        <v>335.36166289539688</v>
      </c>
      <c r="BM16" s="1203">
        <f t="shared" si="2"/>
        <v>5.6448380198645814E-2</v>
      </c>
      <c r="BN16" s="1229">
        <v>6276.3941905823849</v>
      </c>
      <c r="BO16" s="1229">
        <f t="shared" si="3"/>
        <v>0</v>
      </c>
      <c r="BP16" s="1229"/>
      <c r="BQ16" s="937">
        <f t="shared" si="4"/>
        <v>19020</v>
      </c>
      <c r="BR16" s="880">
        <f t="shared" si="6"/>
        <v>7775</v>
      </c>
      <c r="BS16" s="1072">
        <f t="shared" si="9"/>
        <v>8095</v>
      </c>
      <c r="BT16" s="113"/>
      <c r="BU16" s="113"/>
      <c r="BV16" s="113"/>
      <c r="BW16" s="113"/>
      <c r="BX16"/>
    </row>
    <row r="17" spans="1:76" ht="17.850000000000001" customHeight="1" x14ac:dyDescent="0.35">
      <c r="A17" s="787" t="s">
        <v>34</v>
      </c>
      <c r="B17" s="788">
        <v>258</v>
      </c>
      <c r="C17" s="788">
        <v>271</v>
      </c>
      <c r="D17" s="790">
        <v>282</v>
      </c>
      <c r="E17" s="790">
        <v>263</v>
      </c>
      <c r="F17" s="790">
        <v>278</v>
      </c>
      <c r="G17" s="790">
        <v>266</v>
      </c>
      <c r="H17" s="790">
        <v>303</v>
      </c>
      <c r="I17" s="790">
        <v>259</v>
      </c>
      <c r="J17" s="790">
        <v>281</v>
      </c>
      <c r="K17" s="790">
        <v>343</v>
      </c>
      <c r="L17" s="790">
        <v>279</v>
      </c>
      <c r="M17" s="790">
        <v>3225</v>
      </c>
      <c r="N17" s="793">
        <f t="shared" ref="N17:AK17" si="13">N18-N19</f>
        <v>304</v>
      </c>
      <c r="O17" s="793">
        <f t="shared" si="13"/>
        <v>274</v>
      </c>
      <c r="P17" s="793">
        <f t="shared" si="13"/>
        <v>264</v>
      </c>
      <c r="Q17" s="793">
        <f t="shared" si="13"/>
        <v>267</v>
      </c>
      <c r="R17" s="793">
        <f t="shared" si="13"/>
        <v>293</v>
      </c>
      <c r="S17" s="793">
        <f t="shared" si="13"/>
        <v>305</v>
      </c>
      <c r="T17" s="793">
        <f t="shared" si="13"/>
        <v>330</v>
      </c>
      <c r="U17" s="793">
        <f t="shared" si="13"/>
        <v>289</v>
      </c>
      <c r="V17" s="793">
        <f t="shared" si="13"/>
        <v>315</v>
      </c>
      <c r="W17" s="793">
        <f t="shared" si="13"/>
        <v>345</v>
      </c>
      <c r="X17" s="793">
        <f t="shared" si="13"/>
        <v>368</v>
      </c>
      <c r="Y17" s="793">
        <f t="shared" si="13"/>
        <v>408</v>
      </c>
      <c r="Z17" s="793">
        <f t="shared" si="13"/>
        <v>333</v>
      </c>
      <c r="AA17" s="793">
        <f t="shared" si="13"/>
        <v>321</v>
      </c>
      <c r="AB17" s="793">
        <f t="shared" si="13"/>
        <v>438</v>
      </c>
      <c r="AC17" s="793">
        <f t="shared" si="13"/>
        <v>345</v>
      </c>
      <c r="AD17" s="793">
        <f t="shared" si="13"/>
        <v>356</v>
      </c>
      <c r="AE17" s="793">
        <f t="shared" si="13"/>
        <v>387</v>
      </c>
      <c r="AF17" s="793">
        <f t="shared" si="13"/>
        <v>426</v>
      </c>
      <c r="AG17" s="793">
        <f t="shared" si="13"/>
        <v>387</v>
      </c>
      <c r="AH17" s="793">
        <f t="shared" si="13"/>
        <v>468</v>
      </c>
      <c r="AI17" s="865">
        <f t="shared" si="13"/>
        <v>396</v>
      </c>
      <c r="AJ17" s="1097">
        <f t="shared" si="13"/>
        <v>386</v>
      </c>
      <c r="AK17" s="1147">
        <f t="shared" si="13"/>
        <v>446</v>
      </c>
      <c r="AL17" s="1148">
        <v>330</v>
      </c>
      <c r="AM17" s="1147">
        <v>525</v>
      </c>
      <c r="AN17" s="1147">
        <v>1093</v>
      </c>
      <c r="AO17" s="1147">
        <v>1419</v>
      </c>
      <c r="AP17" s="1147">
        <v>1135</v>
      </c>
      <c r="AQ17" s="1147">
        <v>1942</v>
      </c>
      <c r="AR17" s="1147">
        <v>3690.7262977316241</v>
      </c>
      <c r="AS17" s="1147">
        <v>2438.2159271362398</v>
      </c>
      <c r="AT17" s="1147">
        <v>1537.8024176038052</v>
      </c>
      <c r="AU17" s="1147">
        <v>1362.4337960827365</v>
      </c>
      <c r="AV17" s="1147">
        <v>1647.6674498234649</v>
      </c>
      <c r="AW17" s="1097">
        <v>2006.0907908749036</v>
      </c>
      <c r="AX17" s="1097">
        <v>819.41859526496955</v>
      </c>
      <c r="AY17" s="1097">
        <v>879.07676959077594</v>
      </c>
      <c r="AZ17" s="1097">
        <v>984.9093433658611</v>
      </c>
      <c r="BA17" s="1097">
        <v>657.55104551191312</v>
      </c>
      <c r="BB17" s="1097">
        <v>615.67219856929842</v>
      </c>
      <c r="BC17" s="1097">
        <v>632.15248683364484</v>
      </c>
      <c r="BD17" s="1097">
        <v>638.09437427190892</v>
      </c>
      <c r="BE17" s="1097">
        <v>597.6194899979937</v>
      </c>
      <c r="BF17" s="1097">
        <v>788.21284331672518</v>
      </c>
      <c r="BG17" s="1097">
        <v>630.42218630471893</v>
      </c>
      <c r="BH17" s="1097">
        <v>550.27629113141211</v>
      </c>
      <c r="BI17" s="1097">
        <v>605.26152264004145</v>
      </c>
      <c r="BJ17" s="1097">
        <v>8398.6671467992637</v>
      </c>
      <c r="BK17" s="1097">
        <v>19126.936679252773</v>
      </c>
      <c r="BL17" s="1097">
        <f t="shared" si="1"/>
        <v>-10728.269532453509</v>
      </c>
      <c r="BM17" s="1204">
        <f t="shared" si="2"/>
        <v>-0.56089847069398191</v>
      </c>
      <c r="BN17" s="1230">
        <v>8398.6671467992637</v>
      </c>
      <c r="BO17" s="1230">
        <f t="shared" si="3"/>
        <v>0</v>
      </c>
      <c r="BP17" s="1230"/>
      <c r="BQ17" s="1097">
        <f t="shared" si="4"/>
        <v>4689</v>
      </c>
      <c r="BR17" s="881">
        <f t="shared" si="6"/>
        <v>3762</v>
      </c>
      <c r="BS17" s="1073">
        <f t="shared" si="9"/>
        <v>6308</v>
      </c>
      <c r="BT17" s="1080"/>
      <c r="BU17" s="275"/>
      <c r="BV17" s="113"/>
      <c r="BW17" s="113"/>
    </row>
    <row r="18" spans="1:76" s="840" customFormat="1" ht="17.850000000000001" customHeight="1" x14ac:dyDescent="0.35">
      <c r="A18" s="836" t="s">
        <v>31</v>
      </c>
      <c r="B18" s="837">
        <v>346</v>
      </c>
      <c r="C18" s="837">
        <v>370</v>
      </c>
      <c r="D18" s="838">
        <v>388</v>
      </c>
      <c r="E18" s="838">
        <v>376</v>
      </c>
      <c r="F18" s="838">
        <v>390</v>
      </c>
      <c r="G18" s="838">
        <v>382</v>
      </c>
      <c r="H18" s="838">
        <v>429</v>
      </c>
      <c r="I18" s="838">
        <v>378</v>
      </c>
      <c r="J18" s="838">
        <v>405</v>
      </c>
      <c r="K18" s="838">
        <v>483</v>
      </c>
      <c r="L18" s="838">
        <v>418</v>
      </c>
      <c r="M18" s="838">
        <v>3360</v>
      </c>
      <c r="N18" s="839">
        <v>420</v>
      </c>
      <c r="O18" s="839">
        <v>395</v>
      </c>
      <c r="P18" s="839">
        <v>384</v>
      </c>
      <c r="Q18" s="839">
        <v>360</v>
      </c>
      <c r="R18" s="839">
        <v>396</v>
      </c>
      <c r="S18" s="839">
        <v>447</v>
      </c>
      <c r="T18" s="839">
        <v>469</v>
      </c>
      <c r="U18" s="839">
        <v>434</v>
      </c>
      <c r="V18" s="839">
        <v>463</v>
      </c>
      <c r="W18" s="839">
        <v>489</v>
      </c>
      <c r="X18" s="838">
        <v>501</v>
      </c>
      <c r="Y18" s="838">
        <v>561</v>
      </c>
      <c r="Z18" s="839">
        <v>469</v>
      </c>
      <c r="AA18" s="838">
        <v>511</v>
      </c>
      <c r="AB18" s="838">
        <v>605</v>
      </c>
      <c r="AC18" s="838">
        <v>521</v>
      </c>
      <c r="AD18" s="838">
        <v>525</v>
      </c>
      <c r="AE18" s="838">
        <v>567</v>
      </c>
      <c r="AF18" s="838">
        <v>601</v>
      </c>
      <c r="AG18" s="838">
        <v>567</v>
      </c>
      <c r="AH18" s="838">
        <v>666</v>
      </c>
      <c r="AI18" s="838">
        <v>583</v>
      </c>
      <c r="AJ18" s="1092">
        <v>599</v>
      </c>
      <c r="AK18" s="1093">
        <v>697</v>
      </c>
      <c r="AL18" s="1103">
        <v>505</v>
      </c>
      <c r="AM18" s="934">
        <v>731</v>
      </c>
      <c r="AN18" s="934">
        <v>1181</v>
      </c>
      <c r="AO18" s="934">
        <v>1703</v>
      </c>
      <c r="AP18" s="934">
        <v>1489</v>
      </c>
      <c r="AQ18" s="934">
        <v>2373</v>
      </c>
      <c r="AR18" s="934">
        <v>4041.7262977316241</v>
      </c>
      <c r="AS18" s="934">
        <v>2683.2159271362398</v>
      </c>
      <c r="AT18" s="934">
        <v>2156.5492604695733</v>
      </c>
      <c r="AU18" s="934">
        <v>1985.2454176341337</v>
      </c>
      <c r="AV18" s="934">
        <v>2024.5438500604907</v>
      </c>
      <c r="AW18" s="934">
        <v>2397.1939165116301</v>
      </c>
      <c r="AX18" s="934">
        <v>1184.0852619316363</v>
      </c>
      <c r="AY18" s="934">
        <v>1264.7434362574427</v>
      </c>
      <c r="AZ18" s="934">
        <v>1337.5760100325278</v>
      </c>
      <c r="BA18" s="934">
        <v>1017.2177121785799</v>
      </c>
      <c r="BB18" s="934">
        <v>994.33886523596516</v>
      </c>
      <c r="BC18" s="934">
        <v>1012.8191535003116</v>
      </c>
      <c r="BD18" s="934">
        <v>1013.7610409385757</v>
      </c>
      <c r="BE18" s="934">
        <v>965.85823552805846</v>
      </c>
      <c r="BF18" s="934">
        <v>1156.9596861824934</v>
      </c>
      <c r="BG18" s="934">
        <v>1003.233807856116</v>
      </c>
      <c r="BH18" s="934">
        <v>927.1526913684379</v>
      </c>
      <c r="BI18" s="934">
        <v>996.36464827676775</v>
      </c>
      <c r="BJ18" s="1094">
        <v>12874.11054928691</v>
      </c>
      <c r="BK18" s="1095">
        <v>23270.474669543692</v>
      </c>
      <c r="BL18" s="1181">
        <f t="shared" si="1"/>
        <v>-10396.364120256781</v>
      </c>
      <c r="BM18" s="1200">
        <f t="shared" si="2"/>
        <v>-0.44676201357695133</v>
      </c>
      <c r="BN18" s="1226">
        <v>12874.11054928691</v>
      </c>
      <c r="BO18" s="1226">
        <f t="shared" si="3"/>
        <v>0</v>
      </c>
      <c r="BP18" s="1226"/>
      <c r="BQ18" s="1096">
        <f t="shared" si="4"/>
        <v>6911</v>
      </c>
      <c r="BR18" s="880">
        <f t="shared" si="6"/>
        <v>5319</v>
      </c>
      <c r="BS18" s="1072">
        <f t="shared" si="9"/>
        <v>7725</v>
      </c>
      <c r="BT18" s="113"/>
      <c r="BU18" s="113"/>
      <c r="BV18" s="113"/>
      <c r="BW18" s="113"/>
      <c r="BX18"/>
    </row>
    <row r="19" spans="1:76" s="840" customFormat="1" ht="17.850000000000001" customHeight="1" x14ac:dyDescent="0.35">
      <c r="A19" s="836" t="s">
        <v>32</v>
      </c>
      <c r="B19" s="837">
        <v>88</v>
      </c>
      <c r="C19" s="837">
        <v>99</v>
      </c>
      <c r="D19" s="838">
        <v>106</v>
      </c>
      <c r="E19" s="838">
        <v>113</v>
      </c>
      <c r="F19" s="838">
        <v>112</v>
      </c>
      <c r="G19" s="838">
        <v>116</v>
      </c>
      <c r="H19" s="838">
        <v>126</v>
      </c>
      <c r="I19" s="838">
        <v>119</v>
      </c>
      <c r="J19" s="838">
        <v>124</v>
      </c>
      <c r="K19" s="838">
        <v>140</v>
      </c>
      <c r="L19" s="838">
        <v>139</v>
      </c>
      <c r="M19" s="838">
        <v>135</v>
      </c>
      <c r="N19" s="839">
        <v>116</v>
      </c>
      <c r="O19" s="839">
        <v>121</v>
      </c>
      <c r="P19" s="839">
        <v>120</v>
      </c>
      <c r="Q19" s="839">
        <v>93</v>
      </c>
      <c r="R19" s="839">
        <v>103</v>
      </c>
      <c r="S19" s="839">
        <v>142</v>
      </c>
      <c r="T19" s="839">
        <v>139</v>
      </c>
      <c r="U19" s="839">
        <v>145</v>
      </c>
      <c r="V19" s="839">
        <v>148</v>
      </c>
      <c r="W19" s="839">
        <v>144</v>
      </c>
      <c r="X19" s="838">
        <v>133</v>
      </c>
      <c r="Y19" s="838">
        <v>153</v>
      </c>
      <c r="Z19" s="839">
        <v>136</v>
      </c>
      <c r="AA19" s="838">
        <v>190</v>
      </c>
      <c r="AB19" s="838">
        <v>167</v>
      </c>
      <c r="AC19" s="838">
        <v>176</v>
      </c>
      <c r="AD19" s="838">
        <v>169</v>
      </c>
      <c r="AE19" s="838">
        <v>180</v>
      </c>
      <c r="AF19" s="838">
        <v>175</v>
      </c>
      <c r="AG19" s="838">
        <v>180</v>
      </c>
      <c r="AH19" s="838">
        <v>198</v>
      </c>
      <c r="AI19" s="838">
        <v>187</v>
      </c>
      <c r="AJ19" s="838">
        <v>213</v>
      </c>
      <c r="AK19" s="1028">
        <v>251</v>
      </c>
      <c r="AL19" s="1006">
        <v>175</v>
      </c>
      <c r="AM19" s="937">
        <v>206</v>
      </c>
      <c r="AN19" s="937">
        <v>88</v>
      </c>
      <c r="AO19" s="937">
        <v>284</v>
      </c>
      <c r="AP19" s="937">
        <v>354</v>
      </c>
      <c r="AQ19" s="937">
        <v>431</v>
      </c>
      <c r="AR19" s="937">
        <v>351</v>
      </c>
      <c r="AS19" s="937">
        <v>245</v>
      </c>
      <c r="AT19" s="937">
        <v>618.74684286576803</v>
      </c>
      <c r="AU19" s="937">
        <v>622.81162155139702</v>
      </c>
      <c r="AV19" s="937">
        <v>376.87640023702579</v>
      </c>
      <c r="AW19" s="937">
        <v>391.1031256367263</v>
      </c>
      <c r="AX19" s="937">
        <v>364.66666666666669</v>
      </c>
      <c r="AY19" s="937">
        <v>385.66666666666669</v>
      </c>
      <c r="AZ19" s="937">
        <v>352.66666666666669</v>
      </c>
      <c r="BA19" s="937">
        <v>359.66666666666669</v>
      </c>
      <c r="BB19" s="937">
        <v>378.66666666666669</v>
      </c>
      <c r="BC19" s="937">
        <v>380.66666666666669</v>
      </c>
      <c r="BD19" s="937">
        <v>375.66666666666669</v>
      </c>
      <c r="BE19" s="937">
        <v>368.2387455300647</v>
      </c>
      <c r="BF19" s="937">
        <v>368.74684286576831</v>
      </c>
      <c r="BG19" s="937">
        <v>372.81162155139702</v>
      </c>
      <c r="BH19" s="937">
        <v>376.87640023702579</v>
      </c>
      <c r="BI19" s="937">
        <v>391.1031256367263</v>
      </c>
      <c r="BJ19" s="1104">
        <v>4475.4434024876482</v>
      </c>
      <c r="BK19" s="935">
        <v>4143.5379902909172</v>
      </c>
      <c r="BL19" s="1184">
        <f t="shared" si="1"/>
        <v>331.90541219673105</v>
      </c>
      <c r="BM19" s="1205">
        <f t="shared" si="2"/>
        <v>8.0101935344733741E-2</v>
      </c>
      <c r="BN19" s="1231">
        <v>4475.4434024876482</v>
      </c>
      <c r="BO19" s="1231">
        <f t="shared" si="3"/>
        <v>0</v>
      </c>
      <c r="BP19" s="1231"/>
      <c r="BQ19" s="922">
        <f t="shared" si="4"/>
        <v>2222</v>
      </c>
      <c r="BR19" s="880">
        <f t="shared" si="6"/>
        <v>1557</v>
      </c>
      <c r="BS19" s="1072">
        <f t="shared" si="9"/>
        <v>1417</v>
      </c>
      <c r="BT19" s="113"/>
      <c r="BU19" s="113"/>
      <c r="BV19" s="113"/>
      <c r="BW19" s="113"/>
      <c r="BX19"/>
    </row>
    <row r="20" spans="1:76" ht="31.5" customHeight="1" x14ac:dyDescent="0.35">
      <c r="A20" s="787" t="s">
        <v>84</v>
      </c>
      <c r="B20" s="788">
        <v>-5</v>
      </c>
      <c r="C20" s="788">
        <v>2</v>
      </c>
      <c r="D20" s="788">
        <v>-8</v>
      </c>
      <c r="E20" s="788">
        <v>1</v>
      </c>
      <c r="F20" s="788">
        <v>5</v>
      </c>
      <c r="G20" s="788">
        <v>1</v>
      </c>
      <c r="H20" s="788">
        <v>37</v>
      </c>
      <c r="I20" s="788">
        <v>3</v>
      </c>
      <c r="J20" s="788">
        <v>-1</v>
      </c>
      <c r="K20" s="788">
        <v>2</v>
      </c>
      <c r="L20" s="788">
        <v>0</v>
      </c>
      <c r="M20" s="788">
        <v>1</v>
      </c>
      <c r="N20" s="789">
        <v>2</v>
      </c>
      <c r="O20" s="789">
        <v>2</v>
      </c>
      <c r="P20" s="789">
        <v>1</v>
      </c>
      <c r="Q20" s="789">
        <v>0</v>
      </c>
      <c r="R20" s="789">
        <v>1</v>
      </c>
      <c r="S20" s="789">
        <v>2</v>
      </c>
      <c r="T20" s="789">
        <v>1</v>
      </c>
      <c r="U20" s="789">
        <v>0</v>
      </c>
      <c r="V20" s="789">
        <v>3</v>
      </c>
      <c r="W20" s="789">
        <v>-1</v>
      </c>
      <c r="X20" s="789">
        <v>1</v>
      </c>
      <c r="Y20" s="789">
        <v>-15</v>
      </c>
      <c r="Z20" s="789">
        <v>2</v>
      </c>
      <c r="AA20" s="789">
        <v>2</v>
      </c>
      <c r="AB20" s="789">
        <v>2</v>
      </c>
      <c r="AC20" s="789">
        <v>1</v>
      </c>
      <c r="AD20" s="789">
        <v>5</v>
      </c>
      <c r="AE20" s="789">
        <v>1</v>
      </c>
      <c r="AF20" s="789">
        <v>2</v>
      </c>
      <c r="AG20" s="789">
        <v>-3</v>
      </c>
      <c r="AH20" s="789">
        <v>-1</v>
      </c>
      <c r="AI20" s="789">
        <v>2</v>
      </c>
      <c r="AJ20" s="789">
        <v>1</v>
      </c>
      <c r="AK20" s="1024">
        <v>1</v>
      </c>
      <c r="AL20" s="1002">
        <v>-1</v>
      </c>
      <c r="AM20" s="941">
        <v>3</v>
      </c>
      <c r="AN20" s="941">
        <v>1</v>
      </c>
      <c r="AO20" s="941">
        <v>2</v>
      </c>
      <c r="AP20" s="941">
        <v>1</v>
      </c>
      <c r="AQ20" s="941">
        <v>2</v>
      </c>
      <c r="AR20" s="941">
        <v>9</v>
      </c>
      <c r="AS20" s="941">
        <v>5</v>
      </c>
      <c r="AT20" s="941">
        <v>0</v>
      </c>
      <c r="AU20" s="1108">
        <v>0</v>
      </c>
      <c r="AV20" s="1108">
        <v>0</v>
      </c>
      <c r="AW20" s="1108">
        <v>0</v>
      </c>
      <c r="AX20" s="1108">
        <v>0</v>
      </c>
      <c r="AY20" s="1108">
        <v>0</v>
      </c>
      <c r="AZ20" s="1108">
        <v>0</v>
      </c>
      <c r="BA20" s="1108">
        <v>0</v>
      </c>
      <c r="BB20" s="1108">
        <v>0</v>
      </c>
      <c r="BC20" s="1108">
        <v>0</v>
      </c>
      <c r="BD20" s="1108">
        <v>0</v>
      </c>
      <c r="BE20" s="1108">
        <v>0</v>
      </c>
      <c r="BF20" s="1108">
        <v>0</v>
      </c>
      <c r="BG20" s="1108">
        <v>0</v>
      </c>
      <c r="BH20" s="1108">
        <v>0</v>
      </c>
      <c r="BI20" s="1108">
        <v>0</v>
      </c>
      <c r="BJ20" s="939">
        <v>0</v>
      </c>
      <c r="BK20" s="939">
        <v>0</v>
      </c>
      <c r="BL20" s="1185">
        <f t="shared" si="1"/>
        <v>0</v>
      </c>
      <c r="BM20" s="1206"/>
      <c r="BN20" s="1232">
        <v>0</v>
      </c>
      <c r="BO20" s="1232">
        <f t="shared" si="3"/>
        <v>0</v>
      </c>
      <c r="BP20" s="1232"/>
      <c r="BQ20" s="949">
        <f t="shared" si="4"/>
        <v>15</v>
      </c>
      <c r="BR20" s="883">
        <f t="shared" si="6"/>
        <v>-3</v>
      </c>
      <c r="BS20" s="1074">
        <f t="shared" si="9"/>
        <v>38</v>
      </c>
      <c r="BT20" s="113"/>
      <c r="BU20" s="113"/>
      <c r="BV20" s="113"/>
      <c r="BW20" s="113"/>
    </row>
    <row r="21" spans="1:76" s="840" customFormat="1" ht="28.5" customHeight="1" x14ac:dyDescent="0.35">
      <c r="A21" s="836" t="s">
        <v>85</v>
      </c>
      <c r="B21" s="837">
        <v>620</v>
      </c>
      <c r="C21" s="837">
        <v>-247</v>
      </c>
      <c r="D21" s="837">
        <v>-534</v>
      </c>
      <c r="E21" s="837">
        <v>-91</v>
      </c>
      <c r="F21" s="837">
        <v>143</v>
      </c>
      <c r="G21" s="837">
        <v>-517</v>
      </c>
      <c r="H21" s="837">
        <v>-590</v>
      </c>
      <c r="I21" s="837">
        <v>-459</v>
      </c>
      <c r="J21" s="837">
        <v>-1327</v>
      </c>
      <c r="K21" s="837">
        <v>-674</v>
      </c>
      <c r="L21" s="837">
        <v>40</v>
      </c>
      <c r="M21" s="837">
        <v>2352</v>
      </c>
      <c r="N21" s="842">
        <v>1234</v>
      </c>
      <c r="O21" s="842">
        <v>506</v>
      </c>
      <c r="P21" s="842">
        <v>461</v>
      </c>
      <c r="Q21" s="842">
        <v>1256</v>
      </c>
      <c r="R21" s="842">
        <v>803</v>
      </c>
      <c r="S21" s="842">
        <v>-11</v>
      </c>
      <c r="T21" s="842">
        <v>58</v>
      </c>
      <c r="U21" s="842">
        <v>609</v>
      </c>
      <c r="V21" s="842">
        <v>-157</v>
      </c>
      <c r="W21" s="842">
        <v>644</v>
      </c>
      <c r="X21" s="837">
        <v>725</v>
      </c>
      <c r="Y21" s="837">
        <v>93</v>
      </c>
      <c r="Z21" s="842">
        <v>161</v>
      </c>
      <c r="AA21" s="837">
        <v>92</v>
      </c>
      <c r="AB21" s="837">
        <v>-817</v>
      </c>
      <c r="AC21" s="837">
        <v>103</v>
      </c>
      <c r="AD21" s="837">
        <v>438</v>
      </c>
      <c r="AE21" s="837">
        <v>-35</v>
      </c>
      <c r="AF21" s="837">
        <v>-466</v>
      </c>
      <c r="AG21" s="837">
        <v>198</v>
      </c>
      <c r="AH21" s="837">
        <v>-616</v>
      </c>
      <c r="AI21" s="837">
        <v>-12</v>
      </c>
      <c r="AJ21" s="837">
        <v>-633</v>
      </c>
      <c r="AK21" s="1027">
        <v>-523</v>
      </c>
      <c r="AL21" s="1151">
        <v>770</v>
      </c>
      <c r="AM21" s="1151">
        <v>192</v>
      </c>
      <c r="AN21" s="1151">
        <v>1452</v>
      </c>
      <c r="AO21" s="1151">
        <v>1166</v>
      </c>
      <c r="AP21" s="1151">
        <v>-100</v>
      </c>
      <c r="AQ21" s="1151">
        <v>-102</v>
      </c>
      <c r="AR21" s="1151">
        <v>1295</v>
      </c>
      <c r="AS21" s="1151">
        <v>2023</v>
      </c>
      <c r="AT21" s="1151">
        <v>382.71554886929357</v>
      </c>
      <c r="AU21" s="1152">
        <v>195.44043369172164</v>
      </c>
      <c r="AV21" s="1152">
        <v>548.21597986526626</v>
      </c>
      <c r="AW21" s="1152">
        <v>1386.0208943134769</v>
      </c>
      <c r="AX21" s="934">
        <v>-996.86408221559964</v>
      </c>
      <c r="AY21" s="934">
        <v>-223.68904124254323</v>
      </c>
      <c r="AZ21" s="934">
        <v>-420.24047508799777</v>
      </c>
      <c r="BA21" s="934">
        <v>14.871601111140421</v>
      </c>
      <c r="BB21" s="934">
        <v>290.19575741903679</v>
      </c>
      <c r="BC21" s="934">
        <v>286.94333181583909</v>
      </c>
      <c r="BD21" s="934">
        <v>-71.513577083613654</v>
      </c>
      <c r="BE21" s="934">
        <v>919.9052484363965</v>
      </c>
      <c r="BF21" s="934">
        <v>601.96440870744982</v>
      </c>
      <c r="BG21" s="934">
        <v>479.0418352841366</v>
      </c>
      <c r="BH21" s="934">
        <v>309.53532104237365</v>
      </c>
      <c r="BI21" s="934">
        <v>644.11931429802212</v>
      </c>
      <c r="BJ21" s="934">
        <v>1834.2696424846406</v>
      </c>
      <c r="BK21" s="934">
        <v>7828.3350816076218</v>
      </c>
      <c r="BL21" s="934">
        <f t="shared" si="1"/>
        <v>-5994.0654391229809</v>
      </c>
      <c r="BM21" s="1207">
        <f t="shared" si="2"/>
        <v>-0.7656884096857085</v>
      </c>
      <c r="BN21" s="1233">
        <v>1983.55752367174</v>
      </c>
      <c r="BO21" s="1233">
        <f>BJ21-BN21</f>
        <v>-149.2878811870994</v>
      </c>
      <c r="BP21" s="1233"/>
      <c r="BQ21" s="934"/>
      <c r="BR21" s="1461" t="s">
        <v>135</v>
      </c>
      <c r="BS21" s="1462"/>
      <c r="BT21" s="113"/>
      <c r="BU21" s="113"/>
      <c r="BV21" s="113"/>
      <c r="BW21" s="113"/>
      <c r="BX21"/>
    </row>
    <row r="22" spans="1:76" ht="31.5" customHeight="1" x14ac:dyDescent="0.35">
      <c r="A22" s="787" t="s">
        <v>127</v>
      </c>
      <c r="B22" s="788">
        <v>688</v>
      </c>
      <c r="C22" s="788">
        <v>1</v>
      </c>
      <c r="D22" s="788">
        <v>-1179</v>
      </c>
      <c r="E22" s="788">
        <v>-45</v>
      </c>
      <c r="F22" s="788">
        <v>892</v>
      </c>
      <c r="G22" s="788">
        <v>-1727</v>
      </c>
      <c r="H22" s="788">
        <v>-1882</v>
      </c>
      <c r="I22" s="788">
        <v>-528</v>
      </c>
      <c r="J22" s="788">
        <v>-1420</v>
      </c>
      <c r="K22" s="788">
        <v>-565</v>
      </c>
      <c r="L22" s="788">
        <v>-561</v>
      </c>
      <c r="M22" s="788">
        <f>M24+M25+M32-M43-M57</f>
        <v>-884</v>
      </c>
      <c r="N22" s="789">
        <f t="shared" ref="N22:AK22" si="14">N24+N25+N32-N43-N58</f>
        <v>328</v>
      </c>
      <c r="O22" s="789">
        <f t="shared" si="14"/>
        <v>-227</v>
      </c>
      <c r="P22" s="789">
        <f t="shared" si="14"/>
        <v>2239</v>
      </c>
      <c r="Q22" s="789">
        <f t="shared" si="14"/>
        <v>540</v>
      </c>
      <c r="R22" s="789">
        <f t="shared" si="14"/>
        <v>1156</v>
      </c>
      <c r="S22" s="789">
        <f t="shared" si="14"/>
        <v>-989</v>
      </c>
      <c r="T22" s="789">
        <f t="shared" si="14"/>
        <v>146</v>
      </c>
      <c r="U22" s="789">
        <f t="shared" si="14"/>
        <v>256</v>
      </c>
      <c r="V22" s="789">
        <f t="shared" si="14"/>
        <v>1800</v>
      </c>
      <c r="W22" s="789">
        <f t="shared" si="14"/>
        <v>987</v>
      </c>
      <c r="X22" s="789">
        <f t="shared" si="14"/>
        <v>740</v>
      </c>
      <c r="Y22" s="789">
        <f t="shared" si="14"/>
        <v>-2745</v>
      </c>
      <c r="Z22" s="789">
        <f t="shared" si="14"/>
        <v>381</v>
      </c>
      <c r="AA22" s="789">
        <f t="shared" si="14"/>
        <v>120</v>
      </c>
      <c r="AB22" s="789">
        <f t="shared" si="14"/>
        <v>-104</v>
      </c>
      <c r="AC22" s="789">
        <f t="shared" si="14"/>
        <v>-692</v>
      </c>
      <c r="AD22" s="789">
        <f t="shared" si="14"/>
        <v>718</v>
      </c>
      <c r="AE22" s="789">
        <f t="shared" si="14"/>
        <v>-788</v>
      </c>
      <c r="AF22" s="789">
        <f t="shared" si="14"/>
        <v>-950</v>
      </c>
      <c r="AG22" s="789">
        <f t="shared" si="14"/>
        <v>72</v>
      </c>
      <c r="AH22" s="789">
        <f t="shared" si="14"/>
        <v>1627</v>
      </c>
      <c r="AI22" s="789">
        <f t="shared" si="14"/>
        <v>-1082</v>
      </c>
      <c r="AJ22" s="789">
        <f t="shared" si="14"/>
        <v>-1010</v>
      </c>
      <c r="AK22" s="859">
        <f t="shared" si="14"/>
        <v>-889</v>
      </c>
      <c r="AL22" s="984">
        <v>2532</v>
      </c>
      <c r="AM22" s="984">
        <v>1712</v>
      </c>
      <c r="AN22" s="984">
        <v>1510</v>
      </c>
      <c r="AO22" s="984">
        <v>1949</v>
      </c>
      <c r="AP22" s="984">
        <v>1821</v>
      </c>
      <c r="AQ22" s="984">
        <v>1952</v>
      </c>
      <c r="AR22" s="984">
        <v>1594</v>
      </c>
      <c r="AS22" s="984">
        <v>-1212</v>
      </c>
      <c r="AT22" s="984">
        <v>1776.967736738846</v>
      </c>
      <c r="AU22" s="984">
        <v>-1819.5802835834768</v>
      </c>
      <c r="AV22" s="984">
        <v>28.337404209275974</v>
      </c>
      <c r="AW22" s="984">
        <v>234.48192739783053</v>
      </c>
      <c r="AX22" s="1099">
        <v>138.68711069055917</v>
      </c>
      <c r="AY22" s="859">
        <v>-20.509476746367682</v>
      </c>
      <c r="AZ22" s="859">
        <v>2364.9616413184913</v>
      </c>
      <c r="BA22" s="859">
        <v>-792.83374445581342</v>
      </c>
      <c r="BB22" s="859">
        <v>-825.90032252445667</v>
      </c>
      <c r="BC22" s="859">
        <v>1335.0890023936913</v>
      </c>
      <c r="BD22" s="859">
        <v>-976.08167412215153</v>
      </c>
      <c r="BE22" s="859">
        <v>-506.75843253765368</v>
      </c>
      <c r="BF22" s="859">
        <v>25.131567789512587</v>
      </c>
      <c r="BG22" s="859">
        <v>-844.54333123029858</v>
      </c>
      <c r="BH22" s="859">
        <v>169.19886147772831</v>
      </c>
      <c r="BI22" s="859">
        <v>1163.1274012296772</v>
      </c>
      <c r="BJ22" s="859">
        <v>1229.568603282918</v>
      </c>
      <c r="BK22" s="859">
        <v>12078.206784762471</v>
      </c>
      <c r="BL22" s="1186">
        <f t="shared" si="1"/>
        <v>-10848.638181479553</v>
      </c>
      <c r="BM22" s="1208">
        <f t="shared" si="2"/>
        <v>-0.8981994078099319</v>
      </c>
      <c r="BN22" s="1234">
        <v>-3275.015436453833</v>
      </c>
      <c r="BO22" s="1234">
        <f t="shared" si="3"/>
        <v>4504.584039736751</v>
      </c>
      <c r="BP22" s="1234"/>
      <c r="BQ22" s="948">
        <f t="shared" ref="BQ22:BQ43" si="15">SUM(Z22:AK22)</f>
        <v>-2597</v>
      </c>
      <c r="BR22" s="877">
        <f>SUM(N22:Y22)</f>
        <v>4231</v>
      </c>
      <c r="BS22" s="795">
        <f>SUM(B22:M22)</f>
        <v>-7210</v>
      </c>
      <c r="BT22" s="113"/>
      <c r="BU22" s="113"/>
      <c r="BV22" s="113"/>
      <c r="BW22" s="113"/>
    </row>
    <row r="23" spans="1:76" ht="17.850000000000001" customHeight="1" x14ac:dyDescent="0.35">
      <c r="A23" s="787" t="s">
        <v>132</v>
      </c>
      <c r="B23" s="789">
        <f t="shared" ref="B23:M23" si="16">B24+B25+B32</f>
        <v>789</v>
      </c>
      <c r="C23" s="789">
        <f t="shared" si="16"/>
        <v>338</v>
      </c>
      <c r="D23" s="789">
        <f t="shared" si="16"/>
        <v>-1044</v>
      </c>
      <c r="E23" s="789">
        <f t="shared" si="16"/>
        <v>-47</v>
      </c>
      <c r="F23" s="789">
        <f t="shared" si="16"/>
        <v>730</v>
      </c>
      <c r="G23" s="789">
        <f t="shared" si="16"/>
        <v>-1882</v>
      </c>
      <c r="H23" s="789">
        <f t="shared" si="16"/>
        <v>-1535</v>
      </c>
      <c r="I23" s="789">
        <f t="shared" si="16"/>
        <v>-466</v>
      </c>
      <c r="J23" s="789">
        <f t="shared" si="16"/>
        <v>-1129</v>
      </c>
      <c r="K23" s="789">
        <f t="shared" si="16"/>
        <v>-274</v>
      </c>
      <c r="L23" s="789">
        <f t="shared" si="16"/>
        <v>-298</v>
      </c>
      <c r="M23" s="789">
        <f t="shared" si="16"/>
        <v>-740</v>
      </c>
      <c r="N23" s="789">
        <f t="shared" ref="N23:AK23" si="17">N24+N25+N32-N43</f>
        <v>2016</v>
      </c>
      <c r="O23" s="789">
        <f t="shared" si="17"/>
        <v>-161</v>
      </c>
      <c r="P23" s="789">
        <f t="shared" si="17"/>
        <v>1798</v>
      </c>
      <c r="Q23" s="789">
        <f t="shared" si="17"/>
        <v>221</v>
      </c>
      <c r="R23" s="789">
        <f t="shared" si="17"/>
        <v>-76</v>
      </c>
      <c r="S23" s="789">
        <f t="shared" si="17"/>
        <v>-626</v>
      </c>
      <c r="T23" s="789">
        <f t="shared" si="17"/>
        <v>367</v>
      </c>
      <c r="U23" s="789">
        <f t="shared" si="17"/>
        <v>1</v>
      </c>
      <c r="V23" s="789">
        <f t="shared" si="17"/>
        <v>279</v>
      </c>
      <c r="W23" s="789">
        <f t="shared" si="17"/>
        <v>865</v>
      </c>
      <c r="X23" s="789">
        <f t="shared" si="17"/>
        <v>649</v>
      </c>
      <c r="Y23" s="789">
        <f t="shared" si="17"/>
        <v>-218</v>
      </c>
      <c r="Z23" s="789">
        <f t="shared" si="17"/>
        <v>714</v>
      </c>
      <c r="AA23" s="789">
        <f t="shared" si="17"/>
        <v>279</v>
      </c>
      <c r="AB23" s="789">
        <f t="shared" si="17"/>
        <v>-360</v>
      </c>
      <c r="AC23" s="789">
        <f t="shared" si="17"/>
        <v>331</v>
      </c>
      <c r="AD23" s="789">
        <f t="shared" si="17"/>
        <v>782</v>
      </c>
      <c r="AE23" s="789">
        <f t="shared" si="17"/>
        <v>0</v>
      </c>
      <c r="AF23" s="789">
        <f t="shared" si="17"/>
        <v>-574</v>
      </c>
      <c r="AG23" s="789">
        <f t="shared" si="17"/>
        <v>-277</v>
      </c>
      <c r="AH23" s="789">
        <f t="shared" si="17"/>
        <v>-318</v>
      </c>
      <c r="AI23" s="789">
        <f t="shared" si="17"/>
        <v>-608</v>
      </c>
      <c r="AJ23" s="789">
        <f t="shared" si="17"/>
        <v>-848</v>
      </c>
      <c r="AK23" s="859">
        <f t="shared" si="17"/>
        <v>-433</v>
      </c>
      <c r="AL23" s="984">
        <v>2032</v>
      </c>
      <c r="AM23" s="984">
        <v>1233</v>
      </c>
      <c r="AN23" s="984">
        <v>3415</v>
      </c>
      <c r="AO23" s="984">
        <v>2824</v>
      </c>
      <c r="AP23" s="984">
        <v>2778</v>
      </c>
      <c r="AQ23" s="984">
        <v>3847</v>
      </c>
      <c r="AR23" s="984">
        <v>1384</v>
      </c>
      <c r="AS23" s="984">
        <v>345</v>
      </c>
      <c r="AT23" s="984">
        <v>1620.4059388729659</v>
      </c>
      <c r="AU23" s="984">
        <v>1370.1112703506431</v>
      </c>
      <c r="AV23" s="984">
        <v>1483.361125841679</v>
      </c>
      <c r="AW23" s="984">
        <v>1921.8351645978305</v>
      </c>
      <c r="AX23" s="1099">
        <v>1910.4026106905594</v>
      </c>
      <c r="AY23" s="1099">
        <v>1396.0826106877523</v>
      </c>
      <c r="AZ23" s="1099">
        <v>3392.169343452611</v>
      </c>
      <c r="BA23" s="1099">
        <v>824.97427948921984</v>
      </c>
      <c r="BB23" s="1099">
        <v>742.26016142057665</v>
      </c>
      <c r="BC23" s="1099">
        <v>2934.8838063936914</v>
      </c>
      <c r="BD23" s="1099">
        <v>628.30311381777528</v>
      </c>
      <c r="BE23" s="1099">
        <v>890.42635540227332</v>
      </c>
      <c r="BF23" s="1099">
        <v>881.42726992363248</v>
      </c>
      <c r="BG23" s="1099">
        <v>890.40722270382128</v>
      </c>
      <c r="BH23" s="1099">
        <v>1650.1778611924196</v>
      </c>
      <c r="BI23" s="1099">
        <v>3106.139901229677</v>
      </c>
      <c r="BJ23" s="859">
        <v>19247.654536404007</v>
      </c>
      <c r="BK23" s="859">
        <v>24253.713499663118</v>
      </c>
      <c r="BL23" s="1099">
        <f t="shared" si="1"/>
        <v>-5006.0589632591109</v>
      </c>
      <c r="BM23" s="1209">
        <f t="shared" si="2"/>
        <v>-0.20640381372232522</v>
      </c>
      <c r="BN23" s="1235">
        <v>14929.154630000592</v>
      </c>
      <c r="BO23" s="1235">
        <f t="shared" si="3"/>
        <v>4318.4999064034146</v>
      </c>
      <c r="BP23" s="1235"/>
      <c r="BQ23" s="923">
        <f t="shared" si="15"/>
        <v>-1312</v>
      </c>
      <c r="BR23" s="877">
        <f>SUM(N23:Y23)</f>
        <v>5115</v>
      </c>
      <c r="BS23" s="795">
        <f>SUM(B23:M23)</f>
        <v>-5558</v>
      </c>
      <c r="BT23" s="343"/>
      <c r="BU23" s="113"/>
      <c r="BV23" s="113"/>
      <c r="BW23" s="113"/>
    </row>
    <row r="24" spans="1:76" s="851" customFormat="1" ht="17.850000000000001" customHeight="1" x14ac:dyDescent="0.35">
      <c r="A24" s="846" t="s">
        <v>86</v>
      </c>
      <c r="B24" s="847">
        <v>-82</v>
      </c>
      <c r="C24" s="847">
        <v>-127</v>
      </c>
      <c r="D24" s="847">
        <v>-134</v>
      </c>
      <c r="E24" s="847">
        <v>-273</v>
      </c>
      <c r="F24" s="847">
        <v>-81</v>
      </c>
      <c r="G24" s="847">
        <v>-187</v>
      </c>
      <c r="H24" s="847">
        <v>-194</v>
      </c>
      <c r="I24" s="847">
        <v>-201</v>
      </c>
      <c r="J24" s="847">
        <v>-166</v>
      </c>
      <c r="K24" s="847">
        <v>-232</v>
      </c>
      <c r="L24" s="847">
        <v>-349</v>
      </c>
      <c r="M24" s="847">
        <v>64</v>
      </c>
      <c r="N24" s="848">
        <v>466</v>
      </c>
      <c r="O24" s="848">
        <v>382</v>
      </c>
      <c r="P24" s="848">
        <v>712</v>
      </c>
      <c r="Q24" s="848">
        <v>-316</v>
      </c>
      <c r="R24" s="848">
        <v>-445</v>
      </c>
      <c r="S24" s="848">
        <v>-491</v>
      </c>
      <c r="T24" s="848">
        <v>-59</v>
      </c>
      <c r="U24" s="848">
        <v>54</v>
      </c>
      <c r="V24" s="848">
        <v>102</v>
      </c>
      <c r="W24" s="848">
        <v>144</v>
      </c>
      <c r="X24" s="848">
        <v>134</v>
      </c>
      <c r="Y24" s="848">
        <v>267</v>
      </c>
      <c r="Z24" s="849">
        <v>-634</v>
      </c>
      <c r="AA24" s="849">
        <v>-153</v>
      </c>
      <c r="AB24" s="849">
        <v>-730</v>
      </c>
      <c r="AC24" s="849">
        <v>-626</v>
      </c>
      <c r="AD24" s="849">
        <v>-240</v>
      </c>
      <c r="AE24" s="849">
        <v>-327</v>
      </c>
      <c r="AF24" s="849">
        <v>-811</v>
      </c>
      <c r="AG24" s="849">
        <v>-892</v>
      </c>
      <c r="AH24" s="849">
        <v>-805</v>
      </c>
      <c r="AI24" s="849">
        <v>-579</v>
      </c>
      <c r="AJ24" s="849">
        <v>-360</v>
      </c>
      <c r="AK24" s="1029">
        <v>-574</v>
      </c>
      <c r="AL24" s="1007">
        <v>-166</v>
      </c>
      <c r="AM24" s="951">
        <v>719</v>
      </c>
      <c r="AN24" s="951">
        <v>24</v>
      </c>
      <c r="AO24" s="951">
        <v>-32</v>
      </c>
      <c r="AP24" s="951">
        <v>-80</v>
      </c>
      <c r="AQ24" s="951">
        <v>-174</v>
      </c>
      <c r="AR24" s="951">
        <v>-222</v>
      </c>
      <c r="AS24" s="951">
        <v>-116</v>
      </c>
      <c r="AT24" s="951">
        <v>-112.0644104842782</v>
      </c>
      <c r="AU24" s="951">
        <v>-97.442116777680383</v>
      </c>
      <c r="AV24" s="1114">
        <v>-35.859255653965</v>
      </c>
      <c r="AW24" s="951">
        <v>-23.398135443534901</v>
      </c>
      <c r="AX24" s="951">
        <v>-41.153333333333251</v>
      </c>
      <c r="AY24" s="951">
        <v>-54.542400000000001</v>
      </c>
      <c r="AZ24" s="951">
        <v>-69.845333333333201</v>
      </c>
      <c r="BA24" s="951">
        <v>-81.4733333333335</v>
      </c>
      <c r="BB24" s="951">
        <v>-156.28</v>
      </c>
      <c r="BC24" s="951">
        <v>-185.61333333333334</v>
      </c>
      <c r="BD24" s="951">
        <v>-191.28</v>
      </c>
      <c r="BE24" s="951">
        <v>-183.82037777300189</v>
      </c>
      <c r="BF24" s="951">
        <v>-178.54531031353727</v>
      </c>
      <c r="BG24" s="951">
        <v>-172.2378575351625</v>
      </c>
      <c r="BH24" s="951">
        <v>-193.338127373021</v>
      </c>
      <c r="BI24" s="951">
        <v>-204.27294123265756</v>
      </c>
      <c r="BJ24" s="951">
        <v>-1712.4023475607135</v>
      </c>
      <c r="BK24" s="951">
        <v>-315.7639183594585</v>
      </c>
      <c r="BL24" s="1187">
        <f t="shared" si="1"/>
        <v>-1396.6384292012549</v>
      </c>
      <c r="BM24" s="1210">
        <f t="shared" si="2"/>
        <v>4.4230462950214386</v>
      </c>
      <c r="BN24" s="1236">
        <v>-2132.841280894047</v>
      </c>
      <c r="BO24" s="1236">
        <f t="shared" si="3"/>
        <v>420.43893333333358</v>
      </c>
      <c r="BP24" s="1236"/>
      <c r="BQ24" s="927">
        <f t="shared" si="15"/>
        <v>-6731</v>
      </c>
      <c r="BR24" s="884">
        <f>SUM(N24:Y24)</f>
        <v>950</v>
      </c>
      <c r="BS24" s="847">
        <f>SUM(B24:M24)</f>
        <v>-1962</v>
      </c>
      <c r="BT24" s="850"/>
    </row>
    <row r="25" spans="1:76" s="851" customFormat="1" ht="17.850000000000001" customHeight="1" x14ac:dyDescent="0.35">
      <c r="A25" s="846" t="s">
        <v>131</v>
      </c>
      <c r="B25" s="847">
        <v>-202</v>
      </c>
      <c r="C25" s="847">
        <v>-61</v>
      </c>
      <c r="D25" s="847">
        <v>75</v>
      </c>
      <c r="E25" s="847">
        <v>-190</v>
      </c>
      <c r="F25" s="847">
        <v>773</v>
      </c>
      <c r="G25" s="847">
        <v>-1734</v>
      </c>
      <c r="H25" s="847">
        <v>-2596</v>
      </c>
      <c r="I25" s="847">
        <v>313</v>
      </c>
      <c r="J25" s="847">
        <v>-111</v>
      </c>
      <c r="K25" s="847">
        <v>74</v>
      </c>
      <c r="L25" s="847">
        <v>-877</v>
      </c>
      <c r="M25" s="847">
        <v>-598</v>
      </c>
      <c r="N25" s="849">
        <f t="shared" ref="N25:Y25" si="18">N26-N27</f>
        <v>48</v>
      </c>
      <c r="O25" s="849">
        <f t="shared" si="18"/>
        <v>-518</v>
      </c>
      <c r="P25" s="849">
        <f t="shared" si="18"/>
        <v>269</v>
      </c>
      <c r="Q25" s="849">
        <f t="shared" si="18"/>
        <v>-17</v>
      </c>
      <c r="R25" s="849">
        <f t="shared" si="18"/>
        <v>-36</v>
      </c>
      <c r="S25" s="849">
        <f t="shared" si="18"/>
        <v>168</v>
      </c>
      <c r="T25" s="849">
        <f t="shared" si="18"/>
        <v>-39</v>
      </c>
      <c r="U25" s="849">
        <f t="shared" si="18"/>
        <v>-4</v>
      </c>
      <c r="V25" s="849">
        <f t="shared" si="18"/>
        <v>103</v>
      </c>
      <c r="W25" s="849">
        <f t="shared" si="18"/>
        <v>104</v>
      </c>
      <c r="X25" s="849">
        <f t="shared" si="18"/>
        <v>323</v>
      </c>
      <c r="Y25" s="849">
        <f t="shared" si="18"/>
        <v>117</v>
      </c>
      <c r="Z25" s="849">
        <f>Z26-Z27</f>
        <v>129</v>
      </c>
      <c r="AA25" s="849">
        <f t="shared" ref="AA25:AK25" si="19">AA26-AA27</f>
        <v>166</v>
      </c>
      <c r="AB25" s="849">
        <f t="shared" si="19"/>
        <v>53</v>
      </c>
      <c r="AC25" s="849">
        <f t="shared" si="19"/>
        <v>4</v>
      </c>
      <c r="AD25" s="849">
        <f t="shared" si="19"/>
        <v>-27</v>
      </c>
      <c r="AE25" s="849">
        <f t="shared" si="19"/>
        <v>-693</v>
      </c>
      <c r="AF25" s="849">
        <f t="shared" si="19"/>
        <v>-260</v>
      </c>
      <c r="AG25" s="849">
        <f t="shared" si="19"/>
        <v>43</v>
      </c>
      <c r="AH25" s="849">
        <f t="shared" si="19"/>
        <v>154</v>
      </c>
      <c r="AI25" s="849">
        <f t="shared" si="19"/>
        <v>50</v>
      </c>
      <c r="AJ25" s="849">
        <f t="shared" si="19"/>
        <v>-774</v>
      </c>
      <c r="AK25" s="1029">
        <f t="shared" si="19"/>
        <v>32</v>
      </c>
      <c r="AL25" s="1100">
        <v>110</v>
      </c>
      <c r="AM25" s="866">
        <v>76</v>
      </c>
      <c r="AN25" s="866">
        <v>35</v>
      </c>
      <c r="AO25" s="866">
        <v>43</v>
      </c>
      <c r="AP25" s="866">
        <v>50</v>
      </c>
      <c r="AQ25" s="866">
        <v>7</v>
      </c>
      <c r="AR25" s="866">
        <v>-37</v>
      </c>
      <c r="AS25" s="866">
        <v>42</v>
      </c>
      <c r="AT25" s="866">
        <v>109.96428571428572</v>
      </c>
      <c r="AU25" s="866">
        <v>95.714285714285722</v>
      </c>
      <c r="AV25" s="866">
        <v>112.96428571428572</v>
      </c>
      <c r="AW25" s="1118">
        <v>23.714285714285715</v>
      </c>
      <c r="AX25" s="1118">
        <v>94</v>
      </c>
      <c r="AY25" s="1118">
        <v>81</v>
      </c>
      <c r="AZ25" s="1118">
        <v>83.666666666666657</v>
      </c>
      <c r="BA25" s="1118">
        <v>15.000000000000004</v>
      </c>
      <c r="BB25" s="1118">
        <v>-10.666666666666666</v>
      </c>
      <c r="BC25" s="1118">
        <v>68</v>
      </c>
      <c r="BD25" s="1118">
        <v>29.333333333333336</v>
      </c>
      <c r="BE25" s="1118">
        <v>28.154761904761905</v>
      </c>
      <c r="BF25" s="1118">
        <v>82.988095238095241</v>
      </c>
      <c r="BG25" s="1118">
        <v>68.904761904761898</v>
      </c>
      <c r="BH25" s="1118">
        <v>156.65476190476193</v>
      </c>
      <c r="BI25" s="1118">
        <v>71.238095238095241</v>
      </c>
      <c r="BJ25" s="951">
        <v>768.2738095238094</v>
      </c>
      <c r="BK25" s="951">
        <v>668.35714285714278</v>
      </c>
      <c r="BL25" s="1187">
        <f t="shared" si="1"/>
        <v>99.916666666666629</v>
      </c>
      <c r="BM25" s="1210">
        <f t="shared" si="2"/>
        <v>0.1494959210573189</v>
      </c>
      <c r="BN25" s="1236">
        <v>768.2738095238094</v>
      </c>
      <c r="BO25" s="1236">
        <f t="shared" si="3"/>
        <v>0</v>
      </c>
      <c r="BP25" s="1236"/>
      <c r="BQ25" s="928">
        <f t="shared" si="15"/>
        <v>-1123</v>
      </c>
      <c r="BR25" s="884">
        <f>SUM(N25:Y25)</f>
        <v>518</v>
      </c>
      <c r="BS25" s="847">
        <f>SUM(B25:M25)</f>
        <v>-5134</v>
      </c>
    </row>
    <row r="26" spans="1:76" s="832" customFormat="1" ht="17.850000000000001" customHeight="1" x14ac:dyDescent="0.35">
      <c r="A26" s="833" t="s">
        <v>88</v>
      </c>
      <c r="B26" s="799"/>
      <c r="C26" s="799"/>
      <c r="D26" s="799"/>
      <c r="E26" s="799"/>
      <c r="F26" s="799"/>
      <c r="G26" s="799"/>
      <c r="H26" s="799"/>
      <c r="I26" s="799"/>
      <c r="J26" s="799"/>
      <c r="K26" s="799"/>
      <c r="L26" s="799"/>
      <c r="M26" s="799"/>
      <c r="N26" s="798">
        <v>22</v>
      </c>
      <c r="O26" s="798">
        <v>-72</v>
      </c>
      <c r="P26" s="798">
        <v>-64</v>
      </c>
      <c r="Q26" s="798">
        <v>-66</v>
      </c>
      <c r="R26" s="798">
        <v>-43</v>
      </c>
      <c r="S26" s="798">
        <v>182</v>
      </c>
      <c r="T26" s="798">
        <v>8</v>
      </c>
      <c r="U26" s="798">
        <v>10</v>
      </c>
      <c r="V26" s="798">
        <v>12</v>
      </c>
      <c r="W26" s="798">
        <v>5</v>
      </c>
      <c r="X26" s="798">
        <v>22</v>
      </c>
      <c r="Y26" s="798">
        <v>136</v>
      </c>
      <c r="Z26" s="798">
        <v>-63</v>
      </c>
      <c r="AA26" s="798">
        <v>26</v>
      </c>
      <c r="AB26" s="798">
        <v>-73</v>
      </c>
      <c r="AC26" s="798">
        <v>-35</v>
      </c>
      <c r="AD26" s="798">
        <v>-45</v>
      </c>
      <c r="AE26" s="798">
        <v>7</v>
      </c>
      <c r="AF26" s="798">
        <v>5</v>
      </c>
      <c r="AG26" s="798">
        <v>14</v>
      </c>
      <c r="AH26" s="798">
        <v>12</v>
      </c>
      <c r="AI26" s="798">
        <v>10</v>
      </c>
      <c r="AJ26" s="798">
        <v>16</v>
      </c>
      <c r="AK26" s="1030">
        <v>56</v>
      </c>
      <c r="AL26" s="1004">
        <v>44</v>
      </c>
      <c r="AM26" s="933">
        <v>39</v>
      </c>
      <c r="AN26" s="933">
        <v>-17</v>
      </c>
      <c r="AO26" s="933">
        <v>16</v>
      </c>
      <c r="AP26" s="933">
        <v>56</v>
      </c>
      <c r="AQ26" s="933">
        <v>14</v>
      </c>
      <c r="AR26" s="933">
        <v>13</v>
      </c>
      <c r="AS26" s="933">
        <v>40</v>
      </c>
      <c r="AT26" s="933">
        <v>23.714285714285715</v>
      </c>
      <c r="AU26" s="933">
        <v>23.714285714285715</v>
      </c>
      <c r="AV26" s="1115">
        <v>23.714285714285715</v>
      </c>
      <c r="AW26" s="933">
        <v>23.714285714285715</v>
      </c>
      <c r="AX26" s="933">
        <v>1</v>
      </c>
      <c r="AY26" s="933">
        <v>-2.3333333333333335</v>
      </c>
      <c r="AZ26" s="933">
        <v>-51.333333333333336</v>
      </c>
      <c r="BA26" s="933">
        <v>-28.333333333333332</v>
      </c>
      <c r="BB26" s="933">
        <v>-10.666666666666666</v>
      </c>
      <c r="BC26" s="933">
        <v>68</v>
      </c>
      <c r="BD26" s="933">
        <v>8.6666666666666661</v>
      </c>
      <c r="BE26" s="933">
        <v>15.904761904761905</v>
      </c>
      <c r="BF26" s="933">
        <v>15.904761904761905</v>
      </c>
      <c r="BG26" s="933">
        <v>12.904761904761905</v>
      </c>
      <c r="BH26" s="933">
        <v>20.571428571428573</v>
      </c>
      <c r="BI26" s="933">
        <v>71.904761904761912</v>
      </c>
      <c r="BJ26" s="933">
        <v>122.19047619047619</v>
      </c>
      <c r="BK26" s="951">
        <v>299.85714285714289</v>
      </c>
      <c r="BL26" s="1187">
        <f t="shared" si="1"/>
        <v>-177.66666666666669</v>
      </c>
      <c r="BM26" s="1210">
        <f t="shared" si="2"/>
        <v>-0.5925043671589646</v>
      </c>
      <c r="BN26" s="1236">
        <v>122.19047619047619</v>
      </c>
      <c r="BO26" s="1236">
        <f t="shared" si="3"/>
        <v>0</v>
      </c>
      <c r="BP26" s="1236"/>
      <c r="BQ26" s="919">
        <f t="shared" si="15"/>
        <v>-70</v>
      </c>
      <c r="BR26" s="885"/>
      <c r="BS26" s="834"/>
    </row>
    <row r="27" spans="1:76" s="832" customFormat="1" ht="17.850000000000001" customHeight="1" x14ac:dyDescent="0.35">
      <c r="A27" s="833" t="s">
        <v>89</v>
      </c>
      <c r="B27" s="799">
        <v>201</v>
      </c>
      <c r="C27" s="799">
        <v>68</v>
      </c>
      <c r="D27" s="799">
        <v>-59</v>
      </c>
      <c r="E27" s="799">
        <v>224</v>
      </c>
      <c r="F27" s="799">
        <v>-767</v>
      </c>
      <c r="G27" s="799">
        <v>1727</v>
      </c>
      <c r="H27" s="799">
        <v>2721</v>
      </c>
      <c r="I27" s="799">
        <v>36</v>
      </c>
      <c r="J27" s="799">
        <v>11</v>
      </c>
      <c r="K27" s="799">
        <v>88</v>
      </c>
      <c r="L27" s="799">
        <v>782</v>
      </c>
      <c r="M27" s="799">
        <v>513</v>
      </c>
      <c r="N27" s="798">
        <f>N28+N29</f>
        <v>-26</v>
      </c>
      <c r="O27" s="798">
        <f t="shared" ref="O27:U27" si="20">O28+O29</f>
        <v>446</v>
      </c>
      <c r="P27" s="798">
        <f t="shared" si="20"/>
        <v>-333</v>
      </c>
      <c r="Q27" s="798">
        <f t="shared" si="20"/>
        <v>-49</v>
      </c>
      <c r="R27" s="798">
        <f t="shared" si="20"/>
        <v>-7</v>
      </c>
      <c r="S27" s="798">
        <f t="shared" si="20"/>
        <v>14</v>
      </c>
      <c r="T27" s="798">
        <f t="shared" si="20"/>
        <v>47</v>
      </c>
      <c r="U27" s="798">
        <f t="shared" si="20"/>
        <v>14</v>
      </c>
      <c r="V27" s="798">
        <f>V28+V29</f>
        <v>-91</v>
      </c>
      <c r="W27" s="798">
        <f t="shared" ref="W27:AJ27" si="21">W28+W29</f>
        <v>-99</v>
      </c>
      <c r="X27" s="798">
        <f>X28+X29</f>
        <v>-301</v>
      </c>
      <c r="Y27" s="798">
        <f t="shared" si="21"/>
        <v>19</v>
      </c>
      <c r="Z27" s="867">
        <f t="shared" si="21"/>
        <v>-192</v>
      </c>
      <c r="AA27" s="867">
        <f t="shared" si="21"/>
        <v>-140</v>
      </c>
      <c r="AB27" s="867">
        <f t="shared" si="21"/>
        <v>-126</v>
      </c>
      <c r="AC27" s="867">
        <f t="shared" si="21"/>
        <v>-39</v>
      </c>
      <c r="AD27" s="867">
        <f t="shared" si="21"/>
        <v>-18</v>
      </c>
      <c r="AE27" s="867">
        <f t="shared" si="21"/>
        <v>700</v>
      </c>
      <c r="AF27" s="867">
        <f t="shared" si="21"/>
        <v>265</v>
      </c>
      <c r="AG27" s="867">
        <f t="shared" si="21"/>
        <v>-29</v>
      </c>
      <c r="AH27" s="867">
        <f t="shared" si="21"/>
        <v>-142</v>
      </c>
      <c r="AI27" s="867">
        <f t="shared" si="21"/>
        <v>-40</v>
      </c>
      <c r="AJ27" s="867">
        <f t="shared" si="21"/>
        <v>790</v>
      </c>
      <c r="AK27" s="1030">
        <f>AK28+AK29</f>
        <v>24</v>
      </c>
      <c r="AL27" s="1008">
        <v>-66</v>
      </c>
      <c r="AM27" s="867">
        <v>-37</v>
      </c>
      <c r="AN27" s="867">
        <v>-52</v>
      </c>
      <c r="AO27" s="867">
        <v>-27</v>
      </c>
      <c r="AP27" s="867">
        <v>6</v>
      </c>
      <c r="AQ27" s="867">
        <v>7</v>
      </c>
      <c r="AR27" s="867">
        <v>50</v>
      </c>
      <c r="AS27" s="867">
        <v>-2</v>
      </c>
      <c r="AT27" s="867">
        <v>-86.25</v>
      </c>
      <c r="AU27" s="867">
        <v>-72</v>
      </c>
      <c r="AV27" s="867">
        <v>-89.25</v>
      </c>
      <c r="AW27" s="867">
        <v>0</v>
      </c>
      <c r="AX27" s="867">
        <v>-93</v>
      </c>
      <c r="AY27" s="867">
        <v>-83.333333333333329</v>
      </c>
      <c r="AZ27" s="867">
        <v>-135</v>
      </c>
      <c r="BA27" s="867">
        <v>-43.333333333333336</v>
      </c>
      <c r="BB27" s="867">
        <v>0</v>
      </c>
      <c r="BC27" s="867">
        <v>0</v>
      </c>
      <c r="BD27" s="867">
        <v>-20.666666666666668</v>
      </c>
      <c r="BE27" s="867">
        <v>-12.25</v>
      </c>
      <c r="BF27" s="867">
        <v>-67.083333333333329</v>
      </c>
      <c r="BG27" s="867">
        <v>-56</v>
      </c>
      <c r="BH27" s="867">
        <v>-136.08333333333334</v>
      </c>
      <c r="BI27" s="867">
        <v>0.66666666666666663</v>
      </c>
      <c r="BJ27" s="933">
        <v>-646.08333333333337</v>
      </c>
      <c r="BK27" s="951">
        <v>-368.5</v>
      </c>
      <c r="BL27" s="1187">
        <f t="shared" si="1"/>
        <v>-277.58333333333337</v>
      </c>
      <c r="BM27" s="1210">
        <f t="shared" si="2"/>
        <v>0.75327905924920857</v>
      </c>
      <c r="BN27" s="1236">
        <v>-646.08333333333337</v>
      </c>
      <c r="BO27" s="1236">
        <f t="shared" si="3"/>
        <v>0</v>
      </c>
      <c r="BP27" s="1236"/>
      <c r="BQ27" s="919">
        <f t="shared" si="15"/>
        <v>1053</v>
      </c>
      <c r="BR27" s="885"/>
      <c r="BS27" s="834"/>
    </row>
    <row r="28" spans="1:76" s="840" customFormat="1" ht="23.1" customHeight="1" x14ac:dyDescent="0.35">
      <c r="A28" s="843" t="s">
        <v>90</v>
      </c>
      <c r="B28" s="837">
        <v>-5</v>
      </c>
      <c r="C28" s="837">
        <v>-6</v>
      </c>
      <c r="D28" s="837">
        <v>10</v>
      </c>
      <c r="E28" s="837">
        <v>1</v>
      </c>
      <c r="F28" s="837">
        <v>4</v>
      </c>
      <c r="G28" s="837">
        <v>21</v>
      </c>
      <c r="H28" s="837">
        <v>7</v>
      </c>
      <c r="I28" s="837">
        <v>4</v>
      </c>
      <c r="J28" s="837">
        <v>-2</v>
      </c>
      <c r="K28" s="837">
        <v>46</v>
      </c>
      <c r="L28" s="837">
        <v>-16</v>
      </c>
      <c r="M28" s="837">
        <v>-15</v>
      </c>
      <c r="N28" s="839">
        <v>9</v>
      </c>
      <c r="O28" s="839">
        <v>1</v>
      </c>
      <c r="P28" s="839">
        <v>14</v>
      </c>
      <c r="Q28" s="839">
        <v>6</v>
      </c>
      <c r="R28" s="839">
        <v>5</v>
      </c>
      <c r="S28" s="839">
        <v>6</v>
      </c>
      <c r="T28" s="839">
        <v>66</v>
      </c>
      <c r="U28" s="839">
        <v>17</v>
      </c>
      <c r="V28" s="839">
        <v>40</v>
      </c>
      <c r="W28" s="839">
        <v>-29</v>
      </c>
      <c r="X28" s="839">
        <v>30</v>
      </c>
      <c r="Y28" s="839">
        <v>8</v>
      </c>
      <c r="Z28" s="839">
        <v>0</v>
      </c>
      <c r="AA28" s="839">
        <v>8</v>
      </c>
      <c r="AB28" s="839">
        <v>1</v>
      </c>
      <c r="AC28" s="839">
        <v>-3</v>
      </c>
      <c r="AD28" s="839">
        <v>0</v>
      </c>
      <c r="AE28" s="839">
        <v>-8</v>
      </c>
      <c r="AF28" s="839">
        <v>-13</v>
      </c>
      <c r="AG28" s="839">
        <v>-26</v>
      </c>
      <c r="AH28" s="839">
        <v>-14</v>
      </c>
      <c r="AI28" s="839">
        <v>-15</v>
      </c>
      <c r="AJ28" s="839">
        <v>-21</v>
      </c>
      <c r="AK28" s="1031">
        <v>18</v>
      </c>
      <c r="AL28" s="1123">
        <v>-6</v>
      </c>
      <c r="AM28" s="937">
        <v>-5</v>
      </c>
      <c r="AN28" s="937">
        <v>0</v>
      </c>
      <c r="AO28" s="937">
        <v>0</v>
      </c>
      <c r="AP28" s="937">
        <v>0</v>
      </c>
      <c r="AQ28" s="937">
        <v>0</v>
      </c>
      <c r="AR28" s="937">
        <v>0</v>
      </c>
      <c r="AS28" s="937">
        <v>0</v>
      </c>
      <c r="AT28" s="937">
        <v>0</v>
      </c>
      <c r="AU28" s="937">
        <v>0</v>
      </c>
      <c r="AV28" s="1124">
        <v>0</v>
      </c>
      <c r="AW28" s="937">
        <v>0</v>
      </c>
      <c r="AX28" s="937">
        <v>0</v>
      </c>
      <c r="AY28" s="937">
        <v>0</v>
      </c>
      <c r="AZ28" s="937">
        <v>0</v>
      </c>
      <c r="BA28" s="937">
        <v>0</v>
      </c>
      <c r="BB28" s="937">
        <v>0</v>
      </c>
      <c r="BC28" s="937">
        <v>0</v>
      </c>
      <c r="BD28" s="937">
        <v>0</v>
      </c>
      <c r="BE28" s="937">
        <v>0</v>
      </c>
      <c r="BF28" s="937">
        <v>0</v>
      </c>
      <c r="BG28" s="937">
        <v>0</v>
      </c>
      <c r="BH28" s="937">
        <v>0</v>
      </c>
      <c r="BI28" s="937">
        <v>0</v>
      </c>
      <c r="BJ28" s="933">
        <v>0</v>
      </c>
      <c r="BK28" s="951">
        <v>-11</v>
      </c>
      <c r="BL28" s="1187">
        <f t="shared" si="1"/>
        <v>11</v>
      </c>
      <c r="BM28" s="1210">
        <f t="shared" si="2"/>
        <v>-1</v>
      </c>
      <c r="BN28" s="1236">
        <v>0</v>
      </c>
      <c r="BO28" s="1236">
        <f t="shared" si="3"/>
        <v>0</v>
      </c>
      <c r="BP28" s="1236"/>
      <c r="BQ28" s="926">
        <f t="shared" si="15"/>
        <v>-73</v>
      </c>
      <c r="BR28" s="886"/>
      <c r="BS28" s="844"/>
    </row>
    <row r="29" spans="1:76" s="840" customFormat="1" ht="23.45" customHeight="1" x14ac:dyDescent="0.35">
      <c r="A29" s="843" t="s">
        <v>91</v>
      </c>
      <c r="B29" s="837">
        <v>206</v>
      </c>
      <c r="C29" s="837">
        <v>74</v>
      </c>
      <c r="D29" s="837">
        <v>-69</v>
      </c>
      <c r="E29" s="837">
        <v>223</v>
      </c>
      <c r="F29" s="837">
        <v>-771</v>
      </c>
      <c r="G29" s="837">
        <v>1706</v>
      </c>
      <c r="H29" s="837">
        <v>2714</v>
      </c>
      <c r="I29" s="837">
        <v>32</v>
      </c>
      <c r="J29" s="837">
        <v>13</v>
      </c>
      <c r="K29" s="837">
        <v>42</v>
      </c>
      <c r="L29" s="837">
        <v>798</v>
      </c>
      <c r="M29" s="837">
        <v>528</v>
      </c>
      <c r="N29" s="839">
        <f>N30+N31</f>
        <v>-35</v>
      </c>
      <c r="O29" s="839">
        <f t="shared" ref="O29:X29" si="22">O30+O31</f>
        <v>445</v>
      </c>
      <c r="P29" s="839">
        <f t="shared" si="22"/>
        <v>-347</v>
      </c>
      <c r="Q29" s="839">
        <f t="shared" si="22"/>
        <v>-55</v>
      </c>
      <c r="R29" s="839">
        <f t="shared" si="22"/>
        <v>-12</v>
      </c>
      <c r="S29" s="839">
        <f t="shared" si="22"/>
        <v>8</v>
      </c>
      <c r="T29" s="839">
        <f t="shared" si="22"/>
        <v>-19</v>
      </c>
      <c r="U29" s="839">
        <f t="shared" si="22"/>
        <v>-3</v>
      </c>
      <c r="V29" s="839">
        <f>V30+V31</f>
        <v>-131</v>
      </c>
      <c r="W29" s="839">
        <f t="shared" si="22"/>
        <v>-70</v>
      </c>
      <c r="X29" s="839">
        <f t="shared" si="22"/>
        <v>-331</v>
      </c>
      <c r="Y29" s="839">
        <f>Y30+Y31</f>
        <v>11</v>
      </c>
      <c r="Z29" s="868">
        <f t="shared" ref="Z29:AJ29" si="23">Z30+Z31</f>
        <v>-192</v>
      </c>
      <c r="AA29" s="868">
        <f t="shared" si="23"/>
        <v>-148</v>
      </c>
      <c r="AB29" s="868">
        <f t="shared" si="23"/>
        <v>-127</v>
      </c>
      <c r="AC29" s="868">
        <f t="shared" si="23"/>
        <v>-36</v>
      </c>
      <c r="AD29" s="868">
        <f t="shared" si="23"/>
        <v>-18</v>
      </c>
      <c r="AE29" s="868">
        <f t="shared" si="23"/>
        <v>708</v>
      </c>
      <c r="AF29" s="868">
        <f t="shared" si="23"/>
        <v>278</v>
      </c>
      <c r="AG29" s="868">
        <f t="shared" si="23"/>
        <v>-3</v>
      </c>
      <c r="AH29" s="868">
        <f t="shared" si="23"/>
        <v>-128</v>
      </c>
      <c r="AI29" s="868">
        <f t="shared" si="23"/>
        <v>-25</v>
      </c>
      <c r="AJ29" s="868">
        <f t="shared" si="23"/>
        <v>811</v>
      </c>
      <c r="AK29" s="1031">
        <f>AK30+AK31</f>
        <v>6</v>
      </c>
      <c r="AL29" s="868">
        <v>-60</v>
      </c>
      <c r="AM29" s="868">
        <v>-32</v>
      </c>
      <c r="AN29" s="868">
        <v>-52</v>
      </c>
      <c r="AO29" s="868">
        <v>-27</v>
      </c>
      <c r="AP29" s="868">
        <v>6</v>
      </c>
      <c r="AQ29" s="868">
        <v>7</v>
      </c>
      <c r="AR29" s="868">
        <v>50</v>
      </c>
      <c r="AS29" s="868">
        <v>-2</v>
      </c>
      <c r="AT29" s="868">
        <v>-86.25</v>
      </c>
      <c r="AU29" s="868">
        <v>-72</v>
      </c>
      <c r="AV29" s="868">
        <v>-89.25</v>
      </c>
      <c r="AW29" s="1119">
        <v>0</v>
      </c>
      <c r="AX29" s="1119">
        <v>-93</v>
      </c>
      <c r="AY29" s="1119">
        <v>-83.333333333333329</v>
      </c>
      <c r="AZ29" s="1119">
        <v>-135</v>
      </c>
      <c r="BA29" s="1119">
        <v>-43.333333333333336</v>
      </c>
      <c r="BB29" s="1119">
        <v>0</v>
      </c>
      <c r="BC29" s="1119">
        <v>0</v>
      </c>
      <c r="BD29" s="1119">
        <v>-20.666666666666668</v>
      </c>
      <c r="BE29" s="1119">
        <v>-12.25</v>
      </c>
      <c r="BF29" s="1119">
        <v>-67.083333333333329</v>
      </c>
      <c r="BG29" s="1119">
        <v>-56</v>
      </c>
      <c r="BH29" s="1119">
        <v>-136.08333333333334</v>
      </c>
      <c r="BI29" s="1119">
        <v>0.66666666666666663</v>
      </c>
      <c r="BJ29" s="933">
        <v>-646.08333333333337</v>
      </c>
      <c r="BK29" s="951">
        <v>-357.5</v>
      </c>
      <c r="BL29" s="1187">
        <f t="shared" si="1"/>
        <v>-288.58333333333337</v>
      </c>
      <c r="BM29" s="1210">
        <f t="shared" si="2"/>
        <v>0.80722610722610733</v>
      </c>
      <c r="BN29" s="1236">
        <v>-646.08333333333337</v>
      </c>
      <c r="BO29" s="1236">
        <f t="shared" si="3"/>
        <v>0</v>
      </c>
      <c r="BP29" s="1236"/>
      <c r="BQ29" s="926">
        <f t="shared" si="15"/>
        <v>1126</v>
      </c>
      <c r="BR29" s="887">
        <f t="shared" ref="BR29:BR36" si="24">SUM(N29:Y29)</f>
        <v>-539</v>
      </c>
      <c r="BS29" s="845">
        <f t="shared" ref="BS29:BS36" si="25">SUM(B29:M29)</f>
        <v>5496</v>
      </c>
    </row>
    <row r="30" spans="1:76" ht="17.850000000000001" customHeight="1" x14ac:dyDescent="0.35">
      <c r="A30" s="813" t="s">
        <v>92</v>
      </c>
      <c r="B30" s="788">
        <v>0</v>
      </c>
      <c r="C30" s="788">
        <v>0</v>
      </c>
      <c r="D30" s="788">
        <v>-420</v>
      </c>
      <c r="E30" s="788">
        <v>-383</v>
      </c>
      <c r="F30" s="788">
        <v>0</v>
      </c>
      <c r="G30" s="788">
        <v>0</v>
      </c>
      <c r="H30" s="788">
        <v>0</v>
      </c>
      <c r="I30" s="788">
        <v>0</v>
      </c>
      <c r="J30" s="788">
        <v>-35</v>
      </c>
      <c r="K30" s="788">
        <v>-62</v>
      </c>
      <c r="L30" s="788">
        <v>100</v>
      </c>
      <c r="M30" s="788">
        <v>5</v>
      </c>
      <c r="N30" s="791">
        <v>-50</v>
      </c>
      <c r="O30" s="791">
        <v>-63</v>
      </c>
      <c r="P30" s="791">
        <v>-285</v>
      </c>
      <c r="Q30" s="791">
        <v>-62</v>
      </c>
      <c r="R30" s="791">
        <v>0</v>
      </c>
      <c r="S30" s="791">
        <v>0</v>
      </c>
      <c r="T30" s="791">
        <v>-6</v>
      </c>
      <c r="U30" s="791">
        <v>-10</v>
      </c>
      <c r="V30" s="791">
        <v>-60</v>
      </c>
      <c r="W30" s="791">
        <v>-62</v>
      </c>
      <c r="X30" s="791">
        <v>-319</v>
      </c>
      <c r="Y30" s="791">
        <v>0</v>
      </c>
      <c r="Z30" s="791">
        <v>-199</v>
      </c>
      <c r="AA30" s="791">
        <v>-155</v>
      </c>
      <c r="AB30" s="791">
        <v>-60</v>
      </c>
      <c r="AC30" s="791">
        <v>-34</v>
      </c>
      <c r="AD30" s="791">
        <v>0</v>
      </c>
      <c r="AE30" s="791">
        <v>0</v>
      </c>
      <c r="AF30" s="791">
        <v>-30</v>
      </c>
      <c r="AG30" s="791">
        <v>-11</v>
      </c>
      <c r="AH30" s="791">
        <v>-55</v>
      </c>
      <c r="AI30" s="791">
        <v>-34</v>
      </c>
      <c r="AJ30" s="791">
        <v>0</v>
      </c>
      <c r="AK30" s="1032">
        <v>2</v>
      </c>
      <c r="AL30" s="1009">
        <v>-30</v>
      </c>
      <c r="AM30" s="943">
        <v>-32</v>
      </c>
      <c r="AN30" s="944">
        <v>-60</v>
      </c>
      <c r="AO30" s="943">
        <v>-34</v>
      </c>
      <c r="AP30" s="943">
        <v>0</v>
      </c>
      <c r="AQ30" s="943">
        <v>0</v>
      </c>
      <c r="AR30" s="943">
        <v>-26</v>
      </c>
      <c r="AS30" s="943">
        <v>-10</v>
      </c>
      <c r="AT30" s="944">
        <v>-86.25</v>
      </c>
      <c r="AU30" s="943">
        <v>-72</v>
      </c>
      <c r="AV30" s="1116">
        <v>-89.25</v>
      </c>
      <c r="AW30" s="943">
        <v>0</v>
      </c>
      <c r="AX30" s="943">
        <v>-93</v>
      </c>
      <c r="AY30" s="943">
        <v>-83.333333333333329</v>
      </c>
      <c r="AZ30" s="943">
        <v>-135</v>
      </c>
      <c r="BA30" s="943">
        <v>-43.333333333333336</v>
      </c>
      <c r="BB30" s="943">
        <v>0</v>
      </c>
      <c r="BC30" s="943">
        <v>0</v>
      </c>
      <c r="BD30" s="943">
        <v>-20.666666666666668</v>
      </c>
      <c r="BE30" s="943">
        <v>-12.25</v>
      </c>
      <c r="BF30" s="943">
        <v>-67.083333333333329</v>
      </c>
      <c r="BG30" s="943">
        <v>-56</v>
      </c>
      <c r="BH30" s="943">
        <v>-136.08333333333334</v>
      </c>
      <c r="BI30" s="943">
        <v>0.66666666666666663</v>
      </c>
      <c r="BJ30" s="933">
        <v>-646.08333333333337</v>
      </c>
      <c r="BK30" s="951">
        <v>-439.5</v>
      </c>
      <c r="BL30" s="1187">
        <f t="shared" si="1"/>
        <v>-206.58333333333337</v>
      </c>
      <c r="BM30" s="1210">
        <f t="shared" si="2"/>
        <v>0.4700417140690179</v>
      </c>
      <c r="BN30" s="1236">
        <v>-646.08333333333337</v>
      </c>
      <c r="BO30" s="1236">
        <f t="shared" si="3"/>
        <v>0</v>
      </c>
      <c r="BP30" s="1236"/>
      <c r="BQ30" s="929">
        <f t="shared" si="15"/>
        <v>-576</v>
      </c>
      <c r="BR30" s="877">
        <f t="shared" si="24"/>
        <v>-917</v>
      </c>
      <c r="BS30" s="797">
        <f t="shared" si="25"/>
        <v>-795</v>
      </c>
    </row>
    <row r="31" spans="1:76" ht="19.350000000000001" customHeight="1" x14ac:dyDescent="0.35">
      <c r="A31" s="813" t="s">
        <v>93</v>
      </c>
      <c r="B31" s="788">
        <v>-5</v>
      </c>
      <c r="C31" s="788">
        <v>29</v>
      </c>
      <c r="D31" s="788">
        <v>-263</v>
      </c>
      <c r="E31" s="788">
        <v>6</v>
      </c>
      <c r="F31" s="788">
        <v>1</v>
      </c>
      <c r="G31" s="788">
        <v>2</v>
      </c>
      <c r="H31" s="788">
        <v>1530</v>
      </c>
      <c r="I31" s="788">
        <v>3</v>
      </c>
      <c r="J31" s="788">
        <v>270</v>
      </c>
      <c r="K31" s="788">
        <v>6</v>
      </c>
      <c r="L31" s="788">
        <v>510</v>
      </c>
      <c r="M31" s="788">
        <v>8</v>
      </c>
      <c r="N31" s="791">
        <v>15</v>
      </c>
      <c r="O31" s="791">
        <v>508</v>
      </c>
      <c r="P31" s="791">
        <v>-62</v>
      </c>
      <c r="Q31" s="791">
        <v>7</v>
      </c>
      <c r="R31" s="791">
        <v>-12</v>
      </c>
      <c r="S31" s="791">
        <v>8</v>
      </c>
      <c r="T31" s="791">
        <v>-13</v>
      </c>
      <c r="U31" s="791">
        <v>7</v>
      </c>
      <c r="V31" s="791">
        <v>-71</v>
      </c>
      <c r="W31" s="791">
        <v>-8</v>
      </c>
      <c r="X31" s="792">
        <v>-12</v>
      </c>
      <c r="Y31" s="792">
        <v>11</v>
      </c>
      <c r="Z31" s="791">
        <v>7</v>
      </c>
      <c r="AA31" s="791">
        <v>7</v>
      </c>
      <c r="AB31" s="791">
        <v>-67</v>
      </c>
      <c r="AC31" s="791">
        <v>-2</v>
      </c>
      <c r="AD31" s="791">
        <v>-18</v>
      </c>
      <c r="AE31" s="792">
        <v>708</v>
      </c>
      <c r="AF31" s="792">
        <v>308</v>
      </c>
      <c r="AG31" s="792">
        <v>8</v>
      </c>
      <c r="AH31" s="792">
        <v>-73</v>
      </c>
      <c r="AI31" s="792">
        <v>9</v>
      </c>
      <c r="AJ31" s="792">
        <v>811</v>
      </c>
      <c r="AK31" s="1033">
        <v>4</v>
      </c>
      <c r="AL31" s="1009">
        <v>-30</v>
      </c>
      <c r="AM31" s="943">
        <v>0</v>
      </c>
      <c r="AN31" s="943">
        <v>8</v>
      </c>
      <c r="AO31" s="943">
        <v>7</v>
      </c>
      <c r="AP31" s="943">
        <v>6</v>
      </c>
      <c r="AQ31" s="943">
        <v>7</v>
      </c>
      <c r="AR31" s="943">
        <v>76</v>
      </c>
      <c r="AS31" s="943">
        <v>8</v>
      </c>
      <c r="AT31" s="943">
        <v>0</v>
      </c>
      <c r="AU31" s="943">
        <v>0</v>
      </c>
      <c r="AV31" s="1116">
        <v>0</v>
      </c>
      <c r="AW31" s="943">
        <v>0</v>
      </c>
      <c r="AX31" s="943">
        <v>0</v>
      </c>
      <c r="AY31" s="943">
        <v>0</v>
      </c>
      <c r="AZ31" s="943">
        <v>0</v>
      </c>
      <c r="BA31" s="943">
        <v>0</v>
      </c>
      <c r="BB31" s="943">
        <v>0</v>
      </c>
      <c r="BC31" s="943">
        <v>0</v>
      </c>
      <c r="BD31" s="943">
        <v>0</v>
      </c>
      <c r="BE31" s="943">
        <v>0</v>
      </c>
      <c r="BF31" s="943">
        <v>0</v>
      </c>
      <c r="BG31" s="943">
        <v>0</v>
      </c>
      <c r="BH31" s="943">
        <v>0</v>
      </c>
      <c r="BI31" s="943">
        <v>0</v>
      </c>
      <c r="BJ31" s="933">
        <v>0</v>
      </c>
      <c r="BK31" s="951">
        <v>82</v>
      </c>
      <c r="BL31" s="1187">
        <f t="shared" si="1"/>
        <v>-82</v>
      </c>
      <c r="BM31" s="1210">
        <f t="shared" si="2"/>
        <v>-1</v>
      </c>
      <c r="BN31" s="1236">
        <v>0</v>
      </c>
      <c r="BO31" s="1236">
        <f t="shared" si="3"/>
        <v>0</v>
      </c>
      <c r="BP31" s="1236"/>
      <c r="BQ31" s="929">
        <f t="shared" si="15"/>
        <v>1702</v>
      </c>
      <c r="BR31" s="877">
        <f t="shared" si="24"/>
        <v>378</v>
      </c>
      <c r="BS31" s="797">
        <f t="shared" si="25"/>
        <v>2097</v>
      </c>
    </row>
    <row r="32" spans="1:76" ht="17.850000000000001" customHeight="1" x14ac:dyDescent="0.35">
      <c r="A32" s="787" t="s">
        <v>128</v>
      </c>
      <c r="B32" s="788">
        <v>1073</v>
      </c>
      <c r="C32" s="788">
        <v>526</v>
      </c>
      <c r="D32" s="788">
        <v>-985</v>
      </c>
      <c r="E32" s="788">
        <v>416</v>
      </c>
      <c r="F32" s="788">
        <v>38</v>
      </c>
      <c r="G32" s="788">
        <v>39</v>
      </c>
      <c r="H32" s="788">
        <v>1255</v>
      </c>
      <c r="I32" s="788">
        <v>-578</v>
      </c>
      <c r="J32" s="788">
        <v>-852</v>
      </c>
      <c r="K32" s="788">
        <v>-116</v>
      </c>
      <c r="L32" s="788">
        <v>928</v>
      </c>
      <c r="M32" s="788">
        <v>-206</v>
      </c>
      <c r="N32" s="789">
        <f t="shared" ref="N32:AK32" si="26">N33-N38</f>
        <v>1695</v>
      </c>
      <c r="O32" s="789">
        <f t="shared" si="26"/>
        <v>142</v>
      </c>
      <c r="P32" s="789">
        <f t="shared" si="26"/>
        <v>836</v>
      </c>
      <c r="Q32" s="789">
        <f t="shared" si="26"/>
        <v>638</v>
      </c>
      <c r="R32" s="789">
        <f t="shared" si="26"/>
        <v>552</v>
      </c>
      <c r="S32" s="789">
        <f t="shared" si="26"/>
        <v>-299</v>
      </c>
      <c r="T32" s="789">
        <f t="shared" si="26"/>
        <v>387</v>
      </c>
      <c r="U32" s="789">
        <f t="shared" si="26"/>
        <v>262</v>
      </c>
      <c r="V32" s="789">
        <f t="shared" si="26"/>
        <v>143</v>
      </c>
      <c r="W32" s="789">
        <f t="shared" si="26"/>
        <v>563</v>
      </c>
      <c r="X32" s="789">
        <f t="shared" si="26"/>
        <v>239</v>
      </c>
      <c r="Y32" s="789">
        <f t="shared" si="26"/>
        <v>-595</v>
      </c>
      <c r="Z32" s="789">
        <f t="shared" si="26"/>
        <v>1250</v>
      </c>
      <c r="AA32" s="789">
        <f t="shared" si="26"/>
        <v>342</v>
      </c>
      <c r="AB32" s="789">
        <f t="shared" si="26"/>
        <v>468</v>
      </c>
      <c r="AC32" s="789">
        <f t="shared" si="26"/>
        <v>1009</v>
      </c>
      <c r="AD32" s="789">
        <f t="shared" si="26"/>
        <v>1312</v>
      </c>
      <c r="AE32" s="789">
        <f t="shared" si="26"/>
        <v>1251</v>
      </c>
      <c r="AF32" s="789">
        <f t="shared" si="26"/>
        <v>723</v>
      </c>
      <c r="AG32" s="789">
        <f t="shared" si="26"/>
        <v>871</v>
      </c>
      <c r="AH32" s="789">
        <f t="shared" si="26"/>
        <v>522</v>
      </c>
      <c r="AI32" s="789">
        <f t="shared" si="26"/>
        <v>54</v>
      </c>
      <c r="AJ32" s="789">
        <f t="shared" si="26"/>
        <v>455</v>
      </c>
      <c r="AK32" s="1024">
        <f t="shared" si="26"/>
        <v>-101</v>
      </c>
      <c r="AL32" s="1099">
        <v>1805</v>
      </c>
      <c r="AM32" s="859">
        <v>568</v>
      </c>
      <c r="AN32" s="859">
        <v>3411</v>
      </c>
      <c r="AO32" s="859">
        <v>2961</v>
      </c>
      <c r="AP32" s="859">
        <v>2848</v>
      </c>
      <c r="AQ32" s="859">
        <v>4377</v>
      </c>
      <c r="AR32" s="859">
        <v>2005</v>
      </c>
      <c r="AS32" s="859">
        <v>697</v>
      </c>
      <c r="AT32" s="859">
        <v>1798.2318161513194</v>
      </c>
      <c r="AU32" s="859">
        <v>1495.497964290292</v>
      </c>
      <c r="AV32" s="859">
        <v>1563.386530563967</v>
      </c>
      <c r="AW32" s="1117">
        <v>1726.2681782066784</v>
      </c>
      <c r="AX32" s="1117">
        <v>1857.5559440238926</v>
      </c>
      <c r="AY32" s="1117">
        <v>1369.6250106877524</v>
      </c>
      <c r="AZ32" s="1117">
        <v>3378.3480101192777</v>
      </c>
      <c r="BA32" s="1117">
        <v>891.44761282255331</v>
      </c>
      <c r="BB32" s="1117">
        <v>909.20682808724337</v>
      </c>
      <c r="BC32" s="1117">
        <v>3052.4971397270247</v>
      </c>
      <c r="BD32" s="984">
        <v>790.249780484442</v>
      </c>
      <c r="BE32" s="984">
        <v>1046.0919712705133</v>
      </c>
      <c r="BF32" s="984">
        <v>976.98448499907454</v>
      </c>
      <c r="BG32" s="984">
        <v>993.74031833422191</v>
      </c>
      <c r="BH32" s="984">
        <v>1686.8612266606788</v>
      </c>
      <c r="BI32" s="984">
        <v>3239.1747472242391</v>
      </c>
      <c r="BJ32" s="984">
        <v>20191.783074440915</v>
      </c>
      <c r="BK32" s="984">
        <v>25255.384489212254</v>
      </c>
      <c r="BL32" s="1085">
        <f t="shared" si="1"/>
        <v>-5063.6014147713395</v>
      </c>
      <c r="BM32" s="1198">
        <f t="shared" si="2"/>
        <v>-0.20049591472005657</v>
      </c>
      <c r="BN32" s="1224">
        <v>16293.722101370829</v>
      </c>
      <c r="BO32" s="1224">
        <f t="shared" si="3"/>
        <v>3898.0609730700853</v>
      </c>
      <c r="BP32" s="1224"/>
      <c r="BQ32" s="923">
        <f t="shared" si="15"/>
        <v>8156</v>
      </c>
      <c r="BR32" s="877">
        <f t="shared" si="24"/>
        <v>4563</v>
      </c>
      <c r="BS32" s="797">
        <f t="shared" si="25"/>
        <v>1538</v>
      </c>
    </row>
    <row r="33" spans="1:72" s="825" customFormat="1" ht="17.850000000000001" customHeight="1" x14ac:dyDescent="0.35">
      <c r="A33" s="827" t="s">
        <v>94</v>
      </c>
      <c r="B33" s="822">
        <v>677</v>
      </c>
      <c r="C33" s="822">
        <v>593</v>
      </c>
      <c r="D33" s="822">
        <v>-144</v>
      </c>
      <c r="E33" s="822">
        <v>544</v>
      </c>
      <c r="F33" s="822">
        <v>282</v>
      </c>
      <c r="G33" s="822">
        <v>716</v>
      </c>
      <c r="H33" s="822">
        <v>1484</v>
      </c>
      <c r="I33" s="822">
        <v>-177</v>
      </c>
      <c r="J33" s="822">
        <v>-389</v>
      </c>
      <c r="K33" s="822">
        <v>465</v>
      </c>
      <c r="L33" s="822">
        <v>1170</v>
      </c>
      <c r="M33" s="822">
        <v>757</v>
      </c>
      <c r="N33" s="826">
        <f>N34+N35</f>
        <v>1419</v>
      </c>
      <c r="O33" s="826">
        <f t="shared" ref="O33:U33" si="27">O34+O35</f>
        <v>360</v>
      </c>
      <c r="P33" s="826">
        <f t="shared" si="27"/>
        <v>533</v>
      </c>
      <c r="Q33" s="826">
        <f t="shared" si="27"/>
        <v>434</v>
      </c>
      <c r="R33" s="826">
        <f t="shared" si="27"/>
        <v>843</v>
      </c>
      <c r="S33" s="826">
        <f t="shared" si="27"/>
        <v>209</v>
      </c>
      <c r="T33" s="826">
        <f t="shared" si="27"/>
        <v>834</v>
      </c>
      <c r="U33" s="826">
        <f t="shared" si="27"/>
        <v>362</v>
      </c>
      <c r="V33" s="826">
        <f>V34+V35</f>
        <v>497</v>
      </c>
      <c r="W33" s="826">
        <f>W34+W35</f>
        <v>534</v>
      </c>
      <c r="X33" s="826">
        <f>X34+X35</f>
        <v>530</v>
      </c>
      <c r="Y33" s="826">
        <f>Y34+Y35</f>
        <v>-205</v>
      </c>
      <c r="Z33" s="826">
        <f>Z34+Z35</f>
        <v>707</v>
      </c>
      <c r="AA33" s="826">
        <f t="shared" ref="AA33:AK33" si="28">AA34+AA35</f>
        <v>574</v>
      </c>
      <c r="AB33" s="826">
        <f t="shared" si="28"/>
        <v>937</v>
      </c>
      <c r="AC33" s="826">
        <f t="shared" si="28"/>
        <v>850</v>
      </c>
      <c r="AD33" s="826">
        <f t="shared" si="28"/>
        <v>1411</v>
      </c>
      <c r="AE33" s="826">
        <f t="shared" si="28"/>
        <v>801</v>
      </c>
      <c r="AF33" s="826">
        <f t="shared" si="28"/>
        <v>731</v>
      </c>
      <c r="AG33" s="826">
        <f t="shared" si="28"/>
        <v>686</v>
      </c>
      <c r="AH33" s="826">
        <f t="shared" si="28"/>
        <v>620</v>
      </c>
      <c r="AI33" s="826">
        <f t="shared" si="28"/>
        <v>358</v>
      </c>
      <c r="AJ33" s="826">
        <f t="shared" si="28"/>
        <v>753</v>
      </c>
      <c r="AK33" s="1034">
        <f t="shared" si="28"/>
        <v>-216</v>
      </c>
      <c r="AL33" s="1101">
        <v>1269</v>
      </c>
      <c r="AM33" s="870">
        <v>1495</v>
      </c>
      <c r="AN33" s="870">
        <v>3129</v>
      </c>
      <c r="AO33" s="870">
        <v>2591</v>
      </c>
      <c r="AP33" s="870">
        <v>2352</v>
      </c>
      <c r="AQ33" s="870">
        <v>4004</v>
      </c>
      <c r="AR33" s="870">
        <v>1900</v>
      </c>
      <c r="AS33" s="870">
        <v>802</v>
      </c>
      <c r="AT33" s="870">
        <v>2020.25</v>
      </c>
      <c r="AU33" s="870">
        <v>1516.395</v>
      </c>
      <c r="AV33" s="870">
        <v>1389.5909166666668</v>
      </c>
      <c r="AW33" s="870">
        <v>1249.6207300000001</v>
      </c>
      <c r="AX33" s="870">
        <v>1442.5910128647211</v>
      </c>
      <c r="AY33" s="870">
        <v>1888.3043690142119</v>
      </c>
      <c r="AZ33" s="870">
        <v>3461.1257106426701</v>
      </c>
      <c r="BA33" s="870">
        <v>705.32634072291592</v>
      </c>
      <c r="BB33" s="870">
        <v>961.67483729457308</v>
      </c>
      <c r="BC33" s="870">
        <v>2776.2451076259085</v>
      </c>
      <c r="BD33" s="1160">
        <v>897.38362426309186</v>
      </c>
      <c r="BE33" s="1160">
        <v>933.9622055817407</v>
      </c>
      <c r="BF33" s="1160">
        <v>1017.3156870731636</v>
      </c>
      <c r="BG33" s="1160">
        <v>1018.0777315555569</v>
      </c>
      <c r="BH33" s="1160">
        <v>1871.1256552701184</v>
      </c>
      <c r="BI33" s="1160">
        <v>2836.1841258655745</v>
      </c>
      <c r="BJ33" s="1160">
        <v>19809.316407774244</v>
      </c>
      <c r="BK33" s="1160">
        <v>23717.856646666667</v>
      </c>
      <c r="BL33" s="1188">
        <f t="shared" si="1"/>
        <v>-3908.5402388924231</v>
      </c>
      <c r="BM33" s="1211">
        <f t="shared" si="2"/>
        <v>-0.16479314708404452</v>
      </c>
      <c r="BN33" s="1237">
        <v>15911.255434704164</v>
      </c>
      <c r="BO33" s="1237">
        <f t="shared" si="3"/>
        <v>3898.0609730700799</v>
      </c>
      <c r="BP33" s="1237"/>
      <c r="BQ33" s="924">
        <f t="shared" si="15"/>
        <v>8212</v>
      </c>
      <c r="BR33" s="882">
        <f t="shared" si="24"/>
        <v>6350</v>
      </c>
      <c r="BS33" s="828">
        <f t="shared" si="25"/>
        <v>5978</v>
      </c>
      <c r="BT33" s="829"/>
    </row>
    <row r="34" spans="1:72" s="832" customFormat="1" ht="17.850000000000001" customHeight="1" x14ac:dyDescent="0.35">
      <c r="A34" s="830" t="s">
        <v>92</v>
      </c>
      <c r="B34" s="799">
        <v>170</v>
      </c>
      <c r="C34" s="799">
        <v>875</v>
      </c>
      <c r="D34" s="799">
        <v>-888</v>
      </c>
      <c r="E34" s="799">
        <v>283</v>
      </c>
      <c r="F34" s="799">
        <v>99</v>
      </c>
      <c r="G34" s="799">
        <v>995</v>
      </c>
      <c r="H34" s="799">
        <v>1381</v>
      </c>
      <c r="I34" s="799">
        <v>-490</v>
      </c>
      <c r="J34" s="799">
        <v>-225</v>
      </c>
      <c r="K34" s="799">
        <v>142</v>
      </c>
      <c r="L34" s="799">
        <v>780</v>
      </c>
      <c r="M34" s="799">
        <v>-354</v>
      </c>
      <c r="N34" s="798">
        <v>1088</v>
      </c>
      <c r="O34" s="798">
        <v>284</v>
      </c>
      <c r="P34" s="798">
        <v>-64</v>
      </c>
      <c r="Q34" s="798">
        <v>-419</v>
      </c>
      <c r="R34" s="798">
        <v>214</v>
      </c>
      <c r="S34" s="798">
        <v>-107</v>
      </c>
      <c r="T34" s="798">
        <v>643</v>
      </c>
      <c r="U34" s="798">
        <v>40</v>
      </c>
      <c r="V34" s="798">
        <v>152</v>
      </c>
      <c r="W34" s="798">
        <v>-71</v>
      </c>
      <c r="X34" s="798">
        <v>-130</v>
      </c>
      <c r="Y34" s="798">
        <v>-811</v>
      </c>
      <c r="Z34" s="798">
        <v>227</v>
      </c>
      <c r="AA34" s="798">
        <v>0</v>
      </c>
      <c r="AB34" s="798">
        <v>337</v>
      </c>
      <c r="AC34" s="798">
        <v>221</v>
      </c>
      <c r="AD34" s="798">
        <v>574</v>
      </c>
      <c r="AE34" s="798">
        <v>312</v>
      </c>
      <c r="AF34" s="798">
        <v>508</v>
      </c>
      <c r="AG34" s="798">
        <v>-173</v>
      </c>
      <c r="AH34" s="798">
        <v>-32</v>
      </c>
      <c r="AI34" s="798">
        <v>-401</v>
      </c>
      <c r="AJ34" s="798">
        <v>-33</v>
      </c>
      <c r="AK34" s="1030">
        <v>-637</v>
      </c>
      <c r="AL34" s="1004">
        <v>-190</v>
      </c>
      <c r="AM34" s="933">
        <v>-23</v>
      </c>
      <c r="AN34" s="933">
        <v>-776</v>
      </c>
      <c r="AO34" s="933">
        <v>373</v>
      </c>
      <c r="AP34" s="933">
        <v>-260</v>
      </c>
      <c r="AQ34" s="933">
        <v>1767</v>
      </c>
      <c r="AR34" s="933">
        <v>385</v>
      </c>
      <c r="AS34" s="933">
        <v>-739</v>
      </c>
      <c r="AT34" s="933">
        <v>490</v>
      </c>
      <c r="AU34" s="933">
        <v>-143.75</v>
      </c>
      <c r="AV34" s="933">
        <v>205.66666666666666</v>
      </c>
      <c r="AW34" s="933">
        <v>537</v>
      </c>
      <c r="AX34" s="933">
        <v>535.39019963702356</v>
      </c>
      <c r="AY34" s="933">
        <v>744.10163339382939</v>
      </c>
      <c r="AZ34" s="933">
        <v>1769.5099818511796</v>
      </c>
      <c r="BA34" s="933">
        <v>-1003.8566243194192</v>
      </c>
      <c r="BB34" s="933">
        <v>-1117.0031760435572</v>
      </c>
      <c r="BC34" s="1115">
        <v>908.0459770114943</v>
      </c>
      <c r="BD34" s="933">
        <v>-287.20508166969148</v>
      </c>
      <c r="BE34" s="933">
        <v>-446.46098003629766</v>
      </c>
      <c r="BF34" s="933">
        <v>-120.02969806962548</v>
      </c>
      <c r="BG34" s="933">
        <v>-322.42513611615243</v>
      </c>
      <c r="BH34" s="933">
        <v>559.89110707803991</v>
      </c>
      <c r="BI34" s="933">
        <v>1610.2540834845736</v>
      </c>
      <c r="BJ34" s="933">
        <v>2830.2122862013971</v>
      </c>
      <c r="BK34" s="933">
        <v>1625.9166666666667</v>
      </c>
      <c r="BL34" s="1181">
        <f t="shared" si="1"/>
        <v>1204.2956195347303</v>
      </c>
      <c r="BM34" s="1200">
        <f t="shared" si="2"/>
        <v>0.74068717310321175</v>
      </c>
      <c r="BN34" s="1226">
        <v>1039.6313131313132</v>
      </c>
      <c r="BO34" s="1226">
        <f t="shared" si="3"/>
        <v>1790.5809730700839</v>
      </c>
      <c r="BP34" s="1226"/>
      <c r="BQ34" s="919">
        <f t="shared" si="15"/>
        <v>903</v>
      </c>
      <c r="BR34" s="888">
        <f t="shared" si="24"/>
        <v>819</v>
      </c>
      <c r="BS34" s="835">
        <f t="shared" si="25"/>
        <v>2768</v>
      </c>
    </row>
    <row r="35" spans="1:72" s="832" customFormat="1" ht="17.850000000000001" customHeight="1" x14ac:dyDescent="0.35">
      <c r="A35" s="830" t="s">
        <v>93</v>
      </c>
      <c r="B35" s="799">
        <v>509</v>
      </c>
      <c r="C35" s="799">
        <v>-284</v>
      </c>
      <c r="D35" s="799">
        <v>744</v>
      </c>
      <c r="E35" s="799">
        <v>268</v>
      </c>
      <c r="F35" s="799">
        <v>187</v>
      </c>
      <c r="G35" s="799">
        <v>-286</v>
      </c>
      <c r="H35" s="799">
        <v>104</v>
      </c>
      <c r="I35" s="799">
        <v>140</v>
      </c>
      <c r="J35" s="799">
        <v>7</v>
      </c>
      <c r="K35" s="799">
        <v>322</v>
      </c>
      <c r="L35" s="799">
        <v>392</v>
      </c>
      <c r="M35" s="799">
        <v>114</v>
      </c>
      <c r="N35" s="831">
        <v>331</v>
      </c>
      <c r="O35" s="831">
        <v>76</v>
      </c>
      <c r="P35" s="831">
        <v>597</v>
      </c>
      <c r="Q35" s="831">
        <v>853</v>
      </c>
      <c r="R35" s="831">
        <v>629</v>
      </c>
      <c r="S35" s="831">
        <v>316</v>
      </c>
      <c r="T35" s="831">
        <v>191</v>
      </c>
      <c r="U35" s="831">
        <v>322</v>
      </c>
      <c r="V35" s="831">
        <v>345</v>
      </c>
      <c r="W35" s="831">
        <v>605</v>
      </c>
      <c r="X35" s="831">
        <v>660</v>
      </c>
      <c r="Y35" s="831">
        <v>606</v>
      </c>
      <c r="Z35" s="798">
        <v>480</v>
      </c>
      <c r="AA35" s="798">
        <v>574</v>
      </c>
      <c r="AB35" s="798">
        <v>600</v>
      </c>
      <c r="AC35" s="798">
        <v>629</v>
      </c>
      <c r="AD35" s="798">
        <v>837</v>
      </c>
      <c r="AE35" s="831">
        <v>489</v>
      </c>
      <c r="AF35" s="799">
        <v>223</v>
      </c>
      <c r="AG35" s="799">
        <v>859</v>
      </c>
      <c r="AH35" s="799">
        <v>652</v>
      </c>
      <c r="AI35" s="799">
        <v>759</v>
      </c>
      <c r="AJ35" s="799">
        <v>786</v>
      </c>
      <c r="AK35" s="1026">
        <v>421</v>
      </c>
      <c r="AL35" s="871">
        <v>1459</v>
      </c>
      <c r="AM35" s="871">
        <v>1518</v>
      </c>
      <c r="AN35" s="871">
        <v>3905</v>
      </c>
      <c r="AO35" s="871">
        <v>2218</v>
      </c>
      <c r="AP35" s="871">
        <v>2612</v>
      </c>
      <c r="AQ35" s="871">
        <v>2237</v>
      </c>
      <c r="AR35" s="871">
        <v>1515</v>
      </c>
      <c r="AS35" s="871">
        <v>1541</v>
      </c>
      <c r="AT35" s="871">
        <v>1530.25</v>
      </c>
      <c r="AU35" s="871">
        <v>1660.145</v>
      </c>
      <c r="AV35" s="871">
        <v>1183.92425</v>
      </c>
      <c r="AW35" s="871">
        <v>712.62072999999998</v>
      </c>
      <c r="AX35" s="871">
        <v>907.20081322769749</v>
      </c>
      <c r="AY35" s="871">
        <v>1144.2027356203826</v>
      </c>
      <c r="AZ35" s="871">
        <v>1691.6157287914907</v>
      </c>
      <c r="BA35" s="871">
        <v>1709.1829650423351</v>
      </c>
      <c r="BB35" s="871">
        <v>2078.6780133381303</v>
      </c>
      <c r="BC35" s="871">
        <v>1868.1991306144141</v>
      </c>
      <c r="BD35" s="933">
        <v>1184.5887059327833</v>
      </c>
      <c r="BE35" s="933">
        <v>1380.4231856180384</v>
      </c>
      <c r="BF35" s="933">
        <v>1137.3453851427892</v>
      </c>
      <c r="BG35" s="933">
        <v>1340.5028676717093</v>
      </c>
      <c r="BH35" s="933">
        <v>1311.2345481920784</v>
      </c>
      <c r="BI35" s="933">
        <v>1225.9300423810009</v>
      </c>
      <c r="BJ35" s="933">
        <v>16979.104121572851</v>
      </c>
      <c r="BK35" s="933">
        <v>22091.939979999999</v>
      </c>
      <c r="BL35" s="1181">
        <f t="shared" ref="BL35:BL65" si="29">BJ35-BK35</f>
        <v>-5112.8358584271482</v>
      </c>
      <c r="BM35" s="1200">
        <f t="shared" si="2"/>
        <v>-0.23143444455560885</v>
      </c>
      <c r="BN35" s="1226">
        <v>14871.62412157285</v>
      </c>
      <c r="BO35" s="1226">
        <f t="shared" ref="BO35:BO66" si="30">BJ35-BN35</f>
        <v>2107.4800000000014</v>
      </c>
      <c r="BP35" s="1226"/>
      <c r="BQ35" s="919">
        <f t="shared" si="15"/>
        <v>7309</v>
      </c>
      <c r="BR35" s="888">
        <f t="shared" si="24"/>
        <v>5531</v>
      </c>
      <c r="BS35" s="835">
        <f t="shared" si="25"/>
        <v>2217</v>
      </c>
    </row>
    <row r="36" spans="1:72" s="840" customFormat="1" ht="20.45" customHeight="1" x14ac:dyDescent="0.35">
      <c r="A36" s="852" t="s">
        <v>95</v>
      </c>
      <c r="B36" s="837">
        <v>-32</v>
      </c>
      <c r="C36" s="837">
        <v>-65</v>
      </c>
      <c r="D36" s="837">
        <v>383</v>
      </c>
      <c r="E36" s="837">
        <v>379</v>
      </c>
      <c r="F36" s="837">
        <v>285</v>
      </c>
      <c r="G36" s="837">
        <v>-28</v>
      </c>
      <c r="H36" s="837">
        <v>314</v>
      </c>
      <c r="I36" s="837">
        <v>324</v>
      </c>
      <c r="J36" s="837">
        <v>171</v>
      </c>
      <c r="K36" s="837">
        <v>372</v>
      </c>
      <c r="L36" s="837">
        <v>412</v>
      </c>
      <c r="M36" s="837">
        <v>96</v>
      </c>
      <c r="N36" s="839">
        <v>274</v>
      </c>
      <c r="O36" s="839">
        <v>54</v>
      </c>
      <c r="P36" s="839">
        <v>591</v>
      </c>
      <c r="Q36" s="839">
        <v>803</v>
      </c>
      <c r="R36" s="839">
        <v>566</v>
      </c>
      <c r="S36" s="839">
        <v>252</v>
      </c>
      <c r="T36" s="839">
        <v>279</v>
      </c>
      <c r="U36" s="839">
        <v>325</v>
      </c>
      <c r="V36" s="839">
        <v>361</v>
      </c>
      <c r="W36" s="839">
        <v>452</v>
      </c>
      <c r="X36" s="837">
        <v>616</v>
      </c>
      <c r="Y36" s="837">
        <v>555</v>
      </c>
      <c r="Z36" s="839">
        <v>523</v>
      </c>
      <c r="AA36" s="839">
        <v>570</v>
      </c>
      <c r="AB36" s="839">
        <v>290</v>
      </c>
      <c r="AC36" s="839">
        <v>169</v>
      </c>
      <c r="AD36" s="839">
        <v>306</v>
      </c>
      <c r="AE36" s="837">
        <v>196</v>
      </c>
      <c r="AF36" s="837">
        <v>194</v>
      </c>
      <c r="AG36" s="837">
        <v>647</v>
      </c>
      <c r="AH36" s="837">
        <v>499</v>
      </c>
      <c r="AI36" s="837">
        <v>536</v>
      </c>
      <c r="AJ36" s="837">
        <v>824</v>
      </c>
      <c r="AK36" s="1027">
        <v>367</v>
      </c>
      <c r="AL36" s="1005">
        <v>854</v>
      </c>
      <c r="AM36" s="934">
        <v>968</v>
      </c>
      <c r="AN36" s="934">
        <v>902</v>
      </c>
      <c r="AO36" s="934">
        <v>935</v>
      </c>
      <c r="AP36" s="934">
        <v>1241</v>
      </c>
      <c r="AQ36" s="934">
        <v>892</v>
      </c>
      <c r="AR36" s="934">
        <v>947</v>
      </c>
      <c r="AS36" s="934">
        <v>935</v>
      </c>
      <c r="AT36" s="934">
        <v>888.25</v>
      </c>
      <c r="AU36" s="934">
        <v>870.48500000000001</v>
      </c>
      <c r="AV36" s="934">
        <v>844.37045000000001</v>
      </c>
      <c r="AW36" s="934">
        <v>424</v>
      </c>
      <c r="AX36" s="934">
        <v>508.28552778049345</v>
      </c>
      <c r="AY36" s="934">
        <v>602.56356393309636</v>
      </c>
      <c r="AZ36" s="934">
        <v>928.77502985926003</v>
      </c>
      <c r="BA36" s="934">
        <v>1105.44</v>
      </c>
      <c r="BB36" s="934">
        <v>1013.4799999999999</v>
      </c>
      <c r="BC36" s="1121">
        <v>982.0200000000001</v>
      </c>
      <c r="BD36" s="934">
        <v>1022.84</v>
      </c>
      <c r="BE36" s="934">
        <v>1158.5600000000002</v>
      </c>
      <c r="BF36" s="934">
        <v>954.19999999999993</v>
      </c>
      <c r="BG36" s="934">
        <v>1187.1599999999999</v>
      </c>
      <c r="BH36" s="934">
        <v>966.68</v>
      </c>
      <c r="BI36" s="934">
        <v>1049.1000000000001</v>
      </c>
      <c r="BJ36" s="934">
        <v>11479.104121572851</v>
      </c>
      <c r="BK36" s="934">
        <v>10701.105450000001</v>
      </c>
      <c r="BL36" s="1189">
        <f t="shared" si="29"/>
        <v>777.99867157285007</v>
      </c>
      <c r="BM36" s="1212">
        <f t="shared" si="2"/>
        <v>7.2702645087274601E-2</v>
      </c>
      <c r="BN36" s="1238">
        <v>9371.6241215728496</v>
      </c>
      <c r="BO36" s="1238">
        <f t="shared" si="30"/>
        <v>2107.4800000000014</v>
      </c>
      <c r="BP36" s="1238"/>
      <c r="BQ36" s="926">
        <f t="shared" si="15"/>
        <v>5121</v>
      </c>
      <c r="BR36" s="887">
        <f t="shared" si="24"/>
        <v>5128</v>
      </c>
      <c r="BS36" s="853">
        <f t="shared" si="25"/>
        <v>2611</v>
      </c>
    </row>
    <row r="37" spans="1:72" s="840" customFormat="1" ht="23.1" customHeight="1" x14ac:dyDescent="0.35">
      <c r="A37" s="852" t="s">
        <v>97</v>
      </c>
      <c r="B37" s="837"/>
      <c r="C37" s="837"/>
      <c r="D37" s="837"/>
      <c r="E37" s="837"/>
      <c r="F37" s="837"/>
      <c r="G37" s="837"/>
      <c r="H37" s="837"/>
      <c r="I37" s="837"/>
      <c r="J37" s="837"/>
      <c r="K37" s="837"/>
      <c r="L37" s="837"/>
      <c r="M37" s="837"/>
      <c r="N37" s="839">
        <v>22</v>
      </c>
      <c r="O37" s="839">
        <v>-3</v>
      </c>
      <c r="P37" s="839">
        <v>-35</v>
      </c>
      <c r="Q37" s="839">
        <v>-15</v>
      </c>
      <c r="R37" s="839">
        <v>-4</v>
      </c>
      <c r="S37" s="839">
        <v>-5</v>
      </c>
      <c r="T37" s="839">
        <v>-91</v>
      </c>
      <c r="U37" s="839">
        <v>3</v>
      </c>
      <c r="V37" s="838">
        <v>-15</v>
      </c>
      <c r="W37" s="838">
        <v>128</v>
      </c>
      <c r="X37" s="838">
        <v>41</v>
      </c>
      <c r="Y37" s="838">
        <v>25</v>
      </c>
      <c r="Z37" s="839">
        <v>-81</v>
      </c>
      <c r="AA37" s="839">
        <v>22</v>
      </c>
      <c r="AB37" s="839">
        <v>180</v>
      </c>
      <c r="AC37" s="839">
        <v>367</v>
      </c>
      <c r="AD37" s="839">
        <v>424</v>
      </c>
      <c r="AE37" s="837">
        <v>147</v>
      </c>
      <c r="AF37" s="837">
        <v>-97</v>
      </c>
      <c r="AG37" s="837">
        <v>15</v>
      </c>
      <c r="AH37" s="837">
        <v>-79</v>
      </c>
      <c r="AI37" s="837">
        <v>182</v>
      </c>
      <c r="AJ37" s="837">
        <v>-51</v>
      </c>
      <c r="AK37" s="1027">
        <v>-50</v>
      </c>
      <c r="AL37" s="1005">
        <v>446</v>
      </c>
      <c r="AM37" s="934">
        <v>364</v>
      </c>
      <c r="AN37" s="934">
        <v>2954</v>
      </c>
      <c r="AO37" s="934">
        <v>1274</v>
      </c>
      <c r="AP37" s="934">
        <v>1394</v>
      </c>
      <c r="AQ37" s="934">
        <v>1365</v>
      </c>
      <c r="AR37" s="934">
        <v>600</v>
      </c>
      <c r="AS37" s="934">
        <v>645</v>
      </c>
      <c r="AT37" s="934">
        <v>642</v>
      </c>
      <c r="AU37" s="934">
        <v>789.66</v>
      </c>
      <c r="AV37" s="934">
        <v>339.55379999999997</v>
      </c>
      <c r="AW37" s="934">
        <v>288.62072999999998</v>
      </c>
      <c r="AX37" s="934">
        <v>398.91528544720404</v>
      </c>
      <c r="AY37" s="934">
        <v>541.63917168728619</v>
      </c>
      <c r="AZ37" s="934">
        <v>762.84069893223079</v>
      </c>
      <c r="BA37" s="934">
        <v>603.74296504233519</v>
      </c>
      <c r="BB37" s="934">
        <v>1065.1980133381305</v>
      </c>
      <c r="BC37" s="1121">
        <v>886.17913061441391</v>
      </c>
      <c r="BD37" s="934">
        <v>161.74870593278322</v>
      </c>
      <c r="BE37" s="934">
        <v>221.8631856180381</v>
      </c>
      <c r="BF37" s="934">
        <v>183.14538514278919</v>
      </c>
      <c r="BG37" s="934">
        <v>153.34286767170946</v>
      </c>
      <c r="BH37" s="934">
        <v>344.5545481920783</v>
      </c>
      <c r="BI37" s="934">
        <v>176.83004238100088</v>
      </c>
      <c r="BJ37" s="934">
        <v>5500</v>
      </c>
      <c r="BK37" s="934">
        <v>11101.83453</v>
      </c>
      <c r="BL37" s="1189">
        <f t="shared" si="29"/>
        <v>-5601.8345300000001</v>
      </c>
      <c r="BM37" s="1212">
        <f t="shared" si="2"/>
        <v>-0.50458638298583969</v>
      </c>
      <c r="BN37" s="1238">
        <v>5500</v>
      </c>
      <c r="BO37" s="1238">
        <f t="shared" si="30"/>
        <v>0</v>
      </c>
      <c r="BP37" s="1238"/>
      <c r="BQ37" s="926">
        <f t="shared" si="15"/>
        <v>979</v>
      </c>
      <c r="BR37" s="887"/>
      <c r="BS37" s="845"/>
    </row>
    <row r="38" spans="1:72" s="825" customFormat="1" ht="17.850000000000001" customHeight="1" x14ac:dyDescent="0.35">
      <c r="A38" s="827" t="s">
        <v>96</v>
      </c>
      <c r="B38" s="822">
        <v>-396</v>
      </c>
      <c r="C38" s="822">
        <v>67</v>
      </c>
      <c r="D38" s="822">
        <v>841</v>
      </c>
      <c r="E38" s="822">
        <v>128</v>
      </c>
      <c r="F38" s="822">
        <v>244</v>
      </c>
      <c r="G38" s="822">
        <v>677</v>
      </c>
      <c r="H38" s="822">
        <v>229</v>
      </c>
      <c r="I38" s="822">
        <v>401</v>
      </c>
      <c r="J38" s="822">
        <v>463</v>
      </c>
      <c r="K38" s="822">
        <v>581</v>
      </c>
      <c r="L38" s="822">
        <v>242</v>
      </c>
      <c r="M38" s="822">
        <v>963</v>
      </c>
      <c r="N38" s="826">
        <f t="shared" ref="N38:AK38" si="31">N39+N40</f>
        <v>-276</v>
      </c>
      <c r="O38" s="826">
        <f t="shared" si="31"/>
        <v>218</v>
      </c>
      <c r="P38" s="826">
        <f t="shared" si="31"/>
        <v>-303</v>
      </c>
      <c r="Q38" s="826">
        <f t="shared" si="31"/>
        <v>-204</v>
      </c>
      <c r="R38" s="826">
        <f t="shared" si="31"/>
        <v>291</v>
      </c>
      <c r="S38" s="826">
        <f t="shared" si="31"/>
        <v>508</v>
      </c>
      <c r="T38" s="826">
        <f t="shared" si="31"/>
        <v>447</v>
      </c>
      <c r="U38" s="826">
        <f t="shared" si="31"/>
        <v>100</v>
      </c>
      <c r="V38" s="826">
        <f t="shared" si="31"/>
        <v>354</v>
      </c>
      <c r="W38" s="826">
        <f t="shared" si="31"/>
        <v>-29</v>
      </c>
      <c r="X38" s="826">
        <f t="shared" si="31"/>
        <v>291</v>
      </c>
      <c r="Y38" s="826">
        <f t="shared" si="31"/>
        <v>390</v>
      </c>
      <c r="Z38" s="826">
        <f t="shared" si="31"/>
        <v>-543</v>
      </c>
      <c r="AA38" s="826">
        <f t="shared" si="31"/>
        <v>232</v>
      </c>
      <c r="AB38" s="826">
        <f t="shared" si="31"/>
        <v>469</v>
      </c>
      <c r="AC38" s="826">
        <f t="shared" si="31"/>
        <v>-159</v>
      </c>
      <c r="AD38" s="826">
        <f>AD39+AD40</f>
        <v>99</v>
      </c>
      <c r="AE38" s="826">
        <f>AE39+AE40</f>
        <v>-450</v>
      </c>
      <c r="AF38" s="826">
        <f t="shared" si="31"/>
        <v>8</v>
      </c>
      <c r="AG38" s="826">
        <f t="shared" si="31"/>
        <v>-185</v>
      </c>
      <c r="AH38" s="826">
        <f>AH39+AH40</f>
        <v>98</v>
      </c>
      <c r="AI38" s="826">
        <f t="shared" si="31"/>
        <v>304</v>
      </c>
      <c r="AJ38" s="826">
        <f>AJ39+AJ40</f>
        <v>298</v>
      </c>
      <c r="AK38" s="1034">
        <f t="shared" si="31"/>
        <v>-115</v>
      </c>
      <c r="AL38" s="1101">
        <v>-536</v>
      </c>
      <c r="AM38" s="870">
        <v>927</v>
      </c>
      <c r="AN38" s="870">
        <v>-282</v>
      </c>
      <c r="AO38" s="870">
        <v>-370</v>
      </c>
      <c r="AP38" s="870">
        <v>-496</v>
      </c>
      <c r="AQ38" s="870">
        <v>-373</v>
      </c>
      <c r="AR38" s="870">
        <v>-105</v>
      </c>
      <c r="AS38" s="870">
        <v>105</v>
      </c>
      <c r="AT38" s="870">
        <v>222.01818384868048</v>
      </c>
      <c r="AU38" s="870">
        <v>20.897035709708057</v>
      </c>
      <c r="AV38" s="870">
        <v>-173.79561389730011</v>
      </c>
      <c r="AW38" s="870">
        <v>-476.64744820667818</v>
      </c>
      <c r="AX38" s="870">
        <v>-414.96493115917167</v>
      </c>
      <c r="AY38" s="870">
        <v>518.67935832645946</v>
      </c>
      <c r="AZ38" s="870">
        <v>82.777700523392667</v>
      </c>
      <c r="BA38" s="870">
        <v>-186.12127209963745</v>
      </c>
      <c r="BB38" s="870">
        <v>52.468009207329743</v>
      </c>
      <c r="BC38" s="870">
        <v>-276.2520321011159</v>
      </c>
      <c r="BD38" s="1160">
        <v>107.13384377864982</v>
      </c>
      <c r="BE38" s="1160">
        <v>-112.12976568877261</v>
      </c>
      <c r="BF38" s="1160">
        <v>40.331202074089077</v>
      </c>
      <c r="BG38" s="1160">
        <v>24.337413221334899</v>
      </c>
      <c r="BH38" s="1160">
        <v>184.26442860943968</v>
      </c>
      <c r="BI38" s="1160">
        <v>-402.99062135866473</v>
      </c>
      <c r="BJ38" s="1160">
        <v>-382.46666666666698</v>
      </c>
      <c r="BK38" s="1160">
        <v>-1537.5278425455899</v>
      </c>
      <c r="BL38" s="1188">
        <f t="shared" si="29"/>
        <v>1155.061175878923</v>
      </c>
      <c r="BM38" s="1211">
        <f t="shared" si="2"/>
        <v>-0.75124569709681455</v>
      </c>
      <c r="BN38" s="1237">
        <v>-382.46666666666698</v>
      </c>
      <c r="BO38" s="1237">
        <f t="shared" si="30"/>
        <v>0</v>
      </c>
      <c r="BP38" s="1237"/>
      <c r="BQ38" s="924">
        <f t="shared" si="15"/>
        <v>56</v>
      </c>
      <c r="BR38" s="882">
        <f>SUM(N38:Y38)</f>
        <v>1787</v>
      </c>
      <c r="BS38" s="824"/>
    </row>
    <row r="39" spans="1:72" s="832" customFormat="1" ht="17.850000000000001" customHeight="1" x14ac:dyDescent="0.35">
      <c r="A39" s="830" t="s">
        <v>215</v>
      </c>
      <c r="B39" s="799">
        <v>6</v>
      </c>
      <c r="C39" s="799">
        <v>-329</v>
      </c>
      <c r="D39" s="799">
        <v>-14</v>
      </c>
      <c r="E39" s="799">
        <v>16</v>
      </c>
      <c r="F39" s="799">
        <v>194</v>
      </c>
      <c r="G39" s="799">
        <v>70</v>
      </c>
      <c r="H39" s="799">
        <v>-178</v>
      </c>
      <c r="I39" s="799">
        <v>69</v>
      </c>
      <c r="J39" s="799">
        <v>0</v>
      </c>
      <c r="K39" s="799">
        <v>-3</v>
      </c>
      <c r="L39" s="799">
        <v>-3</v>
      </c>
      <c r="M39" s="799">
        <v>-152</v>
      </c>
      <c r="N39" s="798">
        <v>-26</v>
      </c>
      <c r="O39" s="798">
        <v>78</v>
      </c>
      <c r="P39" s="798">
        <v>-263</v>
      </c>
      <c r="Q39" s="798">
        <v>-61</v>
      </c>
      <c r="R39" s="798">
        <v>111</v>
      </c>
      <c r="S39" s="798">
        <v>137</v>
      </c>
      <c r="T39" s="798">
        <v>10</v>
      </c>
      <c r="U39" s="798">
        <v>-116</v>
      </c>
      <c r="V39" s="798">
        <v>5</v>
      </c>
      <c r="W39" s="798">
        <v>-97</v>
      </c>
      <c r="X39" s="831">
        <v>41</v>
      </c>
      <c r="Y39" s="831">
        <v>17</v>
      </c>
      <c r="Z39" s="798">
        <v>7</v>
      </c>
      <c r="AA39" s="798">
        <v>10</v>
      </c>
      <c r="AB39" s="798">
        <v>48</v>
      </c>
      <c r="AC39" s="798">
        <v>3</v>
      </c>
      <c r="AD39" s="798">
        <v>10</v>
      </c>
      <c r="AE39" s="831">
        <v>39</v>
      </c>
      <c r="AF39" s="831">
        <v>152</v>
      </c>
      <c r="AG39" s="831">
        <v>29</v>
      </c>
      <c r="AH39" s="831">
        <v>39</v>
      </c>
      <c r="AI39" s="831">
        <v>61</v>
      </c>
      <c r="AJ39" s="831">
        <v>51</v>
      </c>
      <c r="AK39" s="1035">
        <v>-77</v>
      </c>
      <c r="AL39" s="1010">
        <v>-42</v>
      </c>
      <c r="AM39" s="935">
        <v>119</v>
      </c>
      <c r="AN39" s="935">
        <v>-217</v>
      </c>
      <c r="AO39" s="935">
        <v>-25</v>
      </c>
      <c r="AP39" s="935">
        <v>12</v>
      </c>
      <c r="AQ39" s="935">
        <v>-101</v>
      </c>
      <c r="AR39" s="935">
        <v>31</v>
      </c>
      <c r="AS39" s="935">
        <v>49</v>
      </c>
      <c r="AT39" s="935">
        <v>-38.31846804511278</v>
      </c>
      <c r="AU39" s="935">
        <v>-40.109838297667245</v>
      </c>
      <c r="AV39" s="935">
        <v>-39.295579091960668</v>
      </c>
      <c r="AW39" s="1120">
        <v>-28.873061258916522</v>
      </c>
      <c r="AX39" s="935">
        <v>-34.566666666666663</v>
      </c>
      <c r="AY39" s="935">
        <v>117.3</v>
      </c>
      <c r="AZ39" s="935">
        <v>-244.79999999999998</v>
      </c>
      <c r="BA39" s="935">
        <v>-47.033333333333331</v>
      </c>
      <c r="BB39" s="935">
        <v>75.366666666666674</v>
      </c>
      <c r="BC39" s="1120">
        <v>42.5</v>
      </c>
      <c r="BD39" s="935">
        <v>109.36666666666666</v>
      </c>
      <c r="BE39" s="935">
        <v>-111.06666666666663</v>
      </c>
      <c r="BF39" s="935">
        <v>-136</v>
      </c>
      <c r="BG39" s="935">
        <v>-86.133333333333312</v>
      </c>
      <c r="BH39" s="935">
        <v>36.833333333333336</v>
      </c>
      <c r="BI39" s="935">
        <v>-159.23333333333335</v>
      </c>
      <c r="BJ39" s="935">
        <v>-437.46666666666664</v>
      </c>
      <c r="BK39" s="935">
        <v>-320.59694669365717</v>
      </c>
      <c r="BL39" s="1184">
        <f t="shared" si="29"/>
        <v>-116.86971997300947</v>
      </c>
      <c r="BM39" s="1205">
        <f t="shared" si="2"/>
        <v>0.36453784472465056</v>
      </c>
      <c r="BN39" s="1231">
        <v>-437.46666666666664</v>
      </c>
      <c r="BO39" s="1231">
        <f t="shared" si="30"/>
        <v>0</v>
      </c>
      <c r="BP39" s="1231"/>
      <c r="BQ39" s="919">
        <f t="shared" si="15"/>
        <v>372</v>
      </c>
      <c r="BR39" s="888">
        <f>SUM(N39:Y39)</f>
        <v>-164</v>
      </c>
      <c r="BS39" s="835">
        <f>SUM(B39:M39)</f>
        <v>-324</v>
      </c>
    </row>
    <row r="40" spans="1:72" s="832" customFormat="1" ht="17.850000000000001" customHeight="1" x14ac:dyDescent="0.35">
      <c r="A40" s="830" t="s">
        <v>93</v>
      </c>
      <c r="B40" s="799">
        <v>-403</v>
      </c>
      <c r="C40" s="799">
        <v>402</v>
      </c>
      <c r="D40" s="799">
        <v>248</v>
      </c>
      <c r="E40" s="799">
        <v>89</v>
      </c>
      <c r="F40" s="799">
        <v>73</v>
      </c>
      <c r="G40" s="799">
        <v>572</v>
      </c>
      <c r="H40" s="799">
        <v>407</v>
      </c>
      <c r="I40" s="799">
        <v>381</v>
      </c>
      <c r="J40" s="799">
        <v>497</v>
      </c>
      <c r="K40" s="799">
        <v>272</v>
      </c>
      <c r="L40" s="799">
        <v>256</v>
      </c>
      <c r="M40" s="799">
        <v>933</v>
      </c>
      <c r="N40" s="798">
        <v>-250</v>
      </c>
      <c r="O40" s="798">
        <v>140</v>
      </c>
      <c r="P40" s="798">
        <v>-40</v>
      </c>
      <c r="Q40" s="798">
        <v>-143</v>
      </c>
      <c r="R40" s="798">
        <v>180</v>
      </c>
      <c r="S40" s="798">
        <v>371</v>
      </c>
      <c r="T40" s="798">
        <v>437</v>
      </c>
      <c r="U40" s="798">
        <v>216</v>
      </c>
      <c r="V40" s="798">
        <v>349</v>
      </c>
      <c r="W40" s="798">
        <v>68</v>
      </c>
      <c r="X40" s="798">
        <v>250</v>
      </c>
      <c r="Y40" s="798">
        <v>373</v>
      </c>
      <c r="Z40" s="798">
        <v>-550</v>
      </c>
      <c r="AA40" s="798">
        <v>222</v>
      </c>
      <c r="AB40" s="798">
        <v>421</v>
      </c>
      <c r="AC40" s="798">
        <v>-162</v>
      </c>
      <c r="AD40" s="798">
        <v>89</v>
      </c>
      <c r="AE40" s="798">
        <v>-489</v>
      </c>
      <c r="AF40" s="798">
        <v>-144</v>
      </c>
      <c r="AG40" s="798">
        <v>-214</v>
      </c>
      <c r="AH40" s="798">
        <v>59</v>
      </c>
      <c r="AI40" s="798">
        <v>243</v>
      </c>
      <c r="AJ40" s="798">
        <v>247</v>
      </c>
      <c r="AK40" s="1030">
        <v>-38</v>
      </c>
      <c r="AL40" s="867">
        <v>-494</v>
      </c>
      <c r="AM40" s="867">
        <v>808</v>
      </c>
      <c r="AN40" s="867">
        <v>-65</v>
      </c>
      <c r="AO40" s="867">
        <v>-345</v>
      </c>
      <c r="AP40" s="867">
        <v>-508</v>
      </c>
      <c r="AQ40" s="867">
        <v>-272</v>
      </c>
      <c r="AR40" s="867">
        <v>-136</v>
      </c>
      <c r="AS40" s="867">
        <v>56</v>
      </c>
      <c r="AT40" s="867">
        <v>260.33665189379326</v>
      </c>
      <c r="AU40" s="867">
        <v>61.006874007375302</v>
      </c>
      <c r="AV40" s="867">
        <v>-134.50003480533945</v>
      </c>
      <c r="AW40" s="867">
        <v>-447.77438694776168</v>
      </c>
      <c r="AX40" s="867">
        <v>-380.39826449250501</v>
      </c>
      <c r="AY40" s="867">
        <v>401.37935832645951</v>
      </c>
      <c r="AZ40" s="867">
        <v>327.57770052339265</v>
      </c>
      <c r="BA40" s="867">
        <v>-139.08793876630412</v>
      </c>
      <c r="BB40" s="867">
        <v>-22.898657459336931</v>
      </c>
      <c r="BC40" s="867">
        <v>-318.7520321011159</v>
      </c>
      <c r="BD40" s="956">
        <v>-2.232822888016841</v>
      </c>
      <c r="BE40" s="956">
        <v>-1.0630990221059733</v>
      </c>
      <c r="BF40" s="956">
        <v>176.33120207408908</v>
      </c>
      <c r="BG40" s="956">
        <v>110.47074655466821</v>
      </c>
      <c r="BH40" s="956">
        <v>147.43109527610633</v>
      </c>
      <c r="BI40" s="956">
        <v>-243.75728802533138</v>
      </c>
      <c r="BJ40" s="935">
        <v>54.999999999999659</v>
      </c>
      <c r="BK40" s="935">
        <v>-1216.9308958519327</v>
      </c>
      <c r="BL40" s="1184">
        <f t="shared" si="29"/>
        <v>1271.9308958519323</v>
      </c>
      <c r="BM40" s="1205">
        <f t="shared" si="2"/>
        <v>-1.045195664098491</v>
      </c>
      <c r="BN40" s="1231">
        <v>54.999999999999659</v>
      </c>
      <c r="BO40" s="1231">
        <f t="shared" si="30"/>
        <v>0</v>
      </c>
      <c r="BP40" s="1231"/>
      <c r="BQ40" s="919">
        <f t="shared" si="15"/>
        <v>-316</v>
      </c>
      <c r="BR40" s="888">
        <f>SUM(N40:Y40)</f>
        <v>1951</v>
      </c>
      <c r="BS40" s="835">
        <f>SUM(B40:M40)</f>
        <v>3727</v>
      </c>
    </row>
    <row r="41" spans="1:72" s="840" customFormat="1" ht="18" customHeight="1" x14ac:dyDescent="0.35">
      <c r="A41" s="852" t="s">
        <v>168</v>
      </c>
      <c r="B41" s="837">
        <v>-138</v>
      </c>
      <c r="C41" s="837">
        <v>248</v>
      </c>
      <c r="D41" s="837">
        <v>-266</v>
      </c>
      <c r="E41" s="837">
        <v>2</v>
      </c>
      <c r="F41" s="837">
        <v>67</v>
      </c>
      <c r="G41" s="837">
        <v>313</v>
      </c>
      <c r="H41" s="837">
        <v>78</v>
      </c>
      <c r="I41" s="837">
        <v>131</v>
      </c>
      <c r="J41" s="837">
        <v>118</v>
      </c>
      <c r="K41" s="837">
        <v>-30</v>
      </c>
      <c r="L41" s="837">
        <v>-60</v>
      </c>
      <c r="M41" s="837">
        <v>842</v>
      </c>
      <c r="N41" s="839">
        <v>-42</v>
      </c>
      <c r="O41" s="839">
        <v>-349</v>
      </c>
      <c r="P41" s="839">
        <v>-301</v>
      </c>
      <c r="Q41" s="839">
        <v>-35</v>
      </c>
      <c r="R41" s="839">
        <v>17</v>
      </c>
      <c r="S41" s="839">
        <v>184</v>
      </c>
      <c r="T41" s="839">
        <v>105</v>
      </c>
      <c r="U41" s="837">
        <v>102</v>
      </c>
      <c r="V41" s="837">
        <v>40</v>
      </c>
      <c r="W41" s="837">
        <v>-72</v>
      </c>
      <c r="X41" s="837">
        <v>-194</v>
      </c>
      <c r="Y41" s="837">
        <v>317</v>
      </c>
      <c r="Z41" s="837">
        <v>-101</v>
      </c>
      <c r="AA41" s="837">
        <v>-45</v>
      </c>
      <c r="AB41" s="837">
        <v>-65</v>
      </c>
      <c r="AC41" s="837">
        <v>-14</v>
      </c>
      <c r="AD41" s="837">
        <v>56</v>
      </c>
      <c r="AE41" s="837">
        <v>-12</v>
      </c>
      <c r="AF41" s="837">
        <v>-79</v>
      </c>
      <c r="AG41" s="837">
        <v>-57</v>
      </c>
      <c r="AH41" s="837">
        <v>21</v>
      </c>
      <c r="AI41" s="837">
        <v>216</v>
      </c>
      <c r="AJ41" s="837">
        <v>124</v>
      </c>
      <c r="AK41" s="1027">
        <v>308</v>
      </c>
      <c r="AL41" s="1005">
        <v>-4</v>
      </c>
      <c r="AM41" s="934">
        <v>23</v>
      </c>
      <c r="AN41" s="934">
        <v>107</v>
      </c>
      <c r="AO41" s="934">
        <v>26</v>
      </c>
      <c r="AP41" s="934">
        <v>40</v>
      </c>
      <c r="AQ41" s="934">
        <v>27</v>
      </c>
      <c r="AR41" s="934">
        <v>30</v>
      </c>
      <c r="AS41" s="934">
        <v>96</v>
      </c>
      <c r="AT41" s="934">
        <v>77.189249073015802</v>
      </c>
      <c r="AU41" s="934">
        <v>94.206874007375305</v>
      </c>
      <c r="AV41" s="934">
        <v>17.899965194660549</v>
      </c>
      <c r="AW41" s="1121">
        <v>27.154061624649803</v>
      </c>
      <c r="AX41" s="934">
        <v>50</v>
      </c>
      <c r="AY41" s="934">
        <v>50</v>
      </c>
      <c r="AZ41" s="934">
        <v>50</v>
      </c>
      <c r="BA41" s="934">
        <v>50</v>
      </c>
      <c r="BB41" s="934">
        <v>70</v>
      </c>
      <c r="BC41" s="1121">
        <v>70</v>
      </c>
      <c r="BD41" s="934">
        <v>70</v>
      </c>
      <c r="BE41" s="934">
        <v>70</v>
      </c>
      <c r="BF41" s="934">
        <v>100</v>
      </c>
      <c r="BG41" s="934">
        <v>100</v>
      </c>
      <c r="BH41" s="934">
        <v>100</v>
      </c>
      <c r="BI41" s="934">
        <v>100</v>
      </c>
      <c r="BJ41" s="935">
        <v>880</v>
      </c>
      <c r="BK41" s="935">
        <v>561.4501498997015</v>
      </c>
      <c r="BL41" s="1184">
        <f t="shared" si="29"/>
        <v>318.5498501002985</v>
      </c>
      <c r="BM41" s="1205">
        <f t="shared" si="2"/>
        <v>0.56736978368819535</v>
      </c>
      <c r="BN41" s="1231">
        <v>880</v>
      </c>
      <c r="BO41" s="1231">
        <f t="shared" si="30"/>
        <v>0</v>
      </c>
      <c r="BP41" s="1231"/>
      <c r="BQ41" s="926">
        <f t="shared" si="15"/>
        <v>352</v>
      </c>
      <c r="BR41" s="887">
        <f>SUM(N41:Y41)</f>
        <v>-228</v>
      </c>
      <c r="BS41" s="845">
        <f>SUM(B41:M41)</f>
        <v>1305</v>
      </c>
    </row>
    <row r="42" spans="1:72" s="840" customFormat="1" ht="21.6" customHeight="1" x14ac:dyDescent="0.35">
      <c r="A42" s="852" t="s">
        <v>97</v>
      </c>
      <c r="B42" s="837">
        <v>-265</v>
      </c>
      <c r="C42" s="837">
        <v>154</v>
      </c>
      <c r="D42" s="837">
        <v>514</v>
      </c>
      <c r="E42" s="837">
        <v>87</v>
      </c>
      <c r="F42" s="837">
        <v>6</v>
      </c>
      <c r="G42" s="837">
        <v>259</v>
      </c>
      <c r="H42" s="837">
        <v>329</v>
      </c>
      <c r="I42" s="837">
        <v>250</v>
      </c>
      <c r="J42" s="837">
        <v>379</v>
      </c>
      <c r="K42" s="837">
        <v>302</v>
      </c>
      <c r="L42" s="837">
        <v>316</v>
      </c>
      <c r="M42" s="837">
        <v>91</v>
      </c>
      <c r="N42" s="854">
        <v>-208</v>
      </c>
      <c r="O42" s="854">
        <v>489</v>
      </c>
      <c r="P42" s="854">
        <v>261</v>
      </c>
      <c r="Q42" s="854">
        <v>-108</v>
      </c>
      <c r="R42" s="854">
        <v>163</v>
      </c>
      <c r="S42" s="854">
        <v>187</v>
      </c>
      <c r="T42" s="854">
        <v>332</v>
      </c>
      <c r="U42" s="854">
        <v>114</v>
      </c>
      <c r="V42" s="838">
        <v>309</v>
      </c>
      <c r="W42" s="838">
        <v>140</v>
      </c>
      <c r="X42" s="838">
        <v>444</v>
      </c>
      <c r="Y42" s="838">
        <v>56</v>
      </c>
      <c r="Z42" s="839">
        <v>-449</v>
      </c>
      <c r="AA42" s="838">
        <v>267</v>
      </c>
      <c r="AB42" s="838">
        <v>486</v>
      </c>
      <c r="AC42" s="838">
        <v>-148</v>
      </c>
      <c r="AD42" s="838">
        <v>33</v>
      </c>
      <c r="AE42" s="838">
        <v>-477</v>
      </c>
      <c r="AF42" s="838">
        <v>-65</v>
      </c>
      <c r="AG42" s="838">
        <v>-157</v>
      </c>
      <c r="AH42" s="838">
        <v>38</v>
      </c>
      <c r="AI42" s="838">
        <v>27</v>
      </c>
      <c r="AJ42" s="838">
        <v>123</v>
      </c>
      <c r="AK42" s="1028">
        <v>-346</v>
      </c>
      <c r="AL42" s="1005">
        <v>-490</v>
      </c>
      <c r="AM42" s="934">
        <v>785</v>
      </c>
      <c r="AN42" s="934">
        <v>-172</v>
      </c>
      <c r="AO42" s="934">
        <v>-371</v>
      </c>
      <c r="AP42" s="934">
        <v>-548</v>
      </c>
      <c r="AQ42" s="934">
        <v>-299</v>
      </c>
      <c r="AR42" s="934">
        <v>-166</v>
      </c>
      <c r="AS42" s="934">
        <v>-40</v>
      </c>
      <c r="AT42" s="934">
        <v>183.14740282077744</v>
      </c>
      <c r="AU42" s="934">
        <v>-33.200000000000003</v>
      </c>
      <c r="AV42" s="934">
        <v>-152.4</v>
      </c>
      <c r="AW42" s="1121">
        <v>-474.92844857241147</v>
      </c>
      <c r="AX42" s="934">
        <v>-430.39826449250501</v>
      </c>
      <c r="AY42" s="934">
        <v>351.37935832645951</v>
      </c>
      <c r="AZ42" s="934">
        <v>277.57770052339265</v>
      </c>
      <c r="BA42" s="934">
        <v>-189.08793876630412</v>
      </c>
      <c r="BB42" s="934">
        <v>-92.898657459336931</v>
      </c>
      <c r="BC42" s="1121">
        <v>-388.7520321011159</v>
      </c>
      <c r="BD42" s="934">
        <v>-72.232822888016841</v>
      </c>
      <c r="BE42" s="934">
        <v>-71.063099022105973</v>
      </c>
      <c r="BF42" s="934">
        <v>76.331202074089077</v>
      </c>
      <c r="BG42" s="934">
        <v>10.470746554668214</v>
      </c>
      <c r="BH42" s="934">
        <v>47.431095276106326</v>
      </c>
      <c r="BI42" s="934">
        <v>-343.75728802533138</v>
      </c>
      <c r="BJ42" s="934">
        <v>-825.00000000000045</v>
      </c>
      <c r="BK42" s="935">
        <v>-1778.3810457516342</v>
      </c>
      <c r="BL42" s="1184">
        <f t="shared" si="29"/>
        <v>953.38104575163379</v>
      </c>
      <c r="BM42" s="1205">
        <f t="shared" si="2"/>
        <v>-0.536094920730943</v>
      </c>
      <c r="BN42" s="1231">
        <v>-825.00000000000045</v>
      </c>
      <c r="BO42" s="1231">
        <f t="shared" si="30"/>
        <v>0</v>
      </c>
      <c r="BP42" s="1231"/>
      <c r="BQ42" s="926">
        <f>SUM(Z42:AK42)</f>
        <v>-668</v>
      </c>
      <c r="BR42" s="887">
        <f>SUM(N42:Y42)</f>
        <v>2179</v>
      </c>
      <c r="BS42" s="845">
        <f>SUM(B42:M42)</f>
        <v>2422</v>
      </c>
    </row>
    <row r="43" spans="1:72" s="858" customFormat="1" ht="17.850000000000001" customHeight="1" x14ac:dyDescent="0.35">
      <c r="A43" s="855" t="s">
        <v>98</v>
      </c>
      <c r="B43" s="810">
        <v>36</v>
      </c>
      <c r="C43" s="810">
        <v>297</v>
      </c>
      <c r="D43" s="810">
        <v>76</v>
      </c>
      <c r="E43" s="810">
        <v>-53</v>
      </c>
      <c r="F43" s="810">
        <v>-172</v>
      </c>
      <c r="G43" s="810">
        <v>-132</v>
      </c>
      <c r="H43" s="810">
        <v>397</v>
      </c>
      <c r="I43" s="810">
        <v>-3</v>
      </c>
      <c r="J43" s="810">
        <v>230</v>
      </c>
      <c r="K43" s="810">
        <v>220</v>
      </c>
      <c r="L43" s="810">
        <v>206</v>
      </c>
      <c r="M43" s="810">
        <v>144</v>
      </c>
      <c r="N43" s="856">
        <v>193</v>
      </c>
      <c r="O43" s="856">
        <v>167</v>
      </c>
      <c r="P43" s="856">
        <v>19</v>
      </c>
      <c r="Q43" s="856">
        <v>84</v>
      </c>
      <c r="R43" s="856">
        <v>147</v>
      </c>
      <c r="S43" s="856">
        <v>4</v>
      </c>
      <c r="T43" s="856">
        <v>-78</v>
      </c>
      <c r="U43" s="856">
        <v>311</v>
      </c>
      <c r="V43" s="856">
        <v>69</v>
      </c>
      <c r="W43" s="856">
        <v>-54</v>
      </c>
      <c r="X43" s="856">
        <v>47</v>
      </c>
      <c r="Y43" s="856">
        <v>7</v>
      </c>
      <c r="Z43" s="856">
        <v>31</v>
      </c>
      <c r="AA43" s="856">
        <v>76</v>
      </c>
      <c r="AB43" s="856">
        <v>151</v>
      </c>
      <c r="AC43" s="856">
        <v>56</v>
      </c>
      <c r="AD43" s="856">
        <v>263</v>
      </c>
      <c r="AE43" s="856">
        <v>231</v>
      </c>
      <c r="AF43" s="856">
        <v>226</v>
      </c>
      <c r="AG43" s="856">
        <v>299</v>
      </c>
      <c r="AH43" s="856">
        <v>189</v>
      </c>
      <c r="AI43" s="856">
        <v>133</v>
      </c>
      <c r="AJ43" s="856">
        <v>169</v>
      </c>
      <c r="AK43" s="1036">
        <v>-210</v>
      </c>
      <c r="AL43" s="1011">
        <v>-283</v>
      </c>
      <c r="AM43" s="938">
        <v>130</v>
      </c>
      <c r="AN43" s="938">
        <v>55</v>
      </c>
      <c r="AO43" s="938">
        <v>148</v>
      </c>
      <c r="AP43" s="938">
        <v>40</v>
      </c>
      <c r="AQ43" s="938">
        <v>363</v>
      </c>
      <c r="AR43" s="938">
        <v>362</v>
      </c>
      <c r="AS43" s="938">
        <v>278</v>
      </c>
      <c r="AT43" s="938">
        <v>175.72575250836121</v>
      </c>
      <c r="AU43" s="938">
        <v>123.65886287625419</v>
      </c>
      <c r="AV43" s="938">
        <v>157.13043478260872</v>
      </c>
      <c r="AW43" s="1122">
        <v>-195.25083612040137</v>
      </c>
      <c r="AX43" s="938"/>
      <c r="AY43" s="938"/>
      <c r="AZ43" s="938"/>
      <c r="BA43" s="938"/>
      <c r="BB43" s="938"/>
      <c r="BC43" s="1122"/>
      <c r="BD43" s="938"/>
      <c r="BE43" s="938"/>
      <c r="BF43" s="938"/>
      <c r="BG43" s="938"/>
      <c r="BH43" s="938"/>
      <c r="BI43" s="938"/>
      <c r="BJ43" s="938">
        <v>0</v>
      </c>
      <c r="BK43" s="938">
        <v>1354.2642140468229</v>
      </c>
      <c r="BL43" s="1190">
        <f t="shared" si="29"/>
        <v>-1354.2642140468229</v>
      </c>
      <c r="BM43" s="1213">
        <f t="shared" si="2"/>
        <v>-1</v>
      </c>
      <c r="BN43" s="1239">
        <v>0</v>
      </c>
      <c r="BO43" s="1239">
        <f t="shared" si="30"/>
        <v>0</v>
      </c>
      <c r="BP43" s="1239"/>
      <c r="BQ43" s="987">
        <f t="shared" si="15"/>
        <v>1614</v>
      </c>
      <c r="BR43" s="884">
        <f>SUM(N43:Z43)</f>
        <v>947</v>
      </c>
      <c r="BS43" s="857"/>
    </row>
    <row r="44" spans="1:72" ht="17.850000000000001" customHeight="1" x14ac:dyDescent="0.35">
      <c r="A44" s="787" t="s">
        <v>129</v>
      </c>
      <c r="B44" s="788"/>
      <c r="C44" s="788"/>
      <c r="D44" s="788"/>
      <c r="E44" s="788"/>
      <c r="F44" s="788"/>
      <c r="G44" s="788"/>
      <c r="H44" s="788"/>
      <c r="I44" s="788"/>
      <c r="J44" s="788"/>
      <c r="K44" s="788"/>
      <c r="L44" s="788"/>
      <c r="M44" s="788"/>
      <c r="N44" s="789" t="s">
        <v>68</v>
      </c>
      <c r="O44" s="789" t="s">
        <v>69</v>
      </c>
      <c r="P44" s="789" t="s">
        <v>70</v>
      </c>
      <c r="Q44" s="789" t="s">
        <v>71</v>
      </c>
      <c r="R44" s="789" t="s">
        <v>72</v>
      </c>
      <c r="S44" s="789" t="s">
        <v>73</v>
      </c>
      <c r="T44" s="789" t="s">
        <v>74</v>
      </c>
      <c r="U44" s="789" t="s">
        <v>75</v>
      </c>
      <c r="V44" s="789" t="s">
        <v>76</v>
      </c>
      <c r="W44" s="789" t="s">
        <v>77</v>
      </c>
      <c r="X44" s="789" t="s">
        <v>78</v>
      </c>
      <c r="Y44" s="789" t="s">
        <v>79</v>
      </c>
      <c r="Z44" s="789" t="s">
        <v>68</v>
      </c>
      <c r="AA44" s="789" t="s">
        <v>69</v>
      </c>
      <c r="AB44" s="789" t="s">
        <v>70</v>
      </c>
      <c r="AC44" s="789" t="s">
        <v>71</v>
      </c>
      <c r="AD44" s="789" t="s">
        <v>72</v>
      </c>
      <c r="AE44" s="789" t="s">
        <v>73</v>
      </c>
      <c r="AF44" s="789" t="s">
        <v>74</v>
      </c>
      <c r="AG44" s="789" t="s">
        <v>75</v>
      </c>
      <c r="AH44" s="789" t="s">
        <v>76</v>
      </c>
      <c r="AI44" s="789" t="s">
        <v>77</v>
      </c>
      <c r="AJ44" s="789" t="s">
        <v>78</v>
      </c>
      <c r="AK44" s="1024" t="s">
        <v>79</v>
      </c>
      <c r="AL44" s="1002" t="s">
        <v>68</v>
      </c>
      <c r="AM44" s="789" t="s">
        <v>69</v>
      </c>
      <c r="AN44" s="789" t="s">
        <v>70</v>
      </c>
      <c r="AO44" s="789" t="s">
        <v>71</v>
      </c>
      <c r="AP44" s="789" t="s">
        <v>72</v>
      </c>
      <c r="AQ44" s="789" t="s">
        <v>73</v>
      </c>
      <c r="AR44" s="789" t="s">
        <v>74</v>
      </c>
      <c r="AS44" s="789" t="s">
        <v>75</v>
      </c>
      <c r="AT44" s="789" t="s">
        <v>76</v>
      </c>
      <c r="AU44" s="789" t="s">
        <v>77</v>
      </c>
      <c r="AV44" s="789" t="s">
        <v>78</v>
      </c>
      <c r="AW44" s="789" t="s">
        <v>79</v>
      </c>
      <c r="AX44" s="1108" t="s">
        <v>68</v>
      </c>
      <c r="AY44" s="1108" t="s">
        <v>69</v>
      </c>
      <c r="AZ44" s="1108" t="s">
        <v>70</v>
      </c>
      <c r="BA44" s="1108" t="s">
        <v>71</v>
      </c>
      <c r="BB44" s="1108" t="s">
        <v>72</v>
      </c>
      <c r="BC44" s="1108" t="s">
        <v>73</v>
      </c>
      <c r="BD44" s="1108" t="s">
        <v>74</v>
      </c>
      <c r="BE44" s="1108" t="s">
        <v>75</v>
      </c>
      <c r="BF44" s="1108" t="s">
        <v>76</v>
      </c>
      <c r="BG44" s="1108" t="s">
        <v>77</v>
      </c>
      <c r="BH44" s="1108" t="s">
        <v>78</v>
      </c>
      <c r="BI44" s="1108" t="s">
        <v>79</v>
      </c>
      <c r="BJ44" s="941"/>
      <c r="BK44" s="941"/>
      <c r="BL44" s="1186">
        <f t="shared" si="29"/>
        <v>0</v>
      </c>
      <c r="BM44" s="1208"/>
      <c r="BN44" s="1234"/>
      <c r="BO44" s="1234">
        <f t="shared" si="30"/>
        <v>0</v>
      </c>
      <c r="BP44" s="1234"/>
      <c r="BQ44" s="930"/>
      <c r="BR44" s="877">
        <f>SUM(N44:Y44)</f>
        <v>0</v>
      </c>
      <c r="BS44" s="786"/>
    </row>
    <row r="45" spans="1:72" s="817" customFormat="1" ht="17.850000000000001" customHeight="1" x14ac:dyDescent="0.35">
      <c r="A45" s="819" t="s">
        <v>223</v>
      </c>
      <c r="B45" s="814"/>
      <c r="C45" s="814"/>
      <c r="D45" s="814"/>
      <c r="E45" s="814"/>
      <c r="F45" s="815"/>
      <c r="G45" s="815"/>
      <c r="H45" s="815"/>
      <c r="I45" s="815"/>
      <c r="J45" s="815"/>
      <c r="K45" s="815"/>
      <c r="L45" s="815"/>
      <c r="M45" s="815"/>
      <c r="N45" s="818">
        <f>(N46+N47)</f>
        <v>612.27075484814168</v>
      </c>
      <c r="O45" s="818">
        <f t="shared" ref="O45:X45" si="32">(O46+O47)</f>
        <v>522.50608642142504</v>
      </c>
      <c r="P45" s="818">
        <f t="shared" si="32"/>
        <v>406.60799999999995</v>
      </c>
      <c r="Q45" s="818">
        <f t="shared" si="32"/>
        <v>156.62940378781687</v>
      </c>
      <c r="R45" s="818">
        <f t="shared" si="32"/>
        <v>1392.8766521100904</v>
      </c>
      <c r="S45" s="818">
        <f t="shared" si="32"/>
        <v>1288.6873800683784</v>
      </c>
      <c r="T45" s="818">
        <f t="shared" si="32"/>
        <v>2235.1437706828151</v>
      </c>
      <c r="U45" s="818">
        <f t="shared" si="32"/>
        <v>631.98193260799997</v>
      </c>
      <c r="V45" s="818">
        <f t="shared" si="32"/>
        <v>2071.2929999999997</v>
      </c>
      <c r="W45" s="818">
        <f t="shared" si="32"/>
        <v>259.70296335361763</v>
      </c>
      <c r="X45" s="818">
        <f t="shared" si="32"/>
        <v>302.6206089152347</v>
      </c>
      <c r="Y45" s="818">
        <f t="shared" ref="Y45:AK45" si="33">(Y46+Y47)</f>
        <v>669.169525414737</v>
      </c>
      <c r="Z45" s="818">
        <f t="shared" si="33"/>
        <v>223.04911366733418</v>
      </c>
      <c r="AA45" s="818">
        <f t="shared" si="33"/>
        <v>611.01126452139999</v>
      </c>
      <c r="AB45" s="818">
        <f t="shared" si="33"/>
        <v>835.1464610214</v>
      </c>
      <c r="AC45" s="818">
        <f t="shared" si="33"/>
        <v>413.25761551163623</v>
      </c>
      <c r="AD45" s="818">
        <f t="shared" si="33"/>
        <v>610.15464745340478</v>
      </c>
      <c r="AE45" s="818">
        <f t="shared" si="33"/>
        <v>1082.5139003398453</v>
      </c>
      <c r="AF45" s="818">
        <f t="shared" si="33"/>
        <v>387.31471672253059</v>
      </c>
      <c r="AG45" s="818">
        <f t="shared" si="33"/>
        <v>141.43826452139999</v>
      </c>
      <c r="AH45" s="818">
        <f t="shared" si="33"/>
        <v>2484.4244610214</v>
      </c>
      <c r="AI45" s="818">
        <f t="shared" si="33"/>
        <v>932.08863155143467</v>
      </c>
      <c r="AJ45" s="818">
        <f t="shared" si="33"/>
        <v>376.56089952748846</v>
      </c>
      <c r="AK45" s="1037">
        <f t="shared" si="33"/>
        <v>780.66109759809422</v>
      </c>
      <c r="AL45" s="1012">
        <v>176.59399999999999</v>
      </c>
      <c r="AM45" s="872">
        <v>909.35138286000006</v>
      </c>
      <c r="AN45" s="872">
        <v>723.59238286000004</v>
      </c>
      <c r="AO45" s="872">
        <v>490.85258285999998</v>
      </c>
      <c r="AP45" s="872">
        <v>0</v>
      </c>
      <c r="AQ45" s="872">
        <v>832.60630000000003</v>
      </c>
      <c r="AR45" s="872">
        <v>650.76454034919334</v>
      </c>
      <c r="AS45" s="872">
        <v>139.88183285999997</v>
      </c>
      <c r="AT45" s="872">
        <v>625.36179786588002</v>
      </c>
      <c r="AU45" s="872">
        <v>630.50844606587998</v>
      </c>
      <c r="AV45" s="872">
        <v>532.1429450342639</v>
      </c>
      <c r="AW45" s="872">
        <v>1362.6467628</v>
      </c>
      <c r="AX45" s="1128">
        <v>0</v>
      </c>
      <c r="AY45" s="1128">
        <v>463.23231256587997</v>
      </c>
      <c r="AZ45" s="1128">
        <v>732.12879786587996</v>
      </c>
      <c r="BA45" s="1128">
        <v>272.54803105496683</v>
      </c>
      <c r="BB45" s="1128">
        <v>272.54803105496683</v>
      </c>
      <c r="BC45" s="1128">
        <v>391.81539199999997</v>
      </c>
      <c r="BD45" s="1128">
        <v>352.61521206007313</v>
      </c>
      <c r="BE45" s="1128">
        <v>352.61521206007313</v>
      </c>
      <c r="BF45" s="1128">
        <v>869.55429786588002</v>
      </c>
      <c r="BG45" s="1128">
        <v>410.63244606588</v>
      </c>
      <c r="BH45" s="1128">
        <v>337.60433361864153</v>
      </c>
      <c r="BI45" s="1128">
        <v>406.98750000000001</v>
      </c>
      <c r="BJ45" s="1012">
        <v>4862.2815662122412</v>
      </c>
      <c r="BK45" s="872">
        <v>7074.3029735552172</v>
      </c>
      <c r="BL45" s="1012">
        <f t="shared" si="29"/>
        <v>-2212.0214073429761</v>
      </c>
      <c r="BM45" s="1214">
        <f t="shared" si="2"/>
        <v>-0.31268400796683954</v>
      </c>
      <c r="BN45" s="1240">
        <v>4862.2815662122412</v>
      </c>
      <c r="BO45" s="1240">
        <f t="shared" si="30"/>
        <v>0</v>
      </c>
      <c r="BP45" s="1240"/>
      <c r="BQ45" s="931">
        <f t="shared" ref="BQ45:BQ55" si="34">SUM(Z45:AK45)</f>
        <v>8877.6210734573688</v>
      </c>
      <c r="BR45" s="889"/>
      <c r="BS45" s="820">
        <f>BQ45+BQ48</f>
        <v>11112.065132569331</v>
      </c>
    </row>
    <row r="46" spans="1:72" ht="17.850000000000001" customHeight="1" x14ac:dyDescent="0.35">
      <c r="A46" s="992" t="s">
        <v>15</v>
      </c>
      <c r="B46" s="788"/>
      <c r="C46" s="788"/>
      <c r="D46" s="788"/>
      <c r="E46" s="788"/>
      <c r="F46" s="790"/>
      <c r="G46" s="790"/>
      <c r="H46" s="790"/>
      <c r="I46" s="790"/>
      <c r="J46" s="790"/>
      <c r="K46" s="790"/>
      <c r="L46" s="790"/>
      <c r="M46" s="790"/>
      <c r="N46" s="791">
        <v>37.156577087277924</v>
      </c>
      <c r="O46" s="791">
        <v>135.54746620799997</v>
      </c>
      <c r="P46" s="791">
        <v>406.60799999999995</v>
      </c>
      <c r="Q46" s="791">
        <v>42.291077930468916</v>
      </c>
      <c r="R46" s="791">
        <v>1068.3043149458852</v>
      </c>
      <c r="S46" s="791">
        <v>220.90109407226691</v>
      </c>
      <c r="T46" s="791">
        <f>1528.26743237239</f>
        <v>1528.26743237239</v>
      </c>
      <c r="U46" s="791">
        <v>135.54746620799997</v>
      </c>
      <c r="V46" s="791">
        <f>1771.293+300</f>
        <v>2071.2929999999997</v>
      </c>
      <c r="W46" s="791">
        <v>49.396700853617631</v>
      </c>
      <c r="X46" s="791">
        <v>82.620608915234669</v>
      </c>
      <c r="Y46" s="791">
        <v>293.402525414737</v>
      </c>
      <c r="Z46" s="791">
        <v>35.709113667334179</v>
      </c>
      <c r="AA46" s="791">
        <v>141.43826452139999</v>
      </c>
      <c r="AB46" s="791">
        <v>509.9614610214</v>
      </c>
      <c r="AC46" s="791">
        <v>47.380615511636222</v>
      </c>
      <c r="AD46" s="791">
        <v>96.936247453404803</v>
      </c>
      <c r="AE46" s="791">
        <v>276.32790033984543</v>
      </c>
      <c r="AF46" s="791">
        <v>37.615716722530635</v>
      </c>
      <c r="AG46" s="791">
        <v>141.43826452139999</v>
      </c>
      <c r="AH46" s="791">
        <v>2484.4244610214</v>
      </c>
      <c r="AI46" s="791">
        <v>270.74063155143466</v>
      </c>
      <c r="AJ46" s="791">
        <v>119.72849952748851</v>
      </c>
      <c r="AK46" s="1032">
        <f>116.960850472375+91.1442471257193</f>
        <v>208.10509759809429</v>
      </c>
      <c r="AL46" s="1013">
        <v>0</v>
      </c>
      <c r="AM46" s="869">
        <v>139.88183285999997</v>
      </c>
      <c r="AN46" s="869">
        <v>681.84968286000003</v>
      </c>
      <c r="AO46" s="869">
        <v>86.862582860000003</v>
      </c>
      <c r="AP46" s="869">
        <v>0</v>
      </c>
      <c r="AQ46" s="869">
        <v>177.5</v>
      </c>
      <c r="AR46" s="869">
        <v>32.203540349193297</v>
      </c>
      <c r="AS46" s="869">
        <v>139.88183285999997</v>
      </c>
      <c r="AT46" s="952">
        <v>625.36179786588002</v>
      </c>
      <c r="AU46" s="952">
        <v>79.666446065879995</v>
      </c>
      <c r="AV46" s="952">
        <v>532.1429450342639</v>
      </c>
      <c r="AW46" s="952">
        <v>162.79499999999999</v>
      </c>
      <c r="AX46" s="955">
        <v>0</v>
      </c>
      <c r="AY46" s="955">
        <v>128.29331256588</v>
      </c>
      <c r="AZ46" s="955">
        <v>625.36179786588002</v>
      </c>
      <c r="BA46" s="955">
        <v>162.52203105496682</v>
      </c>
      <c r="BB46" s="955">
        <v>168.15303105496685</v>
      </c>
      <c r="BC46" s="955">
        <v>162.79499999999999</v>
      </c>
      <c r="BD46" s="955">
        <v>352.61521206007313</v>
      </c>
      <c r="BE46" s="955">
        <v>352.61521206007313</v>
      </c>
      <c r="BF46" s="955">
        <v>869.55429786588002</v>
      </c>
      <c r="BG46" s="955">
        <v>79.666446065879995</v>
      </c>
      <c r="BH46" s="955">
        <v>337.60433361864153</v>
      </c>
      <c r="BI46" s="955">
        <v>406.98750000000001</v>
      </c>
      <c r="BJ46" s="1105">
        <v>3646.1681742122419</v>
      </c>
      <c r="BK46" s="953">
        <v>2658.1456607552172</v>
      </c>
      <c r="BL46" s="953">
        <f t="shared" si="29"/>
        <v>988.02251345702462</v>
      </c>
      <c r="BM46" s="1215">
        <f t="shared" si="2"/>
        <v>0.37169615196193323</v>
      </c>
      <c r="BN46" s="1241">
        <v>3646.1681742122419</v>
      </c>
      <c r="BO46" s="1241">
        <f t="shared" si="30"/>
        <v>0</v>
      </c>
      <c r="BP46" s="1241"/>
      <c r="BQ46" s="953">
        <f t="shared" si="34"/>
        <v>4369.8062734573687</v>
      </c>
      <c r="BR46" s="881">
        <f>SUM(N46:Y46)</f>
        <v>6071.3362640078776</v>
      </c>
      <c r="BS46" s="786"/>
    </row>
    <row r="47" spans="1:72" ht="17.850000000000001" customHeight="1" x14ac:dyDescent="0.35">
      <c r="A47" s="992" t="s">
        <v>16</v>
      </c>
      <c r="B47" s="788"/>
      <c r="C47" s="788"/>
      <c r="D47" s="788"/>
      <c r="E47" s="788"/>
      <c r="F47" s="790"/>
      <c r="G47" s="790"/>
      <c r="H47" s="790"/>
      <c r="I47" s="790"/>
      <c r="J47" s="790"/>
      <c r="K47" s="790"/>
      <c r="L47" s="790"/>
      <c r="M47" s="790"/>
      <c r="N47" s="791">
        <v>575.11417776086375</v>
      </c>
      <c r="O47" s="791">
        <v>386.95862021342504</v>
      </c>
      <c r="P47" s="791">
        <v>0</v>
      </c>
      <c r="Q47" s="791">
        <v>114.33832585734795</v>
      </c>
      <c r="R47" s="791">
        <v>324.57233716420529</v>
      </c>
      <c r="S47" s="791">
        <v>1067.7862859961115</v>
      </c>
      <c r="T47" s="791">
        <v>706.87633831042501</v>
      </c>
      <c r="U47" s="791">
        <v>496.43446640000002</v>
      </c>
      <c r="V47" s="791">
        <v>0</v>
      </c>
      <c r="W47" s="791">
        <v>210.3062625</v>
      </c>
      <c r="X47" s="791">
        <v>220.00000000000003</v>
      </c>
      <c r="Y47" s="791">
        <v>375.767</v>
      </c>
      <c r="Z47" s="791">
        <v>187.34</v>
      </c>
      <c r="AA47" s="791">
        <v>469.57300000000004</v>
      </c>
      <c r="AB47" s="791">
        <v>325.185</v>
      </c>
      <c r="AC47" s="791">
        <v>365.87700000000001</v>
      </c>
      <c r="AD47" s="791">
        <v>513.21839999999997</v>
      </c>
      <c r="AE47" s="791">
        <v>806.18599999999992</v>
      </c>
      <c r="AF47" s="791">
        <v>349.69899999999996</v>
      </c>
      <c r="AG47" s="791">
        <v>0</v>
      </c>
      <c r="AH47" s="791">
        <v>0</v>
      </c>
      <c r="AI47" s="791">
        <v>661.34800000000007</v>
      </c>
      <c r="AJ47" s="791">
        <v>256.83239999999995</v>
      </c>
      <c r="AK47" s="1032">
        <v>572.55599999999993</v>
      </c>
      <c r="AL47" s="1105">
        <v>176.59399999999999</v>
      </c>
      <c r="AM47" s="952">
        <v>769.46955000000003</v>
      </c>
      <c r="AN47" s="952">
        <v>41.742699999999992</v>
      </c>
      <c r="AO47" s="952">
        <v>403.99</v>
      </c>
      <c r="AP47" s="952">
        <v>0</v>
      </c>
      <c r="AQ47" s="952">
        <v>655.10630000000003</v>
      </c>
      <c r="AR47" s="869">
        <v>618.56100000000004</v>
      </c>
      <c r="AS47" s="869">
        <v>0</v>
      </c>
      <c r="AT47" s="955">
        <v>0</v>
      </c>
      <c r="AU47" s="955">
        <v>550.8420000000001</v>
      </c>
      <c r="AV47" s="955">
        <v>0</v>
      </c>
      <c r="AW47" s="1129">
        <v>1199.8517628</v>
      </c>
      <c r="AX47" s="955">
        <v>0</v>
      </c>
      <c r="AY47" s="955">
        <v>334.93899999999996</v>
      </c>
      <c r="AZ47" s="955">
        <v>106.767</v>
      </c>
      <c r="BA47" s="955">
        <v>110.026</v>
      </c>
      <c r="BB47" s="955">
        <v>104.395</v>
      </c>
      <c r="BC47" s="955">
        <v>229.02039199999999</v>
      </c>
      <c r="BD47" s="955">
        <v>0</v>
      </c>
      <c r="BE47" s="955">
        <v>0</v>
      </c>
      <c r="BF47" s="955">
        <v>0</v>
      </c>
      <c r="BG47" s="955">
        <v>330.96600000000001</v>
      </c>
      <c r="BH47" s="955">
        <v>0</v>
      </c>
      <c r="BI47" s="955">
        <v>0</v>
      </c>
      <c r="BJ47" s="1130">
        <v>1216.113392</v>
      </c>
      <c r="BK47" s="943">
        <v>4416.1573128</v>
      </c>
      <c r="BL47" s="943">
        <f t="shared" si="29"/>
        <v>-3200.0439207999998</v>
      </c>
      <c r="BM47" s="1216">
        <f t="shared" si="2"/>
        <v>-0.72462181352209543</v>
      </c>
      <c r="BN47" s="1242">
        <v>1216.113392</v>
      </c>
      <c r="BO47" s="1242">
        <f t="shared" si="30"/>
        <v>0</v>
      </c>
      <c r="BP47" s="1242"/>
      <c r="BQ47" s="943">
        <f t="shared" si="34"/>
        <v>4507.8147999999992</v>
      </c>
      <c r="BR47" s="881">
        <f>SUM(N47:Y47)</f>
        <v>4478.1538142023783</v>
      </c>
      <c r="BS47" s="796">
        <f>AF47+AF50</f>
        <v>359.31572249999994</v>
      </c>
      <c r="BT47" s="1"/>
    </row>
    <row r="48" spans="1:72" ht="17.850000000000001" customHeight="1" x14ac:dyDescent="0.35">
      <c r="A48" s="993" t="s">
        <v>195</v>
      </c>
      <c r="B48" s="788"/>
      <c r="C48" s="788"/>
      <c r="D48" s="788"/>
      <c r="E48" s="788"/>
      <c r="F48" s="790"/>
      <c r="G48" s="790"/>
      <c r="H48" s="790"/>
      <c r="I48" s="790"/>
      <c r="J48" s="790"/>
      <c r="K48" s="790"/>
      <c r="L48" s="790"/>
      <c r="M48" s="790"/>
      <c r="N48" s="798">
        <f t="shared" ref="N48:AJ48" si="35">SUM(N49:N51)</f>
        <v>110.38432677686045</v>
      </c>
      <c r="O48" s="798">
        <f t="shared" si="35"/>
        <v>215.38663161163214</v>
      </c>
      <c r="P48" s="798">
        <f t="shared" si="35"/>
        <v>630.11623765554077</v>
      </c>
      <c r="Q48" s="798">
        <f t="shared" si="35"/>
        <v>171.97997294681412</v>
      </c>
      <c r="R48" s="798">
        <f t="shared" si="35"/>
        <v>233.82010316325318</v>
      </c>
      <c r="S48" s="798">
        <f t="shared" si="35"/>
        <v>151.77473686159632</v>
      </c>
      <c r="T48" s="798">
        <f t="shared" si="35"/>
        <v>167.33897624725057</v>
      </c>
      <c r="U48" s="798">
        <f t="shared" si="35"/>
        <v>179.33112011423677</v>
      </c>
      <c r="V48" s="798">
        <f t="shared" si="35"/>
        <v>691.01450143242482</v>
      </c>
      <c r="W48" s="798">
        <f t="shared" si="35"/>
        <v>73.740489065825628</v>
      </c>
      <c r="X48" s="798">
        <f t="shared" si="35"/>
        <v>199.5410482897687</v>
      </c>
      <c r="Y48" s="798">
        <f t="shared" si="35"/>
        <v>117.35926982225733</v>
      </c>
      <c r="Z48" s="798">
        <f t="shared" si="35"/>
        <v>89.26789837733314</v>
      </c>
      <c r="AA48" s="798">
        <f t="shared" si="35"/>
        <v>125.11018223939999</v>
      </c>
      <c r="AB48" s="798">
        <f t="shared" si="35"/>
        <v>589.9758126045557</v>
      </c>
      <c r="AC48" s="798">
        <f t="shared" si="35"/>
        <v>140.55619305871818</v>
      </c>
      <c r="AD48" s="798">
        <f>SUM(AD49:AD51)</f>
        <v>151.29132684059999</v>
      </c>
      <c r="AE48" s="798">
        <f t="shared" si="35"/>
        <v>138.94205665041031</v>
      </c>
      <c r="AF48" s="798">
        <f t="shared" si="35"/>
        <v>9.6167224999999998</v>
      </c>
      <c r="AG48" s="798">
        <f t="shared" si="35"/>
        <v>115.96031191039999</v>
      </c>
      <c r="AH48" s="798">
        <f t="shared" si="35"/>
        <v>561.80953190048638</v>
      </c>
      <c r="AI48" s="798">
        <f t="shared" si="35"/>
        <v>56.759565273604089</v>
      </c>
      <c r="AJ48" s="798">
        <f t="shared" si="35"/>
        <v>199.4136534756</v>
      </c>
      <c r="AK48" s="867">
        <f>SUM(AK49:AK51)</f>
        <v>55.740804280854405</v>
      </c>
      <c r="AL48" s="956">
        <v>72.850989669893025</v>
      </c>
      <c r="AM48" s="956">
        <v>178.69080460148399</v>
      </c>
      <c r="AN48" s="956">
        <v>640.48551209220489</v>
      </c>
      <c r="AO48" s="956">
        <v>110.9363762775659</v>
      </c>
      <c r="AP48" s="956">
        <v>295.686007476079</v>
      </c>
      <c r="AQ48" s="956">
        <v>134.15664843916807</v>
      </c>
      <c r="AR48" s="1008">
        <v>80.835015268372018</v>
      </c>
      <c r="AS48" s="867">
        <v>150.64421283673346</v>
      </c>
      <c r="AT48" s="956">
        <v>51.012220121207221</v>
      </c>
      <c r="AU48" s="956">
        <v>69.059280343162612</v>
      </c>
      <c r="AV48" s="956">
        <v>132.06799495422601</v>
      </c>
      <c r="AW48" s="1125">
        <v>70.060589003244687</v>
      </c>
      <c r="AX48" s="956">
        <v>9.5120838813692696</v>
      </c>
      <c r="AY48" s="956">
        <v>172.51060258935379</v>
      </c>
      <c r="AZ48" s="956">
        <v>30.965943635850465</v>
      </c>
      <c r="BA48" s="956">
        <v>19.081118511019078</v>
      </c>
      <c r="BB48" s="956">
        <v>149.89617666478961</v>
      </c>
      <c r="BC48" s="956">
        <v>16.290055598270229</v>
      </c>
      <c r="BD48" s="956">
        <v>18.308896377459924</v>
      </c>
      <c r="BE48" s="956">
        <v>186.06472605975407</v>
      </c>
      <c r="BF48" s="956">
        <v>7.6537825576916489</v>
      </c>
      <c r="BG48" s="956">
        <v>14.024055036719931</v>
      </c>
      <c r="BH48" s="956">
        <v>143.50840595503917</v>
      </c>
      <c r="BI48" s="956">
        <v>3.1258120216168881</v>
      </c>
      <c r="BJ48" s="1126">
        <v>770.94165888893406</v>
      </c>
      <c r="BK48" s="956">
        <v>1986.4856510833413</v>
      </c>
      <c r="BL48" s="956">
        <f t="shared" si="29"/>
        <v>-1215.5439921944071</v>
      </c>
      <c r="BM48" s="1217">
        <f t="shared" si="2"/>
        <v>-0.6119067568051666</v>
      </c>
      <c r="BN48" s="1243">
        <v>770.94165888893406</v>
      </c>
      <c r="BO48" s="1243">
        <f t="shared" si="30"/>
        <v>0</v>
      </c>
      <c r="BP48" s="1243"/>
      <c r="BQ48" s="933">
        <f t="shared" si="34"/>
        <v>2234.4440591119619</v>
      </c>
      <c r="BR48" s="881">
        <f>SUM(N48:Y48)</f>
        <v>2941.7874139874607</v>
      </c>
      <c r="BS48" s="786"/>
    </row>
    <row r="49" spans="1:72" ht="17.850000000000001" customHeight="1" x14ac:dyDescent="0.35">
      <c r="A49" s="994" t="s">
        <v>15</v>
      </c>
      <c r="B49" s="788"/>
      <c r="C49" s="788"/>
      <c r="D49" s="788"/>
      <c r="E49" s="788"/>
      <c r="F49" s="790"/>
      <c r="G49" s="790"/>
      <c r="H49" s="790"/>
      <c r="I49" s="790"/>
      <c r="J49" s="790"/>
      <c r="K49" s="790"/>
      <c r="L49" s="790"/>
      <c r="M49" s="790"/>
      <c r="N49" s="798">
        <v>30.384541670097853</v>
      </c>
      <c r="O49" s="798">
        <v>111.676052032</v>
      </c>
      <c r="P49" s="798">
        <v>536.70998125000006</v>
      </c>
      <c r="Q49" s="798">
        <v>124.83337590928619</v>
      </c>
      <c r="R49" s="798">
        <v>147.67342502399998</v>
      </c>
      <c r="S49" s="798">
        <v>93.283332137665553</v>
      </c>
      <c r="T49" s="798">
        <v>94.91474931734102</v>
      </c>
      <c r="U49" s="798">
        <v>96.023619768230162</v>
      </c>
      <c r="V49" s="798">
        <v>604.35267508887603</v>
      </c>
      <c r="W49" s="798">
        <v>48.341502655999996</v>
      </c>
      <c r="X49" s="798">
        <v>126.34150265599999</v>
      </c>
      <c r="Y49" s="798">
        <v>57.324675739298257</v>
      </c>
      <c r="Z49" s="798">
        <v>79.651175877333145</v>
      </c>
      <c r="AA49" s="798">
        <v>105.5193564894</v>
      </c>
      <c r="AB49" s="798">
        <v>589.9758126045557</v>
      </c>
      <c r="AC49" s="798">
        <v>114.90318290871818</v>
      </c>
      <c r="AD49" s="798">
        <v>142.44840570060001</v>
      </c>
      <c r="AE49" s="798">
        <v>97.08077815041031</v>
      </c>
      <c r="AF49" s="798">
        <v>0</v>
      </c>
      <c r="AG49" s="798">
        <v>97.674856010399992</v>
      </c>
      <c r="AH49" s="798">
        <v>559.72757540048633</v>
      </c>
      <c r="AI49" s="798">
        <v>33.147201773604088</v>
      </c>
      <c r="AJ49" s="798">
        <v>196.26745657559999</v>
      </c>
      <c r="AK49" s="867">
        <f>26.0603149308544+14</f>
        <v>40.060314930854403</v>
      </c>
      <c r="AL49" s="956">
        <v>36.728482141405323</v>
      </c>
      <c r="AM49" s="956">
        <v>107.74048229966125</v>
      </c>
      <c r="AN49" s="956">
        <v>582.59837604032327</v>
      </c>
      <c r="AO49" s="956">
        <v>78</v>
      </c>
      <c r="AP49" s="956">
        <v>235.48600747607901</v>
      </c>
      <c r="AQ49" s="956">
        <v>85.837673163437259</v>
      </c>
      <c r="AR49" s="1008">
        <v>49.985279785380264</v>
      </c>
      <c r="AS49" s="867">
        <v>116.79096374</v>
      </c>
      <c r="AT49" s="956">
        <v>35.739204383927714</v>
      </c>
      <c r="AU49" s="956">
        <v>52.992809753591835</v>
      </c>
      <c r="AV49" s="956">
        <v>99.460770862200008</v>
      </c>
      <c r="AW49" s="1125">
        <v>44.703700174490052</v>
      </c>
      <c r="AX49" s="956">
        <v>2.1046544993113674</v>
      </c>
      <c r="AY49" s="956">
        <v>154.43781942257937</v>
      </c>
      <c r="AZ49" s="956">
        <v>1.2578858056642648</v>
      </c>
      <c r="BA49" s="956">
        <v>5.1749227632870411</v>
      </c>
      <c r="BB49" s="956">
        <v>134.07165067382488</v>
      </c>
      <c r="BC49" s="956">
        <v>2.3394604634846035</v>
      </c>
      <c r="BD49" s="956">
        <v>3.6015633061890036</v>
      </c>
      <c r="BE49" s="956">
        <v>162.44420510751834</v>
      </c>
      <c r="BF49" s="956">
        <v>0</v>
      </c>
      <c r="BG49" s="956">
        <v>5.2466514521641487</v>
      </c>
      <c r="BH49" s="956">
        <v>127.2388951466063</v>
      </c>
      <c r="BI49" s="956">
        <v>0</v>
      </c>
      <c r="BJ49" s="1126">
        <v>597.91770864062937</v>
      </c>
      <c r="BK49" s="956">
        <v>1526.0637498204962</v>
      </c>
      <c r="BL49" s="956">
        <f t="shared" si="29"/>
        <v>-928.14604117986687</v>
      </c>
      <c r="BM49" s="1217">
        <f t="shared" si="2"/>
        <v>-0.60819611322858591</v>
      </c>
      <c r="BN49" s="1243">
        <v>597.91770864062937</v>
      </c>
      <c r="BO49" s="1243">
        <f t="shared" si="30"/>
        <v>0</v>
      </c>
      <c r="BP49" s="1243"/>
      <c r="BQ49" s="933">
        <f t="shared" si="34"/>
        <v>2056.4561164219622</v>
      </c>
      <c r="BR49" s="881"/>
      <c r="BS49" s="786"/>
    </row>
    <row r="50" spans="1:72" ht="17.850000000000001" customHeight="1" x14ac:dyDescent="0.35">
      <c r="A50" s="994" t="s">
        <v>16</v>
      </c>
      <c r="B50" s="788"/>
      <c r="C50" s="788"/>
      <c r="D50" s="788"/>
      <c r="E50" s="788"/>
      <c r="F50" s="790"/>
      <c r="G50" s="790"/>
      <c r="H50" s="790"/>
      <c r="I50" s="790"/>
      <c r="J50" s="790"/>
      <c r="K50" s="790"/>
      <c r="L50" s="790"/>
      <c r="M50" s="790"/>
      <c r="N50" s="798">
        <v>31.489851726597799</v>
      </c>
      <c r="O50" s="798">
        <v>26.567771213057569</v>
      </c>
      <c r="P50" s="798">
        <v>1.5717718691845716E-4</v>
      </c>
      <c r="Q50" s="798">
        <v>14.837058900780621</v>
      </c>
      <c r="R50" s="798">
        <v>13.487379544307203</v>
      </c>
      <c r="S50" s="798">
        <v>31.571385906797424</v>
      </c>
      <c r="T50" s="798">
        <v>27.77835732933821</v>
      </c>
      <c r="U50" s="798">
        <v>22.434466399999998</v>
      </c>
      <c r="V50" s="798">
        <v>0</v>
      </c>
      <c r="W50" s="798">
        <v>10.8592625</v>
      </c>
      <c r="X50" s="798">
        <v>7.6639972200000015</v>
      </c>
      <c r="Y50" s="798">
        <v>39.085609199999993</v>
      </c>
      <c r="Z50" s="798">
        <v>9.6167224999999998</v>
      </c>
      <c r="AA50" s="798">
        <v>19.59082575</v>
      </c>
      <c r="AB50" s="798">
        <v>0</v>
      </c>
      <c r="AC50" s="798">
        <v>25.653010150000004</v>
      </c>
      <c r="AD50" s="798">
        <v>8.8429211400000014</v>
      </c>
      <c r="AE50" s="798">
        <v>41.861278500000004</v>
      </c>
      <c r="AF50" s="798">
        <v>9.6167224999999998</v>
      </c>
      <c r="AG50" s="798">
        <v>18.285455899999999</v>
      </c>
      <c r="AH50" s="798">
        <v>2.0819565</v>
      </c>
      <c r="AI50" s="798">
        <v>23.612363500000001</v>
      </c>
      <c r="AJ50" s="798">
        <v>3.1461969000000001</v>
      </c>
      <c r="AK50" s="867">
        <v>15.680489349999998</v>
      </c>
      <c r="AL50" s="956">
        <v>9.5933785</v>
      </c>
      <c r="AM50" s="956">
        <v>18.067195275</v>
      </c>
      <c r="AN50" s="956">
        <v>2.447205125</v>
      </c>
      <c r="AO50" s="956">
        <v>14.5488135</v>
      </c>
      <c r="AP50" s="956">
        <v>0</v>
      </c>
      <c r="AQ50" s="956">
        <v>15.489700750000001</v>
      </c>
      <c r="AR50" s="1008">
        <v>11.4433785</v>
      </c>
      <c r="AS50" s="867">
        <v>0</v>
      </c>
      <c r="AT50" s="956">
        <v>2.0819565</v>
      </c>
      <c r="AU50" s="956">
        <v>8.489317999999999</v>
      </c>
      <c r="AV50" s="956">
        <v>1.9313075</v>
      </c>
      <c r="AW50" s="1125">
        <v>16.598163435</v>
      </c>
      <c r="AX50" s="956">
        <v>3.48346336</v>
      </c>
      <c r="AY50" s="956">
        <v>6.5145635500000001</v>
      </c>
      <c r="AZ50" s="956">
        <v>2.0819565</v>
      </c>
      <c r="BA50" s="956">
        <v>8.489317999999999</v>
      </c>
      <c r="BB50" s="956">
        <v>1.9313075</v>
      </c>
      <c r="BC50" s="956">
        <v>3.9028069000000003</v>
      </c>
      <c r="BD50" s="956">
        <v>3.48346336</v>
      </c>
      <c r="BE50" s="956">
        <v>0</v>
      </c>
      <c r="BF50" s="956">
        <v>0</v>
      </c>
      <c r="BG50" s="956">
        <v>6.4538369999999992</v>
      </c>
      <c r="BH50" s="956">
        <v>0</v>
      </c>
      <c r="BI50" s="956">
        <v>0</v>
      </c>
      <c r="BJ50" s="1126">
        <v>36.34071617</v>
      </c>
      <c r="BK50" s="956">
        <v>100.69041708500001</v>
      </c>
      <c r="BL50" s="956">
        <f t="shared" si="29"/>
        <v>-64.349700915</v>
      </c>
      <c r="BM50" s="1217">
        <f t="shared" si="2"/>
        <v>-0.63908465947338167</v>
      </c>
      <c r="BN50" s="1243">
        <v>36.34071617</v>
      </c>
      <c r="BO50" s="1243">
        <f t="shared" si="30"/>
        <v>0</v>
      </c>
      <c r="BP50" s="1243"/>
      <c r="BQ50" s="933">
        <f t="shared" si="34"/>
        <v>177.98794268999998</v>
      </c>
      <c r="BR50" s="881"/>
      <c r="BS50" s="786"/>
      <c r="BT50" s="1"/>
    </row>
    <row r="51" spans="1:72" ht="19.149999999999999" customHeight="1" x14ac:dyDescent="0.35">
      <c r="A51" s="994" t="s">
        <v>208</v>
      </c>
      <c r="B51" s="788"/>
      <c r="C51" s="788"/>
      <c r="D51" s="788"/>
      <c r="E51" s="788"/>
      <c r="F51" s="790"/>
      <c r="G51" s="790"/>
      <c r="H51" s="790"/>
      <c r="I51" s="790"/>
      <c r="J51" s="790"/>
      <c r="K51" s="790"/>
      <c r="L51" s="790"/>
      <c r="M51" s="790"/>
      <c r="N51" s="798">
        <v>48.509933380164796</v>
      </c>
      <c r="O51" s="798">
        <v>77.142808366574556</v>
      </c>
      <c r="P51" s="798">
        <v>93.406099228353824</v>
      </c>
      <c r="Q51" s="798">
        <v>32.309538136747314</v>
      </c>
      <c r="R51" s="798">
        <v>72.659298594945994</v>
      </c>
      <c r="S51" s="798">
        <v>26.920018817133364</v>
      </c>
      <c r="T51" s="798">
        <v>44.645869600571331</v>
      </c>
      <c r="U51" s="798">
        <v>60.873033946006608</v>
      </c>
      <c r="V51" s="798">
        <v>86.661826343548768</v>
      </c>
      <c r="W51" s="798">
        <v>14.53972390982563</v>
      </c>
      <c r="X51" s="798">
        <v>65.535548413768709</v>
      </c>
      <c r="Y51" s="798">
        <v>20.948984882959078</v>
      </c>
      <c r="Z51" s="798">
        <f>Z106</f>
        <v>0</v>
      </c>
      <c r="AA51" s="798">
        <f>AA106</f>
        <v>0</v>
      </c>
      <c r="AB51" s="798">
        <f>AB106</f>
        <v>0</v>
      </c>
      <c r="AC51" s="798">
        <f t="shared" ref="AC51:AJ51" si="36">AC106</f>
        <v>0</v>
      </c>
      <c r="AD51" s="798">
        <v>0</v>
      </c>
      <c r="AE51" s="798">
        <f t="shared" si="36"/>
        <v>0</v>
      </c>
      <c r="AF51" s="798">
        <f>AF106</f>
        <v>0</v>
      </c>
      <c r="AG51" s="798">
        <f t="shared" si="36"/>
        <v>0</v>
      </c>
      <c r="AH51" s="798">
        <f t="shared" si="36"/>
        <v>0</v>
      </c>
      <c r="AI51" s="798">
        <f>AI106</f>
        <v>0</v>
      </c>
      <c r="AJ51" s="798">
        <f t="shared" si="36"/>
        <v>0</v>
      </c>
      <c r="AK51" s="867">
        <f>AK106</f>
        <v>0</v>
      </c>
      <c r="AL51" s="956">
        <v>26.529129028487706</v>
      </c>
      <c r="AM51" s="956">
        <v>52.88312702682272</v>
      </c>
      <c r="AN51" s="956">
        <v>55.439930926881679</v>
      </c>
      <c r="AO51" s="956">
        <v>18.387562777565897</v>
      </c>
      <c r="AP51" s="956">
        <v>60.2</v>
      </c>
      <c r="AQ51" s="956">
        <v>32.829274525730803</v>
      </c>
      <c r="AR51" s="1008">
        <v>19.406356982991753</v>
      </c>
      <c r="AS51" s="867">
        <v>33.85324909673345</v>
      </c>
      <c r="AT51" s="956">
        <v>13.191059237279509</v>
      </c>
      <c r="AU51" s="956">
        <v>7.5771525895707832</v>
      </c>
      <c r="AV51" s="1125">
        <v>30.675916592025992</v>
      </c>
      <c r="AW51" s="956">
        <v>8.7587253937546308</v>
      </c>
      <c r="AX51" s="956">
        <v>3.9239660220579027</v>
      </c>
      <c r="AY51" s="956">
        <v>11.558219616774435</v>
      </c>
      <c r="AZ51" s="956">
        <v>27.626101330186199</v>
      </c>
      <c r="BA51" s="956">
        <v>5.4168777477320358</v>
      </c>
      <c r="BB51" s="956">
        <v>13.893218490964728</v>
      </c>
      <c r="BC51" s="956">
        <v>10.047788234785626</v>
      </c>
      <c r="BD51" s="956">
        <v>11.22386971127092</v>
      </c>
      <c r="BE51" s="956">
        <v>23.620520952235733</v>
      </c>
      <c r="BF51" s="956">
        <v>7.6537825576916489</v>
      </c>
      <c r="BG51" s="956">
        <v>2.3235665845557834</v>
      </c>
      <c r="BH51" s="956">
        <v>16.269510808432859</v>
      </c>
      <c r="BI51" s="956">
        <v>3.1258120216168881</v>
      </c>
      <c r="BJ51" s="956">
        <v>136.68323407830476</v>
      </c>
      <c r="BK51" s="1126">
        <v>359.73148417784495</v>
      </c>
      <c r="BL51" s="1126">
        <f t="shared" si="29"/>
        <v>-223.04825009954018</v>
      </c>
      <c r="BM51" s="1218">
        <f t="shared" si="2"/>
        <v>-0.62004094695606082</v>
      </c>
      <c r="BN51" s="1244">
        <v>136.68323407830476</v>
      </c>
      <c r="BO51" s="1244">
        <f t="shared" si="30"/>
        <v>0</v>
      </c>
      <c r="BP51" s="1244"/>
      <c r="BQ51" s="933">
        <f t="shared" si="34"/>
        <v>0</v>
      </c>
      <c r="BR51" s="890">
        <f>SUM(N51:Y51)</f>
        <v>644.15268362059999</v>
      </c>
      <c r="BS51" s="1000">
        <f>BK47+BK50</f>
        <v>4516.8477298850003</v>
      </c>
    </row>
    <row r="52" spans="1:72" s="817" customFormat="1" ht="17.850000000000001" customHeight="1" x14ac:dyDescent="0.35">
      <c r="A52" s="819" t="s">
        <v>169</v>
      </c>
      <c r="B52" s="814"/>
      <c r="C52" s="814"/>
      <c r="D52" s="814"/>
      <c r="E52" s="814"/>
      <c r="F52" s="815"/>
      <c r="G52" s="815"/>
      <c r="H52" s="815"/>
      <c r="I52" s="815"/>
      <c r="J52" s="815"/>
      <c r="K52" s="815"/>
      <c r="L52" s="815"/>
      <c r="M52" s="815"/>
      <c r="N52" s="818">
        <f t="shared" ref="N52:AF52" si="37">SUM(N53:N54)</f>
        <v>0</v>
      </c>
      <c r="O52" s="818">
        <f t="shared" si="37"/>
        <v>202.33729210000001</v>
      </c>
      <c r="P52" s="818">
        <f t="shared" si="37"/>
        <v>1183.376422258</v>
      </c>
      <c r="Q52" s="818">
        <f t="shared" si="37"/>
        <v>164.34614382000001</v>
      </c>
      <c r="R52" s="818">
        <f t="shared" si="37"/>
        <v>368.80851966</v>
      </c>
      <c r="S52" s="818">
        <f t="shared" si="37"/>
        <v>895.69040000000007</v>
      </c>
      <c r="T52" s="818">
        <f t="shared" si="37"/>
        <v>713.22500000000002</v>
      </c>
      <c r="U52" s="818">
        <f t="shared" si="37"/>
        <v>250.5</v>
      </c>
      <c r="V52" s="818">
        <f t="shared" si="37"/>
        <v>112</v>
      </c>
      <c r="W52" s="818">
        <f t="shared" si="37"/>
        <v>183</v>
      </c>
      <c r="X52" s="818">
        <f t="shared" si="37"/>
        <v>345.5</v>
      </c>
      <c r="Y52" s="818">
        <f t="shared" si="37"/>
        <v>1722.329</v>
      </c>
      <c r="Z52" s="818">
        <f t="shared" si="37"/>
        <v>48.2</v>
      </c>
      <c r="AA52" s="818">
        <f t="shared" si="37"/>
        <v>456.7</v>
      </c>
      <c r="AB52" s="818">
        <f t="shared" si="37"/>
        <v>474</v>
      </c>
      <c r="AC52" s="818">
        <f t="shared" si="37"/>
        <v>121.4</v>
      </c>
      <c r="AD52" s="818">
        <f t="shared" si="37"/>
        <v>353.7</v>
      </c>
      <c r="AE52" s="818">
        <f t="shared" si="37"/>
        <v>726</v>
      </c>
      <c r="AF52" s="818">
        <f t="shared" si="37"/>
        <v>140</v>
      </c>
      <c r="AG52" s="818">
        <f>SUM(AG53:AG53)</f>
        <v>130.4</v>
      </c>
      <c r="AH52" s="818">
        <f>SUM(AH53:AH54)</f>
        <v>216.9</v>
      </c>
      <c r="AI52" s="818">
        <f>SUM(AI53:AI54)</f>
        <v>1015.5</v>
      </c>
      <c r="AJ52" s="818">
        <f>SUM(AJ53:AJ54)</f>
        <v>255</v>
      </c>
      <c r="AK52" s="872">
        <f t="shared" ref="AK52" si="38">SUM(AK53:AK55)</f>
        <v>858.3</v>
      </c>
      <c r="AL52" s="1128">
        <v>218.43099999999998</v>
      </c>
      <c r="AM52" s="1128">
        <v>261.70979999999997</v>
      </c>
      <c r="AN52" s="1128">
        <v>3274</v>
      </c>
      <c r="AO52" s="1128">
        <v>1887</v>
      </c>
      <c r="AP52" s="1128">
        <v>1463.3750299999999</v>
      </c>
      <c r="AQ52" s="1128">
        <v>2763.2</v>
      </c>
      <c r="AR52" s="1012">
        <v>3409</v>
      </c>
      <c r="AS52" s="872">
        <v>4788.3999999999996</v>
      </c>
      <c r="AT52" s="872">
        <v>2033.8</v>
      </c>
      <c r="AU52" s="872">
        <v>4845.2</v>
      </c>
      <c r="AV52" s="872">
        <v>3012.166666666667</v>
      </c>
      <c r="AW52" s="1128">
        <v>4250</v>
      </c>
      <c r="AX52" s="1128">
        <v>2571.7155000000002</v>
      </c>
      <c r="AY52" s="1128">
        <v>2679.8244</v>
      </c>
      <c r="AZ52" s="1128">
        <v>2559.3364999999999</v>
      </c>
      <c r="BA52" s="1128">
        <v>2690.3560550000002</v>
      </c>
      <c r="BB52" s="1128">
        <v>2640.7085150000003</v>
      </c>
      <c r="BC52" s="1128">
        <v>2791.6101960000001</v>
      </c>
      <c r="BD52" s="1128">
        <v>2757</v>
      </c>
      <c r="BE52" s="1128">
        <v>2549.8000000000002</v>
      </c>
      <c r="BF52" s="1128">
        <v>2525.85</v>
      </c>
      <c r="BG52" s="1128">
        <v>2945.5830000000001</v>
      </c>
      <c r="BH52" s="1128">
        <v>2618.583333333333</v>
      </c>
      <c r="BI52" s="1128">
        <v>3150</v>
      </c>
      <c r="BJ52" s="1128">
        <v>32480.367499333326</v>
      </c>
      <c r="BK52" s="1127">
        <v>32206.28249666667</v>
      </c>
      <c r="BL52" s="1191">
        <f t="shared" si="29"/>
        <v>274.08500266665578</v>
      </c>
      <c r="BM52" s="1219">
        <f t="shared" si="2"/>
        <v>8.5102961726496503E-3</v>
      </c>
      <c r="BN52" s="1245">
        <v>32666.451632666663</v>
      </c>
      <c r="BO52" s="1245">
        <f t="shared" si="30"/>
        <v>-186.08413333333738</v>
      </c>
      <c r="BP52" s="1245"/>
      <c r="BQ52" s="954">
        <f t="shared" si="34"/>
        <v>4796.1000000000004</v>
      </c>
      <c r="BR52" s="883"/>
      <c r="BS52" s="816"/>
    </row>
    <row r="53" spans="1:72" ht="29.45" customHeight="1" x14ac:dyDescent="0.35">
      <c r="A53" s="992" t="s">
        <v>18</v>
      </c>
      <c r="B53" s="788"/>
      <c r="C53" s="788"/>
      <c r="D53" s="788"/>
      <c r="E53" s="788"/>
      <c r="F53" s="790"/>
      <c r="G53" s="790"/>
      <c r="H53" s="790"/>
      <c r="I53" s="790"/>
      <c r="J53" s="790"/>
      <c r="K53" s="790"/>
      <c r="L53" s="790"/>
      <c r="M53" s="790"/>
      <c r="N53" s="791">
        <v>0</v>
      </c>
      <c r="O53" s="791">
        <v>202.33729210000001</v>
      </c>
      <c r="P53" s="791">
        <v>1183.376422258</v>
      </c>
      <c r="Q53" s="791">
        <v>164.34614382000001</v>
      </c>
      <c r="R53" s="791">
        <v>368.80851966</v>
      </c>
      <c r="S53" s="791">
        <v>395.69040000000007</v>
      </c>
      <c r="T53" s="791">
        <v>608.22500000000002</v>
      </c>
      <c r="U53" s="791">
        <v>250.5</v>
      </c>
      <c r="V53" s="791">
        <v>112</v>
      </c>
      <c r="W53" s="791">
        <v>183</v>
      </c>
      <c r="X53" s="791">
        <v>345.5</v>
      </c>
      <c r="Y53" s="791">
        <v>1002.329</v>
      </c>
      <c r="Z53" s="791">
        <v>48.2</v>
      </c>
      <c r="AA53" s="791">
        <v>456.7</v>
      </c>
      <c r="AB53" s="791">
        <v>474</v>
      </c>
      <c r="AC53" s="791">
        <v>121.4</v>
      </c>
      <c r="AD53" s="791">
        <v>353.7</v>
      </c>
      <c r="AE53" s="791">
        <v>726</v>
      </c>
      <c r="AF53" s="791">
        <v>140</v>
      </c>
      <c r="AG53" s="791">
        <v>130.4</v>
      </c>
      <c r="AH53" s="791">
        <v>216.9</v>
      </c>
      <c r="AI53" s="791">
        <v>432.2</v>
      </c>
      <c r="AJ53" s="791">
        <v>255</v>
      </c>
      <c r="AK53" s="869">
        <v>858.3</v>
      </c>
      <c r="AL53" s="943">
        <v>143.43099999999998</v>
      </c>
      <c r="AM53" s="943">
        <v>24.709800000000001</v>
      </c>
      <c r="AN53" s="943">
        <v>11.906000000000001</v>
      </c>
      <c r="AO53" s="943">
        <v>270.68610999999999</v>
      </c>
      <c r="AP53" s="943">
        <v>177.02203</v>
      </c>
      <c r="AQ53" s="943">
        <v>354.2</v>
      </c>
      <c r="AR53" s="1009">
        <v>514</v>
      </c>
      <c r="AS53" s="943">
        <v>99.6</v>
      </c>
      <c r="AT53" s="943">
        <v>51.7</v>
      </c>
      <c r="AU53" s="943">
        <v>560.20000000000005</v>
      </c>
      <c r="AV53" s="1116">
        <v>237.16666666666666</v>
      </c>
      <c r="AW53" s="943">
        <v>800</v>
      </c>
      <c r="AX53" s="943">
        <v>71.715499999999992</v>
      </c>
      <c r="AY53" s="943">
        <v>179.82439999999997</v>
      </c>
      <c r="AZ53" s="943">
        <v>59.336500000000001</v>
      </c>
      <c r="BA53" s="943">
        <v>190.356055</v>
      </c>
      <c r="BB53" s="943">
        <v>140.70851500000001</v>
      </c>
      <c r="BC53" s="943">
        <v>291.61019599999997</v>
      </c>
      <c r="BD53" s="943">
        <v>257</v>
      </c>
      <c r="BE53" s="943">
        <v>49.8</v>
      </c>
      <c r="BF53" s="943">
        <v>25.85</v>
      </c>
      <c r="BG53" s="943">
        <v>445.58300000000003</v>
      </c>
      <c r="BH53" s="943">
        <v>118.58333333333333</v>
      </c>
      <c r="BI53" s="943">
        <v>650</v>
      </c>
      <c r="BJ53" s="943">
        <v>2480.3674993333334</v>
      </c>
      <c r="BK53" s="1009">
        <v>3244.6216066666661</v>
      </c>
      <c r="BL53" s="944">
        <f t="shared" si="29"/>
        <v>-764.25410733333274</v>
      </c>
      <c r="BM53" s="1220">
        <f t="shared" si="2"/>
        <v>-0.23554491092675753</v>
      </c>
      <c r="BN53" s="1246">
        <v>2666.4516326666667</v>
      </c>
      <c r="BO53" s="1246">
        <f t="shared" si="30"/>
        <v>-186.08413333333328</v>
      </c>
      <c r="BP53" s="1246"/>
      <c r="BQ53" s="929">
        <f t="shared" si="34"/>
        <v>4212.8</v>
      </c>
      <c r="BR53" s="891">
        <f>SUM(N53:Y53)</f>
        <v>4816.1127778379996</v>
      </c>
      <c r="BS53" s="786"/>
    </row>
    <row r="54" spans="1:72" ht="23.1" customHeight="1" x14ac:dyDescent="0.35">
      <c r="A54" s="992" t="s">
        <v>313</v>
      </c>
      <c r="B54" s="788"/>
      <c r="C54" s="788"/>
      <c r="D54" s="788"/>
      <c r="E54" s="788"/>
      <c r="F54" s="790"/>
      <c r="G54" s="790"/>
      <c r="H54" s="790"/>
      <c r="I54" s="790"/>
      <c r="J54" s="790"/>
      <c r="K54" s="790"/>
      <c r="L54" s="790"/>
      <c r="M54" s="790"/>
      <c r="N54" s="791">
        <v>0</v>
      </c>
      <c r="O54" s="791">
        <v>0</v>
      </c>
      <c r="P54" s="791">
        <v>0</v>
      </c>
      <c r="Q54" s="791">
        <v>0</v>
      </c>
      <c r="R54" s="791">
        <v>0</v>
      </c>
      <c r="S54" s="791">
        <v>500</v>
      </c>
      <c r="T54" s="791">
        <v>105</v>
      </c>
      <c r="U54" s="791">
        <v>0</v>
      </c>
      <c r="V54" s="791">
        <v>0</v>
      </c>
      <c r="W54" s="791">
        <v>0</v>
      </c>
      <c r="X54" s="791">
        <v>0</v>
      </c>
      <c r="Y54" s="791">
        <v>720</v>
      </c>
      <c r="Z54" s="791"/>
      <c r="AA54" s="791"/>
      <c r="AB54" s="791"/>
      <c r="AC54" s="791"/>
      <c r="AD54" s="791"/>
      <c r="AE54" s="791"/>
      <c r="AF54" s="791"/>
      <c r="AG54" s="791"/>
      <c r="AH54" s="791"/>
      <c r="AI54" s="791">
        <v>583.29999999999995</v>
      </c>
      <c r="AJ54" s="791"/>
      <c r="AK54" s="869"/>
      <c r="AL54" s="1175"/>
      <c r="AM54" s="697"/>
      <c r="AN54" s="1158">
        <v>3029.0940000000001</v>
      </c>
      <c r="AO54" s="697">
        <v>778.3138899999999</v>
      </c>
      <c r="AP54" s="697">
        <v>646.35299999999995</v>
      </c>
      <c r="AQ54" s="697">
        <v>1018</v>
      </c>
      <c r="AR54" s="687"/>
      <c r="AS54" s="697">
        <v>1015.9</v>
      </c>
      <c r="AT54" s="697">
        <v>482.09999999999991</v>
      </c>
      <c r="AU54" s="697">
        <v>3260</v>
      </c>
      <c r="AV54" s="698">
        <v>1750</v>
      </c>
      <c r="AW54" s="697">
        <v>2250</v>
      </c>
      <c r="AX54" s="697">
        <v>1700</v>
      </c>
      <c r="AY54" s="697">
        <v>1700</v>
      </c>
      <c r="AZ54" s="697">
        <v>1700</v>
      </c>
      <c r="BA54" s="697">
        <v>1700</v>
      </c>
      <c r="BB54" s="697">
        <v>1700</v>
      </c>
      <c r="BC54" s="697">
        <v>1700</v>
      </c>
      <c r="BD54" s="697">
        <v>1700</v>
      </c>
      <c r="BE54" s="697">
        <v>1700</v>
      </c>
      <c r="BF54" s="697">
        <v>1700</v>
      </c>
      <c r="BG54" s="697">
        <v>1700</v>
      </c>
      <c r="BH54" s="697">
        <v>1700</v>
      </c>
      <c r="BI54" s="697">
        <v>1700</v>
      </c>
      <c r="BJ54" s="697">
        <v>20400</v>
      </c>
      <c r="BK54" s="1009">
        <v>15929.76089</v>
      </c>
      <c r="BL54" s="944">
        <f t="shared" si="29"/>
        <v>4470.2391100000004</v>
      </c>
      <c r="BM54" s="1220">
        <f t="shared" si="2"/>
        <v>0.28062185872521284</v>
      </c>
      <c r="BN54" s="1246">
        <v>20400</v>
      </c>
      <c r="BO54" s="1246">
        <f t="shared" si="30"/>
        <v>0</v>
      </c>
      <c r="BP54" s="1246"/>
      <c r="BQ54" s="929">
        <f t="shared" si="34"/>
        <v>583.29999999999995</v>
      </c>
      <c r="BR54" s="891">
        <f>SUM(N54:Y54)</f>
        <v>1325</v>
      </c>
      <c r="BS54" s="800">
        <v>611</v>
      </c>
      <c r="BT54" s="93"/>
    </row>
    <row r="55" spans="1:72" ht="21" customHeight="1" x14ac:dyDescent="0.35">
      <c r="A55" s="992" t="s">
        <v>312</v>
      </c>
      <c r="B55" s="788"/>
      <c r="C55" s="788"/>
      <c r="D55" s="788"/>
      <c r="E55" s="788"/>
      <c r="F55" s="790"/>
      <c r="G55" s="790"/>
      <c r="H55" s="790"/>
      <c r="I55" s="790"/>
      <c r="J55" s="790"/>
      <c r="K55" s="790"/>
      <c r="L55" s="790"/>
      <c r="M55" s="790"/>
      <c r="N55" s="791">
        <f t="shared" ref="N55:Y55" si="39">N58-N57</f>
        <v>2300.2707548481417</v>
      </c>
      <c r="O55" s="791">
        <f t="shared" si="39"/>
        <v>386.16879432142503</v>
      </c>
      <c r="P55" s="791">
        <f t="shared" si="39"/>
        <v>-1217.7684222580001</v>
      </c>
      <c r="Q55" s="791">
        <f t="shared" si="39"/>
        <v>-326.71674003218311</v>
      </c>
      <c r="R55" s="791">
        <f t="shared" si="39"/>
        <v>-207.93186754990961</v>
      </c>
      <c r="S55" s="791">
        <f t="shared" si="39"/>
        <v>755.99698006837832</v>
      </c>
      <c r="T55" s="791">
        <f t="shared" si="39"/>
        <v>1742.9187706828152</v>
      </c>
      <c r="U55" s="791">
        <f t="shared" si="39"/>
        <v>126.48193260799997</v>
      </c>
      <c r="V55" s="791">
        <f t="shared" si="39"/>
        <v>438.29299999999967</v>
      </c>
      <c r="W55" s="791">
        <f t="shared" si="39"/>
        <v>-45.297036646382367</v>
      </c>
      <c r="X55" s="791">
        <f t="shared" si="39"/>
        <v>-133.8793910847653</v>
      </c>
      <c r="Y55" s="791">
        <f t="shared" si="39"/>
        <v>1473.8405254147369</v>
      </c>
      <c r="Z55" s="791"/>
      <c r="AA55" s="791"/>
      <c r="AB55" s="791"/>
      <c r="AC55" s="791"/>
      <c r="AD55" s="791"/>
      <c r="AE55" s="791"/>
      <c r="AF55" s="791"/>
      <c r="AG55" s="791"/>
      <c r="AH55" s="791"/>
      <c r="AI55" s="791"/>
      <c r="AJ55" s="791"/>
      <c r="AK55" s="869"/>
      <c r="AL55" s="697">
        <v>75</v>
      </c>
      <c r="AM55" s="697">
        <v>237</v>
      </c>
      <c r="AN55" s="697">
        <v>233</v>
      </c>
      <c r="AO55" s="697">
        <v>838</v>
      </c>
      <c r="AP55" s="697">
        <v>640</v>
      </c>
      <c r="AQ55" s="697">
        <v>1391</v>
      </c>
      <c r="AR55" s="697">
        <v>2895</v>
      </c>
      <c r="AS55" s="697">
        <v>3147</v>
      </c>
      <c r="AT55" s="697">
        <v>1500</v>
      </c>
      <c r="AU55" s="697">
        <v>1025</v>
      </c>
      <c r="AV55" s="697">
        <v>1025</v>
      </c>
      <c r="AW55" s="697">
        <v>1200</v>
      </c>
      <c r="AX55" s="697">
        <v>800</v>
      </c>
      <c r="AY55" s="697">
        <v>800</v>
      </c>
      <c r="AZ55" s="697">
        <v>800</v>
      </c>
      <c r="BA55" s="697">
        <v>800</v>
      </c>
      <c r="BB55" s="697">
        <v>800</v>
      </c>
      <c r="BC55" s="697">
        <v>800</v>
      </c>
      <c r="BD55" s="697">
        <v>800</v>
      </c>
      <c r="BE55" s="697">
        <v>800</v>
      </c>
      <c r="BF55" s="697">
        <v>800</v>
      </c>
      <c r="BG55" s="697">
        <v>800</v>
      </c>
      <c r="BH55" s="697">
        <v>800</v>
      </c>
      <c r="BI55" s="697">
        <v>800</v>
      </c>
      <c r="BJ55" s="697">
        <v>9600</v>
      </c>
      <c r="BK55" s="1009">
        <v>14206</v>
      </c>
      <c r="BL55" s="944">
        <f t="shared" si="29"/>
        <v>-4606</v>
      </c>
      <c r="BM55" s="1220">
        <f t="shared" si="2"/>
        <v>-0.32422919893002955</v>
      </c>
      <c r="BN55" s="1246">
        <v>9600</v>
      </c>
      <c r="BO55" s="1246">
        <f t="shared" si="30"/>
        <v>0</v>
      </c>
      <c r="BP55" s="1246"/>
      <c r="BQ55" s="929">
        <f t="shared" si="34"/>
        <v>0</v>
      </c>
      <c r="BR55" s="881">
        <f>BQ58-BQ48</f>
        <v>-949.44405911196191</v>
      </c>
      <c r="BS55" s="796"/>
    </row>
    <row r="56" spans="1:72" ht="38.450000000000003" customHeight="1" x14ac:dyDescent="0.35">
      <c r="A56" s="992" t="s">
        <v>317</v>
      </c>
      <c r="B56" s="788"/>
      <c r="C56" s="788"/>
      <c r="D56" s="788"/>
      <c r="E56" s="788"/>
      <c r="F56" s="790"/>
      <c r="G56" s="790"/>
      <c r="H56" s="790"/>
      <c r="I56" s="790"/>
      <c r="J56" s="790"/>
      <c r="K56" s="790"/>
      <c r="L56" s="790"/>
      <c r="M56" s="790"/>
      <c r="N56" s="791"/>
      <c r="O56" s="791"/>
      <c r="P56" s="791"/>
      <c r="Q56" s="791"/>
      <c r="R56" s="791"/>
      <c r="S56" s="791"/>
      <c r="T56" s="791"/>
      <c r="U56" s="791"/>
      <c r="V56" s="791"/>
      <c r="W56" s="791"/>
      <c r="X56" s="791"/>
      <c r="Y56" s="791"/>
      <c r="Z56" s="791"/>
      <c r="AA56" s="791"/>
      <c r="AB56" s="791"/>
      <c r="AC56" s="791"/>
      <c r="AD56" s="791"/>
      <c r="AE56" s="791"/>
      <c r="AF56" s="791"/>
      <c r="AG56" s="791"/>
      <c r="AH56" s="791"/>
      <c r="AI56" s="791"/>
      <c r="AJ56" s="791"/>
      <c r="AK56" s="869"/>
      <c r="AL56" s="943">
        <v>-466.83699999999999</v>
      </c>
      <c r="AM56" s="943">
        <v>405.64158286000009</v>
      </c>
      <c r="AN56" s="943">
        <v>-412.40761714000018</v>
      </c>
      <c r="AO56" s="943">
        <v>316.85258285999998</v>
      </c>
      <c r="AP56" s="943">
        <v>133.62497000000008</v>
      </c>
      <c r="AQ56" s="943">
        <v>1355.4063000000001</v>
      </c>
      <c r="AR56" s="943">
        <v>-73</v>
      </c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3"/>
      <c r="BD56" s="943"/>
      <c r="BE56" s="943"/>
      <c r="BF56" s="943"/>
      <c r="BG56" s="943"/>
      <c r="BH56" s="943"/>
      <c r="BI56" s="943"/>
      <c r="BJ56" s="943"/>
      <c r="BK56" s="1009"/>
      <c r="BL56" s="944">
        <f t="shared" si="29"/>
        <v>0</v>
      </c>
      <c r="BM56" s="1220"/>
      <c r="BN56" s="1246"/>
      <c r="BO56" s="1246">
        <f t="shared" si="30"/>
        <v>0</v>
      </c>
      <c r="BP56" s="1246"/>
      <c r="BQ56" s="929"/>
      <c r="BR56" s="881"/>
      <c r="BS56" s="796"/>
    </row>
    <row r="57" spans="1:72" ht="24.6" customHeight="1" x14ac:dyDescent="0.35">
      <c r="A57" s="1145" t="s">
        <v>319</v>
      </c>
      <c r="B57" s="788"/>
      <c r="C57" s="788"/>
      <c r="D57" s="788"/>
      <c r="E57" s="788"/>
      <c r="F57" s="790"/>
      <c r="G57" s="790"/>
      <c r="H57" s="790"/>
      <c r="I57" s="790"/>
      <c r="J57" s="790"/>
      <c r="K57" s="790"/>
      <c r="L57" s="790"/>
      <c r="M57" s="790"/>
      <c r="N57" s="791">
        <f t="shared" ref="N57:AE57" si="40">(N52-N45)</f>
        <v>-612.27075484814168</v>
      </c>
      <c r="O57" s="791">
        <f t="shared" si="40"/>
        <v>-320.16879432142503</v>
      </c>
      <c r="P57" s="791">
        <f t="shared" si="40"/>
        <v>776.7684222580001</v>
      </c>
      <c r="Q57" s="791">
        <f t="shared" si="40"/>
        <v>7.7167400321831394</v>
      </c>
      <c r="R57" s="791">
        <f t="shared" si="40"/>
        <v>-1024.0681324500904</v>
      </c>
      <c r="S57" s="791">
        <f t="shared" si="40"/>
        <v>-392.99698006837832</v>
      </c>
      <c r="T57" s="791">
        <f t="shared" si="40"/>
        <v>-1521.9187706828152</v>
      </c>
      <c r="U57" s="791">
        <f t="shared" si="40"/>
        <v>-381.48193260799997</v>
      </c>
      <c r="V57" s="791">
        <f t="shared" si="40"/>
        <v>-1959.2929999999997</v>
      </c>
      <c r="W57" s="791">
        <f t="shared" si="40"/>
        <v>-76.702963353617633</v>
      </c>
      <c r="X57" s="791">
        <f t="shared" si="40"/>
        <v>42.879391084765302</v>
      </c>
      <c r="Y57" s="791">
        <f t="shared" si="40"/>
        <v>1053.1594745852631</v>
      </c>
      <c r="Z57" s="791">
        <f t="shared" si="40"/>
        <v>-174.84911366733417</v>
      </c>
      <c r="AA57" s="791">
        <f t="shared" si="40"/>
        <v>-154.31126452140001</v>
      </c>
      <c r="AB57" s="791">
        <f t="shared" si="40"/>
        <v>-361.1464610214</v>
      </c>
      <c r="AC57" s="791">
        <f t="shared" si="40"/>
        <v>-291.85761551163625</v>
      </c>
      <c r="AD57" s="791">
        <f t="shared" si="40"/>
        <v>-256.45464745340479</v>
      </c>
      <c r="AE57" s="791">
        <f t="shared" si="40"/>
        <v>-356.51390033984535</v>
      </c>
      <c r="AF57" s="791">
        <f>(AF52-AF45)+BT59</f>
        <v>-247.31471672253059</v>
      </c>
      <c r="AG57" s="791">
        <f>(AG52-AG45)</f>
        <v>-11.038264521399981</v>
      </c>
      <c r="AH57" s="791">
        <f>(AH52-AH45)</f>
        <v>-2267.5244610213999</v>
      </c>
      <c r="AI57" s="791">
        <f>(AI52-AI45)</f>
        <v>83.411368448565327</v>
      </c>
      <c r="AJ57" s="791">
        <f>(AJ52-AJ45)</f>
        <v>-121.56089952748846</v>
      </c>
      <c r="AK57" s="869">
        <f>(AK52-AK45)</f>
        <v>77.638902401905739</v>
      </c>
      <c r="AL57" s="1150">
        <v>-33.163000000000011</v>
      </c>
      <c r="AM57" s="1150">
        <v>-884.64158286000009</v>
      </c>
      <c r="AN57" s="1150">
        <v>2317.4076171400002</v>
      </c>
      <c r="AO57" s="1150">
        <v>558.14741714000002</v>
      </c>
      <c r="AP57" s="1150">
        <v>823.37502999999992</v>
      </c>
      <c r="AQ57" s="1150">
        <v>539.5936999999999</v>
      </c>
      <c r="AR57" s="1150">
        <v>-136.76454034919334</v>
      </c>
      <c r="AS57" s="955">
        <v>1501.5181671399996</v>
      </c>
      <c r="AT57" s="955">
        <v>-91.56179786588018</v>
      </c>
      <c r="AU57" s="955">
        <v>3189.6915539341198</v>
      </c>
      <c r="AV57" s="955">
        <v>1455.0237216324031</v>
      </c>
      <c r="AW57" s="955">
        <v>1687.3532372</v>
      </c>
      <c r="AX57" s="955">
        <v>1771.7155000000002</v>
      </c>
      <c r="AY57" s="955">
        <v>1416.59208743412</v>
      </c>
      <c r="AZ57" s="955">
        <v>1027.2077021341199</v>
      </c>
      <c r="BA57" s="955">
        <v>1617.8080239450333</v>
      </c>
      <c r="BB57" s="955">
        <v>1568.1604839450333</v>
      </c>
      <c r="BC57" s="955">
        <v>1599.7948040000001</v>
      </c>
      <c r="BD57" s="955">
        <v>1604.3847879399268</v>
      </c>
      <c r="BE57" s="955">
        <v>1397.184787939927</v>
      </c>
      <c r="BF57" s="955">
        <v>856.29570213411989</v>
      </c>
      <c r="BG57" s="955">
        <v>1734.9505539341199</v>
      </c>
      <c r="BH57" s="955">
        <v>1480.9789997146913</v>
      </c>
      <c r="BI57" s="955">
        <v>1943.0124999999998</v>
      </c>
      <c r="BJ57" s="955">
        <v>18018.085933121092</v>
      </c>
      <c r="BK57" s="1009">
        <v>10925.979523111451</v>
      </c>
      <c r="BL57" s="944">
        <f t="shared" si="29"/>
        <v>7092.106410009641</v>
      </c>
      <c r="BM57" s="1220">
        <f t="shared" si="2"/>
        <v>0.64910486011875512</v>
      </c>
      <c r="BN57" s="1246">
        <v>18204.170066454426</v>
      </c>
      <c r="BO57" s="1246">
        <f t="shared" si="30"/>
        <v>-186.08413333333374</v>
      </c>
      <c r="BP57" s="1246"/>
      <c r="BQ57" s="929">
        <f>SUM(Z57:AK57)</f>
        <v>-4081.5210734573689</v>
      </c>
      <c r="BR57" s="877">
        <f>SUM(N57:Y57)</f>
        <v>-4408.3773003722563</v>
      </c>
      <c r="BS57" s="786"/>
      <c r="BT57" s="94"/>
    </row>
    <row r="58" spans="1:72" ht="45.6" customHeight="1" x14ac:dyDescent="0.35">
      <c r="A58" s="1098" t="s">
        <v>318</v>
      </c>
      <c r="B58" s="788"/>
      <c r="C58" s="788"/>
      <c r="D58" s="788"/>
      <c r="E58" s="788"/>
      <c r="F58" s="790"/>
      <c r="G58" s="790"/>
      <c r="H58" s="790"/>
      <c r="I58" s="790"/>
      <c r="J58" s="790"/>
      <c r="K58" s="790"/>
      <c r="L58" s="790"/>
      <c r="M58" s="790"/>
      <c r="N58" s="791">
        <v>1688</v>
      </c>
      <c r="O58" s="791">
        <v>66</v>
      </c>
      <c r="P58" s="791">
        <v>-441</v>
      </c>
      <c r="Q58" s="791">
        <v>-319</v>
      </c>
      <c r="R58" s="791">
        <v>-1232</v>
      </c>
      <c r="S58" s="791">
        <v>363</v>
      </c>
      <c r="T58" s="791">
        <v>221</v>
      </c>
      <c r="U58" s="791">
        <v>-255</v>
      </c>
      <c r="V58" s="791">
        <v>-1521</v>
      </c>
      <c r="W58" s="791">
        <v>-122</v>
      </c>
      <c r="X58" s="791">
        <v>-91</v>
      </c>
      <c r="Y58" s="791">
        <v>2527</v>
      </c>
      <c r="Z58" s="791">
        <v>333</v>
      </c>
      <c r="AA58" s="791">
        <v>159</v>
      </c>
      <c r="AB58" s="791">
        <v>-256</v>
      </c>
      <c r="AC58" s="791">
        <v>1023</v>
      </c>
      <c r="AD58" s="791">
        <v>64</v>
      </c>
      <c r="AE58" s="791">
        <v>788</v>
      </c>
      <c r="AF58" s="791">
        <v>376</v>
      </c>
      <c r="AG58" s="791">
        <v>-349</v>
      </c>
      <c r="AH58" s="791">
        <v>-1945</v>
      </c>
      <c r="AI58" s="791">
        <v>474</v>
      </c>
      <c r="AJ58" s="791">
        <v>162</v>
      </c>
      <c r="AK58" s="869">
        <v>456</v>
      </c>
      <c r="AL58" s="943">
        <v>-500</v>
      </c>
      <c r="AM58" s="943">
        <v>-479</v>
      </c>
      <c r="AN58" s="943">
        <v>1905</v>
      </c>
      <c r="AO58" s="943">
        <v>875</v>
      </c>
      <c r="AP58" s="943">
        <v>957</v>
      </c>
      <c r="AQ58" s="943">
        <v>1895</v>
      </c>
      <c r="AR58" s="955">
        <v>-210</v>
      </c>
      <c r="AS58" s="955">
        <v>1557</v>
      </c>
      <c r="AT58" s="955">
        <v>-156.56179786588018</v>
      </c>
      <c r="AU58" s="955">
        <v>3189.6915539341198</v>
      </c>
      <c r="AV58" s="955">
        <v>1455.0237216324031</v>
      </c>
      <c r="AW58" s="955">
        <v>1687.3532372</v>
      </c>
      <c r="AX58" s="955">
        <v>1771.7155000000002</v>
      </c>
      <c r="AY58" s="955">
        <v>1416.59208743412</v>
      </c>
      <c r="AZ58" s="955">
        <v>1027.2077021341199</v>
      </c>
      <c r="BA58" s="955">
        <v>1617.8080239450333</v>
      </c>
      <c r="BB58" s="955">
        <v>1568.1604839450333</v>
      </c>
      <c r="BC58" s="955">
        <v>1599.7948040000001</v>
      </c>
      <c r="BD58" s="955">
        <v>1604.3847879399268</v>
      </c>
      <c r="BE58" s="955">
        <v>1397.184787939927</v>
      </c>
      <c r="BF58" s="955">
        <v>856.29570213411989</v>
      </c>
      <c r="BG58" s="955">
        <v>1734.9505539341199</v>
      </c>
      <c r="BH58" s="955">
        <v>1480.9789997146913</v>
      </c>
      <c r="BI58" s="955">
        <v>1943.0124999999998</v>
      </c>
      <c r="BJ58" s="955">
        <v>18018.085933121092</v>
      </c>
      <c r="BK58" s="1009">
        <v>12175.506714900643</v>
      </c>
      <c r="BL58" s="944">
        <f t="shared" si="29"/>
        <v>5842.5792182204495</v>
      </c>
      <c r="BM58" s="1220">
        <f t="shared" si="2"/>
        <v>0.47986333177166068</v>
      </c>
      <c r="BN58" s="1246">
        <v>18204.170066454426</v>
      </c>
      <c r="BO58" s="1246">
        <f t="shared" si="30"/>
        <v>-186.08413333333374</v>
      </c>
      <c r="BP58" s="1246"/>
      <c r="BQ58" s="929">
        <f>SUM(Z58:AK58)</f>
        <v>1285</v>
      </c>
      <c r="BR58" s="877">
        <f>BQ58-BQ48</f>
        <v>-949.44405911196191</v>
      </c>
      <c r="BS58" s="796">
        <f>BQ57-BQ48</f>
        <v>-6315.9651325693303</v>
      </c>
      <c r="BT58" s="1">
        <f>BK58+BK55</f>
        <v>26381.506714900643</v>
      </c>
    </row>
    <row r="59" spans="1:72" ht="35.450000000000003" customHeight="1" x14ac:dyDescent="0.35">
      <c r="A59" s="992" t="s">
        <v>309</v>
      </c>
      <c r="B59" s="788"/>
      <c r="C59" s="788"/>
      <c r="D59" s="788"/>
      <c r="E59" s="788"/>
      <c r="F59" s="790"/>
      <c r="G59" s="790"/>
      <c r="H59" s="790"/>
      <c r="I59" s="790"/>
      <c r="J59" s="790"/>
      <c r="K59" s="790"/>
      <c r="L59" s="790"/>
      <c r="M59" s="790"/>
      <c r="N59" s="791"/>
      <c r="O59" s="791"/>
      <c r="P59" s="791"/>
      <c r="Q59" s="791"/>
      <c r="R59" s="791"/>
      <c r="S59" s="791"/>
      <c r="T59" s="791"/>
      <c r="U59" s="791"/>
      <c r="V59" s="791"/>
      <c r="W59" s="791"/>
      <c r="X59" s="791"/>
      <c r="Y59" s="791"/>
      <c r="Z59" s="791">
        <v>-1</v>
      </c>
      <c r="AA59" s="791"/>
      <c r="AB59" s="791"/>
      <c r="AC59" s="791"/>
      <c r="AD59" s="791"/>
      <c r="AE59" s="791"/>
      <c r="AF59" s="791"/>
      <c r="AG59" s="791"/>
      <c r="AH59" s="791"/>
      <c r="AI59" s="791"/>
      <c r="AJ59" s="869"/>
      <c r="AK59" s="869"/>
      <c r="AL59" s="955"/>
      <c r="AM59" s="955"/>
      <c r="AN59" s="955"/>
      <c r="AO59" s="955"/>
      <c r="AP59" s="955"/>
      <c r="AQ59" s="955"/>
      <c r="AR59" s="955"/>
      <c r="AS59" s="1163"/>
      <c r="AT59" s="1163"/>
      <c r="AU59" s="1164"/>
      <c r="AV59" s="1165"/>
      <c r="AW59" s="1163"/>
      <c r="AX59" s="1163"/>
      <c r="AY59" s="1163"/>
      <c r="AZ59" s="1163"/>
      <c r="BA59" s="955"/>
      <c r="BB59" s="955"/>
      <c r="BC59" s="955"/>
      <c r="BD59" s="955"/>
      <c r="BE59" s="955"/>
      <c r="BF59" s="955"/>
      <c r="BG59" s="955"/>
      <c r="BH59" s="955"/>
      <c r="BI59" s="955"/>
      <c r="BJ59" s="955"/>
      <c r="BK59" s="1013"/>
      <c r="BL59" s="1013">
        <f t="shared" si="29"/>
        <v>0</v>
      </c>
      <c r="BM59" s="1013"/>
      <c r="BN59" s="1013"/>
      <c r="BO59" s="1013">
        <f t="shared" si="30"/>
        <v>0</v>
      </c>
      <c r="BP59" s="1013"/>
      <c r="BQ59" s="929">
        <f>BQ58-BQ48</f>
        <v>-949.44405911196191</v>
      </c>
      <c r="BR59" s="877"/>
      <c r="BS59" s="786"/>
      <c r="BT59" s="94"/>
    </row>
    <row r="60" spans="1:72" ht="20.45" customHeight="1" x14ac:dyDescent="0.35">
      <c r="A60" s="992" t="s">
        <v>250</v>
      </c>
      <c r="B60" s="788"/>
      <c r="C60" s="788"/>
      <c r="D60" s="788"/>
      <c r="E60" s="788"/>
      <c r="F60" s="790"/>
      <c r="G60" s="790"/>
      <c r="H60" s="790"/>
      <c r="I60" s="790"/>
      <c r="J60" s="790"/>
      <c r="K60" s="790"/>
      <c r="L60" s="790"/>
      <c r="M60" s="790"/>
      <c r="N60" s="791"/>
      <c r="O60" s="791"/>
      <c r="P60" s="791"/>
      <c r="Q60" s="791"/>
      <c r="R60" s="792"/>
      <c r="S60" s="792"/>
      <c r="T60" s="792"/>
      <c r="U60" s="792"/>
      <c r="V60" s="792"/>
      <c r="W60" s="792"/>
      <c r="X60" s="792"/>
      <c r="Y60" s="791"/>
      <c r="Z60" s="791"/>
      <c r="AA60" s="791"/>
      <c r="AB60" s="791"/>
      <c r="AC60" s="791"/>
      <c r="AD60" s="791"/>
      <c r="AE60" s="791"/>
      <c r="AF60" s="791"/>
      <c r="AG60" s="791"/>
      <c r="AH60" s="791"/>
      <c r="AI60" s="791"/>
      <c r="AJ60" s="791"/>
      <c r="AK60" s="1032"/>
      <c r="AL60" s="175"/>
      <c r="AM60" s="121"/>
      <c r="AN60" s="156"/>
      <c r="AO60" s="121"/>
      <c r="AP60" s="121"/>
      <c r="AQ60" s="121"/>
      <c r="AR60" s="156"/>
      <c r="AS60" s="283"/>
      <c r="AT60" s="121"/>
      <c r="AU60" s="121"/>
      <c r="AV60" s="121"/>
      <c r="AW60" s="121"/>
      <c r="AX60" s="121"/>
      <c r="AY60" s="121"/>
      <c r="AZ60" s="121"/>
      <c r="BA60" s="121"/>
      <c r="BB60" s="121"/>
      <c r="BC60" s="121"/>
      <c r="BD60" s="121"/>
      <c r="BE60" s="121"/>
      <c r="BF60" s="121"/>
      <c r="BG60" s="121"/>
      <c r="BH60" s="121"/>
      <c r="BI60" s="121"/>
      <c r="BJ60" s="121"/>
      <c r="BK60" s="997">
        <v>10189.021063817301</v>
      </c>
      <c r="BL60" s="997">
        <f t="shared" si="29"/>
        <v>-10189.021063817301</v>
      </c>
      <c r="BM60" s="1221">
        <f t="shared" si="2"/>
        <v>-1</v>
      </c>
      <c r="BN60" s="1247"/>
      <c r="BO60" s="1247">
        <f t="shared" si="30"/>
        <v>0</v>
      </c>
      <c r="BP60" s="1247"/>
      <c r="BQ60" s="577">
        <f>BQ58-BQ48</f>
        <v>-949.44405911196191</v>
      </c>
      <c r="BR60" s="877"/>
      <c r="BS60" s="786"/>
    </row>
    <row r="61" spans="1:72" ht="30.6" customHeight="1" x14ac:dyDescent="0.35">
      <c r="A61" s="992" t="s">
        <v>248</v>
      </c>
      <c r="B61" s="788"/>
      <c r="C61" s="788"/>
      <c r="D61" s="788"/>
      <c r="E61" s="788"/>
      <c r="F61" s="790"/>
      <c r="G61" s="790"/>
      <c r="H61" s="790"/>
      <c r="I61" s="790"/>
      <c r="J61" s="790"/>
      <c r="K61" s="790"/>
      <c r="L61" s="790"/>
      <c r="M61" s="790"/>
      <c r="N61" s="791"/>
      <c r="O61" s="791"/>
      <c r="P61" s="791"/>
      <c r="Q61" s="791"/>
      <c r="R61" s="791"/>
      <c r="S61" s="791"/>
      <c r="T61" s="791"/>
      <c r="U61" s="791"/>
      <c r="V61" s="791"/>
      <c r="W61" s="791"/>
      <c r="X61" s="791"/>
      <c r="Y61" s="791"/>
      <c r="Z61" s="791"/>
      <c r="AA61" s="791"/>
      <c r="AB61" s="791"/>
      <c r="AC61" s="791"/>
      <c r="AD61" s="791"/>
      <c r="AE61" s="791"/>
      <c r="AF61" s="791"/>
      <c r="AG61" s="791"/>
      <c r="AH61" s="791"/>
      <c r="AI61" s="791"/>
      <c r="AJ61" s="791"/>
      <c r="AK61" s="1032"/>
      <c r="AL61" s="175"/>
      <c r="AM61" s="121"/>
      <c r="AN61" s="121"/>
      <c r="AO61" s="156"/>
      <c r="AP61" s="156"/>
      <c r="AQ61" s="156"/>
      <c r="AR61" s="121"/>
      <c r="AS61" s="121"/>
      <c r="AT61" s="121"/>
      <c r="AU61" s="121"/>
      <c r="AV61" s="121"/>
      <c r="AW61" s="121"/>
      <c r="AX61" s="121"/>
      <c r="AY61" s="121"/>
      <c r="AZ61" s="121"/>
      <c r="BA61" s="121"/>
      <c r="BB61" s="121"/>
      <c r="BC61" s="121"/>
      <c r="BD61" s="121"/>
      <c r="BE61" s="121"/>
      <c r="BF61" s="121"/>
      <c r="BG61" s="121"/>
      <c r="BH61" s="121"/>
      <c r="BI61" s="121"/>
      <c r="BJ61" s="121"/>
      <c r="BK61" s="295"/>
      <c r="BL61" s="295">
        <f t="shared" si="29"/>
        <v>0</v>
      </c>
      <c r="BM61" s="295"/>
      <c r="BN61" s="295"/>
      <c r="BO61" s="295">
        <f t="shared" si="30"/>
        <v>0</v>
      </c>
      <c r="BP61" s="295"/>
      <c r="BQ61" s="156"/>
      <c r="BR61" s="877"/>
      <c r="BS61" s="786"/>
      <c r="BT61" s="94"/>
    </row>
    <row r="62" spans="1:72" ht="36.6" customHeight="1" x14ac:dyDescent="0.35">
      <c r="A62" s="787" t="s">
        <v>246</v>
      </c>
      <c r="B62" s="788">
        <f t="shared" ref="B62:M62" si="41">B4+B20-B22+B57+B68</f>
        <v>-68</v>
      </c>
      <c r="C62" s="788">
        <f t="shared" si="41"/>
        <v>-607</v>
      </c>
      <c r="D62" s="788">
        <f t="shared" si="41"/>
        <v>485</v>
      </c>
      <c r="E62" s="788">
        <f t="shared" si="41"/>
        <v>-46</v>
      </c>
      <c r="F62" s="788">
        <f t="shared" si="41"/>
        <v>-1105</v>
      </c>
      <c r="G62" s="788">
        <f t="shared" si="41"/>
        <v>1052</v>
      </c>
      <c r="H62" s="788">
        <f t="shared" si="41"/>
        <v>1292</v>
      </c>
      <c r="I62" s="788">
        <f t="shared" si="41"/>
        <v>69</v>
      </c>
      <c r="J62" s="788">
        <f t="shared" si="41"/>
        <v>-468</v>
      </c>
      <c r="K62" s="788">
        <f t="shared" si="41"/>
        <v>-109</v>
      </c>
      <c r="L62" s="788">
        <f t="shared" si="41"/>
        <v>601</v>
      </c>
      <c r="M62" s="788">
        <f t="shared" si="41"/>
        <v>3236</v>
      </c>
      <c r="N62" s="789">
        <f t="shared" ref="N62:AK62" si="42">N4+N20-N22</f>
        <v>906</v>
      </c>
      <c r="O62" s="789">
        <f t="shared" si="42"/>
        <v>733</v>
      </c>
      <c r="P62" s="789">
        <f t="shared" si="42"/>
        <v>-1778</v>
      </c>
      <c r="Q62" s="789">
        <f t="shared" si="42"/>
        <v>716</v>
      </c>
      <c r="R62" s="789">
        <f t="shared" si="42"/>
        <v>-353</v>
      </c>
      <c r="S62" s="789">
        <f t="shared" si="42"/>
        <v>978</v>
      </c>
      <c r="T62" s="789">
        <f t="shared" si="42"/>
        <v>-88</v>
      </c>
      <c r="U62" s="789">
        <f t="shared" si="42"/>
        <v>353</v>
      </c>
      <c r="V62" s="789">
        <f t="shared" si="42"/>
        <v>-1957</v>
      </c>
      <c r="W62" s="789">
        <f t="shared" si="42"/>
        <v>-343</v>
      </c>
      <c r="X62" s="789">
        <f t="shared" si="42"/>
        <v>-15</v>
      </c>
      <c r="Y62" s="789">
        <f t="shared" si="42"/>
        <v>2838</v>
      </c>
      <c r="Z62" s="789">
        <f t="shared" si="42"/>
        <v>-219</v>
      </c>
      <c r="AA62" s="789">
        <f t="shared" si="42"/>
        <v>-24</v>
      </c>
      <c r="AB62" s="789">
        <f t="shared" si="42"/>
        <v>-715</v>
      </c>
      <c r="AC62" s="789">
        <f t="shared" si="42"/>
        <v>707</v>
      </c>
      <c r="AD62" s="789">
        <f t="shared" si="42"/>
        <v>-398</v>
      </c>
      <c r="AE62" s="789">
        <f t="shared" si="42"/>
        <v>608</v>
      </c>
      <c r="AF62" s="789">
        <f t="shared" si="42"/>
        <v>290</v>
      </c>
      <c r="AG62" s="789">
        <f t="shared" si="42"/>
        <v>-137</v>
      </c>
      <c r="AH62" s="789">
        <f t="shared" si="42"/>
        <v>-2538</v>
      </c>
      <c r="AI62" s="789">
        <f t="shared" si="42"/>
        <v>1060</v>
      </c>
      <c r="AJ62" s="789">
        <f t="shared" si="42"/>
        <v>357</v>
      </c>
      <c r="AK62" s="859">
        <f t="shared" si="42"/>
        <v>353</v>
      </c>
      <c r="AL62" s="1141">
        <v>-1762</v>
      </c>
      <c r="AM62" s="1141">
        <v>-1520</v>
      </c>
      <c r="AN62" s="1141">
        <v>-58</v>
      </c>
      <c r="AO62" s="1141">
        <v>-783</v>
      </c>
      <c r="AP62" s="1141">
        <v>-1921</v>
      </c>
      <c r="AQ62" s="1141">
        <v>-2054</v>
      </c>
      <c r="AR62" s="1141">
        <v>-157.27370226837593</v>
      </c>
      <c r="AS62" s="1141">
        <v>1735.2159271362398</v>
      </c>
      <c r="AT62" s="1141">
        <v>-1394.2521878695525</v>
      </c>
      <c r="AU62" s="1141">
        <v>2015.0207172751984</v>
      </c>
      <c r="AV62" s="1141">
        <v>519.87857565599029</v>
      </c>
      <c r="AW62" s="1141">
        <v>1151.5389669156464</v>
      </c>
      <c r="AX62" s="1141">
        <v>-1135.5511929061588</v>
      </c>
      <c r="AY62" s="1141">
        <v>-203.17956449617554</v>
      </c>
      <c r="AZ62" s="1141">
        <v>-2785.202116406489</v>
      </c>
      <c r="BA62" s="1141">
        <v>807.70534556695384</v>
      </c>
      <c r="BB62" s="1141">
        <v>1116.0960799434934</v>
      </c>
      <c r="BC62" s="1141">
        <v>-1048.1456705778523</v>
      </c>
      <c r="BD62" s="1141">
        <v>904.56809703853787</v>
      </c>
      <c r="BE62" s="1141">
        <v>1426.6636809740503</v>
      </c>
      <c r="BF62" s="1141">
        <v>576.83284091793723</v>
      </c>
      <c r="BG62" s="1141">
        <v>1323.5851665144351</v>
      </c>
      <c r="BH62" s="1141">
        <v>140.33645956464534</v>
      </c>
      <c r="BI62" s="1141">
        <v>-519.00808693165504</v>
      </c>
      <c r="BJ62" s="1141">
        <v>604.7010392017221</v>
      </c>
      <c r="BK62" s="996">
        <v>-4227.8717031548531</v>
      </c>
      <c r="BL62" s="996">
        <f t="shared" si="29"/>
        <v>4832.572742356575</v>
      </c>
      <c r="BM62" s="1222">
        <f t="shared" si="2"/>
        <v>-1.1430272916632007</v>
      </c>
      <c r="BN62" s="1248">
        <v>5258.5729601255725</v>
      </c>
      <c r="BO62" s="1248">
        <f t="shared" si="30"/>
        <v>-4653.8719209238507</v>
      </c>
      <c r="BP62" s="1248"/>
      <c r="BQ62" s="984">
        <f>SUM(Z62:AK62)</f>
        <v>-656</v>
      </c>
      <c r="BR62" s="877">
        <f>SUM(N62:Y62)</f>
        <v>1990</v>
      </c>
      <c r="BS62" s="794">
        <f>SUM(B62:M62)</f>
        <v>4332</v>
      </c>
    </row>
    <row r="63" spans="1:72" ht="27.6" customHeight="1" x14ac:dyDescent="0.35">
      <c r="A63" s="787" t="s">
        <v>260</v>
      </c>
      <c r="B63" s="789"/>
      <c r="C63" s="789"/>
      <c r="D63" s="789"/>
      <c r="E63" s="789"/>
      <c r="F63" s="789"/>
      <c r="G63" s="789"/>
      <c r="H63" s="789"/>
      <c r="I63" s="789"/>
      <c r="J63" s="789"/>
      <c r="K63" s="789"/>
      <c r="L63" s="789"/>
      <c r="M63" s="789"/>
      <c r="N63" s="789">
        <f>N111</f>
        <v>0</v>
      </c>
      <c r="O63" s="789">
        <f t="shared" ref="O63:Y63" si="43">O111</f>
        <v>0</v>
      </c>
      <c r="P63" s="789">
        <f t="shared" si="43"/>
        <v>0</v>
      </c>
      <c r="Q63" s="789">
        <f t="shared" si="43"/>
        <v>0</v>
      </c>
      <c r="R63" s="789">
        <f t="shared" si="43"/>
        <v>0</v>
      </c>
      <c r="S63" s="789">
        <f t="shared" si="43"/>
        <v>0</v>
      </c>
      <c r="T63" s="789">
        <f t="shared" si="43"/>
        <v>0</v>
      </c>
      <c r="U63" s="789">
        <f t="shared" si="43"/>
        <v>0</v>
      </c>
      <c r="V63" s="789">
        <f t="shared" si="43"/>
        <v>0</v>
      </c>
      <c r="W63" s="789">
        <f t="shared" si="43"/>
        <v>0</v>
      </c>
      <c r="X63" s="789">
        <f t="shared" si="43"/>
        <v>0</v>
      </c>
      <c r="Y63" s="789">
        <f t="shared" si="43"/>
        <v>0</v>
      </c>
      <c r="Z63" s="789">
        <f t="shared" ref="Z63:AG63" si="44">(Z4-Z23)+IF(Z58&gt;0,Z58*0.15,Z58*0.4)+(Z47+Z50-Z53)*0.1</f>
        <v>-489.17432775000003</v>
      </c>
      <c r="AA63" s="789">
        <f t="shared" si="44"/>
        <v>-157.90361742499999</v>
      </c>
      <c r="AB63" s="789">
        <f t="shared" si="44"/>
        <v>-578.28149999999994</v>
      </c>
      <c r="AC63" s="789">
        <f t="shared" si="44"/>
        <v>-136.53699898500003</v>
      </c>
      <c r="AD63" s="789">
        <f t="shared" si="44"/>
        <v>-440.56386788599997</v>
      </c>
      <c r="AE63" s="789">
        <f t="shared" si="44"/>
        <v>-50.595272150000014</v>
      </c>
      <c r="AF63" s="789">
        <f t="shared" si="44"/>
        <v>-9.6684277500000064</v>
      </c>
      <c r="AG63" s="789">
        <f t="shared" si="44"/>
        <v>64.188545590000004</v>
      </c>
      <c r="AH63" s="789">
        <f>(AH4-AH23)+IF(AH58&gt;0,AH58*0.15,AH58*0)+(AI47+AI50-AI53)*0.2+(AI36*0.3)</f>
        <v>-380.64792729999999</v>
      </c>
      <c r="AI63" s="789">
        <f>(AI4-AI23)+IF(AI58&gt;0,AI58*0.1,AI58*0.05)+(AI47+AI50-AI53)*0.2+(AI36*0.3)</f>
        <v>842.75207269999999</v>
      </c>
      <c r="AJ63" s="789">
        <f>(AJ4-AJ23)+IF(AJ58&gt;0,AJ58*0.15,AJ58*0.05)+(AJ36*0.15)</f>
        <v>341.9</v>
      </c>
      <c r="AK63" s="859">
        <f>(AK4-AK23)+IF(AK58&gt;0,AK58*0.1,AK58*0.05)+(AK47+AK50-AK53)*0.2</f>
        <v>-112.41270213000001</v>
      </c>
      <c r="AL63" s="1141">
        <v>-1423.17308645</v>
      </c>
      <c r="AM63" s="1141">
        <v>-1063.5173054724999</v>
      </c>
      <c r="AN63" s="1141"/>
      <c r="AO63" s="1141"/>
      <c r="AP63" s="1141"/>
      <c r="AQ63" s="1141"/>
      <c r="AR63" s="1141"/>
      <c r="AS63" s="1141"/>
      <c r="AT63" s="1141"/>
      <c r="AU63" s="1141"/>
      <c r="AV63" s="1141"/>
      <c r="AW63" s="1141"/>
      <c r="AX63" s="1141"/>
      <c r="AY63" s="1141"/>
      <c r="AZ63" s="1141"/>
      <c r="BA63" s="1141"/>
      <c r="BB63" s="1141"/>
      <c r="BC63" s="1141"/>
      <c r="BD63" s="1141"/>
      <c r="BE63" s="1141"/>
      <c r="BF63" s="1141"/>
      <c r="BG63" s="1141"/>
      <c r="BH63" s="1141"/>
      <c r="BI63" s="1141"/>
      <c r="BJ63" s="1141"/>
      <c r="BK63" s="984">
        <v>-2486.6903919224997</v>
      </c>
      <c r="BL63" s="984">
        <f t="shared" si="29"/>
        <v>2486.6903919224997</v>
      </c>
      <c r="BM63" s="1223"/>
      <c r="BN63" s="1249"/>
      <c r="BO63" s="1249">
        <f t="shared" si="30"/>
        <v>0</v>
      </c>
      <c r="BP63" s="1249"/>
      <c r="BQ63" s="984">
        <f>SUM(Z63:AK63)</f>
        <v>-1106.944023086</v>
      </c>
      <c r="BR63" s="877">
        <f>BQ62-2730-1500-3000</f>
        <v>-7886</v>
      </c>
      <c r="BS63" s="794"/>
    </row>
    <row r="64" spans="1:72" ht="42" customHeight="1" x14ac:dyDescent="0.35">
      <c r="A64" s="787" t="s">
        <v>311</v>
      </c>
      <c r="B64" s="788"/>
      <c r="C64" s="788"/>
      <c r="D64" s="788"/>
      <c r="E64" s="788"/>
      <c r="F64" s="788"/>
      <c r="G64" s="788"/>
      <c r="H64" s="788"/>
      <c r="I64" s="788"/>
      <c r="J64" s="788"/>
      <c r="K64" s="788"/>
      <c r="L64" s="788"/>
      <c r="M64" s="788"/>
      <c r="N64" s="789">
        <v>98</v>
      </c>
      <c r="O64" s="789">
        <v>689</v>
      </c>
      <c r="P64" s="789">
        <v>-2190</v>
      </c>
      <c r="Q64" s="789">
        <v>679</v>
      </c>
      <c r="R64" s="789">
        <v>661</v>
      </c>
      <c r="S64" s="789">
        <v>1155</v>
      </c>
      <c r="T64" s="789">
        <v>-369</v>
      </c>
      <c r="U64" s="789">
        <v>460.5</v>
      </c>
      <c r="V64" s="789">
        <v>-198</v>
      </c>
      <c r="W64" s="789">
        <v>-208</v>
      </c>
      <c r="X64" s="789">
        <v>-46</v>
      </c>
      <c r="Y64" s="789">
        <v>289.2</v>
      </c>
      <c r="Z64" s="789">
        <v>20</v>
      </c>
      <c r="AA64" s="789">
        <v>200</v>
      </c>
      <c r="AB64" s="789">
        <v>50.5</v>
      </c>
      <c r="AC64" s="789">
        <v>-50</v>
      </c>
      <c r="AD64" s="789">
        <v>0</v>
      </c>
      <c r="AE64" s="789">
        <v>583</v>
      </c>
      <c r="AF64" s="789">
        <v>188</v>
      </c>
      <c r="AG64" s="789">
        <v>348.3</v>
      </c>
      <c r="AH64" s="789">
        <v>139.6</v>
      </c>
      <c r="AI64" s="789">
        <v>752.2</v>
      </c>
      <c r="AJ64" s="789">
        <v>1300</v>
      </c>
      <c r="AK64" s="859">
        <v>-152.5</v>
      </c>
      <c r="AL64" s="1141">
        <v>-1313.5</v>
      </c>
      <c r="AM64" s="1141">
        <v>-357.8</v>
      </c>
      <c r="AN64" s="1141">
        <v>-1728</v>
      </c>
      <c r="AO64" s="1141">
        <v>-2201</v>
      </c>
      <c r="AP64" s="1141">
        <v>-3354.2</v>
      </c>
      <c r="AQ64" s="1141">
        <v>-3956.3</v>
      </c>
      <c r="AR64" s="1141">
        <v>-1195</v>
      </c>
      <c r="AS64" s="1141">
        <v>-1329.7</v>
      </c>
      <c r="AT64" s="1141">
        <v>-2737.7</v>
      </c>
      <c r="AU64" s="1141">
        <v>-2155.6774199257429</v>
      </c>
      <c r="AV64" s="1141">
        <v>-1999.348048895941</v>
      </c>
      <c r="AW64" s="1141">
        <v>-1909.395697312789</v>
      </c>
      <c r="AX64" s="1141">
        <v>-3892.6300275514668</v>
      </c>
      <c r="AY64" s="1141">
        <v>-2540.7602345268106</v>
      </c>
      <c r="AZ64" s="1141">
        <v>-4843.0303094676401</v>
      </c>
      <c r="BA64" s="1141">
        <v>-1690.6078122969834</v>
      </c>
      <c r="BB64" s="1141">
        <v>-1314.6676242016169</v>
      </c>
      <c r="BC64" s="1141">
        <v>-3620.3374983067451</v>
      </c>
      <c r="BD64" s="1141">
        <v>-1574.8075254464584</v>
      </c>
      <c r="BE64" s="1141">
        <v>-809.04716231417069</v>
      </c>
      <c r="BF64" s="1141">
        <v>-1133.436004276992</v>
      </c>
      <c r="BG64" s="1141">
        <v>-1271.9336567906691</v>
      </c>
      <c r="BH64" s="1141">
        <v>-2247.6746671575484</v>
      </c>
      <c r="BI64" s="1141">
        <v>-3425.121616278238</v>
      </c>
      <c r="BJ64" s="1141">
        <v>-28364.054138615335</v>
      </c>
      <c r="BK64" s="984">
        <v>-24237.621166134471</v>
      </c>
      <c r="BL64" s="984">
        <f t="shared" si="29"/>
        <v>-4126.4329724808631</v>
      </c>
      <c r="BM64" s="1223">
        <f t="shared" si="2"/>
        <v>0.17024909103895222</v>
      </c>
      <c r="BN64" s="1249">
        <v>-21438.731933415904</v>
      </c>
      <c r="BO64" s="1249">
        <f t="shared" si="30"/>
        <v>-6925.3222051994308</v>
      </c>
      <c r="BP64" s="1249"/>
      <c r="BQ64" s="984">
        <f>SUM(Z64:AK64)</f>
        <v>3379.1</v>
      </c>
      <c r="BR64" s="877"/>
      <c r="BS64" s="794"/>
      <c r="BT64" s="1"/>
    </row>
    <row r="65" spans="1:72" ht="41.45" customHeight="1" x14ac:dyDescent="0.35">
      <c r="A65" s="787" t="s">
        <v>220</v>
      </c>
      <c r="B65" s="788"/>
      <c r="C65" s="788"/>
      <c r="D65" s="788"/>
      <c r="E65" s="788"/>
      <c r="F65" s="788"/>
      <c r="G65" s="788"/>
      <c r="H65" s="788"/>
      <c r="I65" s="788"/>
      <c r="J65" s="788"/>
      <c r="K65" s="788"/>
      <c r="L65" s="788"/>
      <c r="M65" s="788"/>
      <c r="N65" s="789">
        <f t="shared" ref="N65:Y65" si="45">N63-N64</f>
        <v>-98</v>
      </c>
      <c r="O65" s="789">
        <f t="shared" si="45"/>
        <v>-689</v>
      </c>
      <c r="P65" s="789">
        <f t="shared" si="45"/>
        <v>2190</v>
      </c>
      <c r="Q65" s="789">
        <f t="shared" si="45"/>
        <v>-679</v>
      </c>
      <c r="R65" s="789">
        <f t="shared" si="45"/>
        <v>-661</v>
      </c>
      <c r="S65" s="789">
        <f t="shared" si="45"/>
        <v>-1155</v>
      </c>
      <c r="T65" s="789">
        <f t="shared" si="45"/>
        <v>369</v>
      </c>
      <c r="U65" s="789">
        <f t="shared" si="45"/>
        <v>-460.5</v>
      </c>
      <c r="V65" s="789">
        <f t="shared" si="45"/>
        <v>198</v>
      </c>
      <c r="W65" s="789">
        <f t="shared" si="45"/>
        <v>208</v>
      </c>
      <c r="X65" s="789">
        <f t="shared" si="45"/>
        <v>46</v>
      </c>
      <c r="Y65" s="789">
        <f t="shared" si="45"/>
        <v>-289.2</v>
      </c>
      <c r="Z65" s="789">
        <f>Z63-Z64</f>
        <v>-509.17432775000003</v>
      </c>
      <c r="AA65" s="789">
        <f>AA63-AA64</f>
        <v>-357.90361742499999</v>
      </c>
      <c r="AB65" s="789">
        <f>AB63-AB64</f>
        <v>-628.78149999999994</v>
      </c>
      <c r="AC65" s="789">
        <f>AC63-AC64</f>
        <v>-86.536998985000025</v>
      </c>
      <c r="AD65" s="789">
        <f t="shared" ref="AD65:AJ65" si="46">AD63-AD64</f>
        <v>-440.56386788599997</v>
      </c>
      <c r="AE65" s="789">
        <f t="shared" si="46"/>
        <v>-633.59527215000003</v>
      </c>
      <c r="AF65" s="789">
        <f>AF63-AF64</f>
        <v>-197.66842775000001</v>
      </c>
      <c r="AG65" s="789">
        <f t="shared" si="46"/>
        <v>-284.11145441000002</v>
      </c>
      <c r="AH65" s="789">
        <f>AH63-AH64</f>
        <v>-520.24792730000001</v>
      </c>
      <c r="AI65" s="789">
        <f t="shared" si="46"/>
        <v>90.55207269999994</v>
      </c>
      <c r="AJ65" s="789">
        <f t="shared" si="46"/>
        <v>-958.1</v>
      </c>
      <c r="AK65" s="940">
        <f>AK63-AK64</f>
        <v>40.087297869999986</v>
      </c>
      <c r="AL65" s="1132">
        <v>-109.67308645000003</v>
      </c>
      <c r="AM65" s="1132">
        <v>-705.7173054724999</v>
      </c>
      <c r="AN65" s="1132"/>
      <c r="AO65" s="1132"/>
      <c r="AP65" s="1132"/>
      <c r="AQ65" s="1132"/>
      <c r="AR65" s="1132"/>
      <c r="AS65" s="1132"/>
      <c r="AT65" s="1132"/>
      <c r="AU65" s="1132"/>
      <c r="AV65" s="1132"/>
      <c r="AW65" s="1132"/>
      <c r="AX65" s="984">
        <v>185.36333464530799</v>
      </c>
      <c r="AY65" s="984">
        <v>120.98858259651479</v>
      </c>
      <c r="AZ65" s="984">
        <v>230.62049092703091</v>
      </c>
      <c r="BA65" s="984">
        <v>80.505133918903994</v>
      </c>
      <c r="BB65" s="984">
        <v>62.603220200076976</v>
      </c>
      <c r="BC65" s="984">
        <v>172.39702372889269</v>
      </c>
      <c r="BD65" s="984">
        <v>74.990834545069447</v>
      </c>
      <c r="BE65" s="984">
        <v>38.52605534829388</v>
      </c>
      <c r="BF65" s="984">
        <v>53.973143060809207</v>
      </c>
      <c r="BG65" s="984">
        <v>60.568269370984353</v>
      </c>
      <c r="BH65" s="984">
        <v>107.03212700750237</v>
      </c>
      <c r="BI65" s="984">
        <v>163.10102934658289</v>
      </c>
      <c r="BJ65" s="984"/>
      <c r="BK65" s="984">
        <v>-815.39039192249993</v>
      </c>
      <c r="BL65" s="984">
        <f t="shared" si="29"/>
        <v>815.39039192249993</v>
      </c>
      <c r="BM65" s="1223"/>
      <c r="BN65" s="1249"/>
      <c r="BO65" s="1249">
        <f t="shared" si="30"/>
        <v>0</v>
      </c>
      <c r="BP65" s="1249"/>
      <c r="BQ65" s="984">
        <f>SUM(Z65:AK65)</f>
        <v>-4486.0440230860004</v>
      </c>
      <c r="BR65" s="877"/>
      <c r="BS65" s="794"/>
    </row>
    <row r="66" spans="1:72" ht="36" customHeight="1" x14ac:dyDescent="0.35">
      <c r="A66" s="801" t="s">
        <v>100</v>
      </c>
      <c r="B66" s="802">
        <v>-68</v>
      </c>
      <c r="C66" s="802">
        <v>-248</v>
      </c>
      <c r="D66" s="802">
        <v>645</v>
      </c>
      <c r="E66" s="802">
        <v>-46</v>
      </c>
      <c r="F66" s="802">
        <v>-749</v>
      </c>
      <c r="G66" s="802">
        <v>1210</v>
      </c>
      <c r="H66" s="802">
        <v>1292</v>
      </c>
      <c r="I66" s="802">
        <v>69</v>
      </c>
      <c r="J66" s="802">
        <v>93</v>
      </c>
      <c r="K66" s="802">
        <v>-109</v>
      </c>
      <c r="L66" s="802">
        <v>601</v>
      </c>
      <c r="M66" s="802">
        <v>3290</v>
      </c>
      <c r="N66" s="803">
        <f t="shared" ref="N66:Y66" si="47">N67-N68</f>
        <v>0</v>
      </c>
      <c r="O66" s="803">
        <f>O67-O68</f>
        <v>0</v>
      </c>
      <c r="P66" s="803">
        <f t="shared" si="47"/>
        <v>0</v>
      </c>
      <c r="Q66" s="803">
        <f t="shared" si="47"/>
        <v>0</v>
      </c>
      <c r="R66" s="803">
        <f t="shared" si="47"/>
        <v>0</v>
      </c>
      <c r="S66" s="803">
        <f t="shared" si="47"/>
        <v>0</v>
      </c>
      <c r="T66" s="803">
        <f t="shared" si="47"/>
        <v>0</v>
      </c>
      <c r="U66" s="803">
        <f>U67-U68</f>
        <v>0</v>
      </c>
      <c r="V66" s="803">
        <f t="shared" si="47"/>
        <v>0</v>
      </c>
      <c r="W66" s="803">
        <f t="shared" si="47"/>
        <v>0</v>
      </c>
      <c r="X66" s="803">
        <f t="shared" si="47"/>
        <v>0</v>
      </c>
      <c r="Y66" s="803">
        <f t="shared" si="47"/>
        <v>0</v>
      </c>
      <c r="Z66" s="803"/>
      <c r="AA66" s="803"/>
      <c r="AB66" s="803"/>
      <c r="AC66" s="803"/>
      <c r="AD66" s="803"/>
      <c r="AE66" s="803"/>
      <c r="AF66" s="803"/>
      <c r="AG66" s="803"/>
      <c r="AH66" s="803"/>
      <c r="AI66" s="803"/>
      <c r="AJ66" s="1131"/>
      <c r="AK66" s="1136"/>
      <c r="AL66" s="1137"/>
      <c r="AM66" s="1137"/>
      <c r="AN66" s="1138"/>
      <c r="AO66" s="1138"/>
      <c r="AP66" s="1138"/>
      <c r="AQ66" s="1138"/>
      <c r="AR66" s="1138"/>
      <c r="AS66" s="1138"/>
      <c r="AT66" s="1138"/>
      <c r="AU66" s="1138"/>
      <c r="AV66" s="1138"/>
      <c r="AW66" s="1138"/>
      <c r="AX66" s="1137"/>
      <c r="AY66" s="1137"/>
      <c r="AZ66" s="1137"/>
      <c r="BA66" s="1"/>
      <c r="BB66" s="1"/>
      <c r="BC66" s="1"/>
      <c r="BD66" s="1"/>
      <c r="BE66" s="1"/>
      <c r="BF66" s="1"/>
      <c r="BG66" s="1"/>
      <c r="BH66" s="1"/>
      <c r="BI66" s="1"/>
      <c r="BJ66" s="1"/>
      <c r="BN66" s="1"/>
      <c r="BO66" s="1">
        <f t="shared" si="30"/>
        <v>0</v>
      </c>
      <c r="BP66" s="1"/>
      <c r="BQ66" s="983"/>
      <c r="BR66" s="892"/>
      <c r="BS66" s="786"/>
    </row>
    <row r="67" spans="1:72" x14ac:dyDescent="0.35">
      <c r="A67" s="804" t="s">
        <v>101</v>
      </c>
      <c r="B67" s="805">
        <v>-68</v>
      </c>
      <c r="C67" s="805">
        <v>-607</v>
      </c>
      <c r="D67" s="805">
        <v>485</v>
      </c>
      <c r="E67" s="805">
        <v>-46</v>
      </c>
      <c r="F67" s="805">
        <v>-1105</v>
      </c>
      <c r="G67" s="805">
        <v>1052</v>
      </c>
      <c r="H67" s="805">
        <v>1292</v>
      </c>
      <c r="I67" s="805">
        <v>69</v>
      </c>
      <c r="J67" s="805">
        <v>-468</v>
      </c>
      <c r="K67" s="805">
        <v>-109</v>
      </c>
      <c r="L67" s="805">
        <v>601</v>
      </c>
      <c r="M67" s="805">
        <v>3290</v>
      </c>
      <c r="N67" s="806"/>
      <c r="O67" s="806"/>
      <c r="P67" s="806"/>
      <c r="Q67" s="806"/>
      <c r="R67" s="806"/>
      <c r="S67" s="806"/>
      <c r="T67" s="806"/>
      <c r="U67" s="806"/>
      <c r="V67" s="806"/>
      <c r="W67" s="806"/>
      <c r="X67" s="806"/>
      <c r="Y67" s="806"/>
      <c r="Z67" s="807"/>
      <c r="AA67" s="807"/>
      <c r="AB67" s="807"/>
      <c r="AC67" s="806"/>
      <c r="AD67" s="806"/>
      <c r="AE67" s="806"/>
      <c r="AF67" s="806"/>
      <c r="AG67" s="806"/>
      <c r="AH67" s="806"/>
      <c r="AI67" s="806"/>
      <c r="AJ67" s="806"/>
      <c r="AK67" s="1133"/>
      <c r="AL67" s="1134">
        <v>-4819</v>
      </c>
      <c r="AM67" s="1135">
        <v>-48</v>
      </c>
      <c r="AN67" s="1135">
        <v>1218</v>
      </c>
      <c r="AO67" s="1135">
        <v>326</v>
      </c>
      <c r="AP67" s="1135">
        <v>-741</v>
      </c>
      <c r="AQ67" s="1135">
        <v>-1495</v>
      </c>
      <c r="AR67" s="1135">
        <v>-1467.2737022683759</v>
      </c>
      <c r="AS67" s="1139">
        <v>-2628.7840728637602</v>
      </c>
      <c r="AT67" s="1142">
        <v>-1117.2844511307064</v>
      </c>
      <c r="AU67" s="1135">
        <v>-829.55956630827836</v>
      </c>
      <c r="AV67" s="1135">
        <v>-476.78402013473374</v>
      </c>
      <c r="AW67" s="1135">
        <v>186.0208943134769</v>
      </c>
      <c r="AX67" s="1135">
        <v>-1796.8640822155996</v>
      </c>
      <c r="AY67" s="1135">
        <v>-1023.6890412425432</v>
      </c>
      <c r="AZ67" s="1135">
        <v>-1220.2404750879978</v>
      </c>
      <c r="BA67" s="873">
        <v>-785.12839888885958</v>
      </c>
      <c r="BB67" s="873">
        <v>-509.80424258096321</v>
      </c>
      <c r="BC67" s="873">
        <v>-513.05666818416091</v>
      </c>
      <c r="BD67" s="873">
        <v>-871.51357708361365</v>
      </c>
      <c r="BE67" s="873">
        <v>119.9052484363965</v>
      </c>
      <c r="BF67" s="873">
        <v>-198.03559129255018</v>
      </c>
      <c r="BG67" s="873">
        <v>-320.9581647158634</v>
      </c>
      <c r="BH67" s="873">
        <v>-490.46467895762635</v>
      </c>
      <c r="BI67" s="873">
        <v>-155.88068570197788</v>
      </c>
      <c r="BJ67" s="873"/>
      <c r="BK67" s="873"/>
      <c r="BL67" s="1192"/>
      <c r="BM67" s="1192"/>
      <c r="BN67" s="1192"/>
      <c r="BO67" s="1192">
        <f>BJ67-BN67</f>
        <v>0</v>
      </c>
      <c r="BP67" s="1192"/>
      <c r="BQ67" s="898"/>
      <c r="BR67" s="892"/>
      <c r="BS67" s="786"/>
    </row>
    <row r="68" spans="1:72" x14ac:dyDescent="0.35">
      <c r="A68" s="804" t="s">
        <v>102</v>
      </c>
      <c r="B68" s="805">
        <v>0</v>
      </c>
      <c r="C68" s="805">
        <v>-359</v>
      </c>
      <c r="D68" s="805">
        <v>-160</v>
      </c>
      <c r="E68" s="805">
        <v>0</v>
      </c>
      <c r="F68" s="805">
        <v>-356</v>
      </c>
      <c r="G68" s="805">
        <v>-158</v>
      </c>
      <c r="H68" s="805">
        <v>0</v>
      </c>
      <c r="I68" s="805">
        <v>0</v>
      </c>
      <c r="J68" s="805">
        <v>-561</v>
      </c>
      <c r="K68" s="805">
        <v>0</v>
      </c>
      <c r="L68" s="805">
        <v>0</v>
      </c>
      <c r="M68" s="805">
        <v>0</v>
      </c>
      <c r="N68" s="808"/>
      <c r="O68" s="808"/>
      <c r="P68" s="808"/>
      <c r="Q68" s="808"/>
      <c r="R68" s="808"/>
      <c r="S68" s="808"/>
      <c r="T68" s="808"/>
      <c r="U68" s="808"/>
      <c r="V68" s="808"/>
      <c r="W68" s="808"/>
      <c r="X68" s="808"/>
      <c r="Y68" s="808"/>
      <c r="Z68" s="808"/>
      <c r="AA68" s="808"/>
      <c r="AB68" s="808"/>
      <c r="AC68" s="808"/>
      <c r="AD68" s="808"/>
      <c r="AE68" s="808"/>
      <c r="AF68" s="808"/>
      <c r="AG68" s="808"/>
      <c r="AH68" s="808"/>
      <c r="AI68" s="808"/>
      <c r="AJ68" s="808"/>
      <c r="AK68" s="1038"/>
      <c r="AL68" s="1014">
        <v>0</v>
      </c>
      <c r="AM68" s="874">
        <v>-138</v>
      </c>
      <c r="AN68" s="874">
        <v>737</v>
      </c>
      <c r="AO68" s="874">
        <v>-84</v>
      </c>
      <c r="AP68" s="874">
        <v>0</v>
      </c>
      <c r="AQ68" s="874">
        <v>-166</v>
      </c>
      <c r="AR68" s="874"/>
      <c r="AS68" s="918"/>
      <c r="AT68" s="874"/>
      <c r="AU68" s="874"/>
      <c r="AV68" s="874"/>
      <c r="AW68" s="874"/>
      <c r="AX68" s="874"/>
      <c r="AY68" s="874"/>
      <c r="AZ68" s="874"/>
      <c r="BA68" s="874"/>
      <c r="BB68" s="874"/>
      <c r="BC68" s="874"/>
      <c r="BD68" s="874"/>
      <c r="BE68" s="874"/>
      <c r="BF68" s="874"/>
      <c r="BG68" s="874"/>
      <c r="BH68" s="874"/>
      <c r="BI68" s="874"/>
      <c r="BJ68" s="874"/>
      <c r="BK68" s="874"/>
      <c r="BL68" s="1014"/>
      <c r="BM68" s="1014"/>
      <c r="BN68" s="1250"/>
      <c r="BO68" s="1250">
        <f>BJ68-BN68</f>
        <v>0</v>
      </c>
      <c r="BP68" s="1250"/>
      <c r="BQ68" s="899"/>
      <c r="BR68" s="892"/>
      <c r="BS68" s="786"/>
    </row>
    <row r="69" spans="1:72" ht="30" x14ac:dyDescent="0.35">
      <c r="A69" s="804" t="s">
        <v>286</v>
      </c>
      <c r="B69" s="805"/>
      <c r="C69" s="805"/>
      <c r="D69" s="805"/>
      <c r="E69" s="805"/>
      <c r="F69" s="805"/>
      <c r="G69" s="805"/>
      <c r="H69" s="805"/>
      <c r="I69" s="805"/>
      <c r="J69" s="805"/>
      <c r="K69" s="805"/>
      <c r="L69" s="805"/>
      <c r="M69" s="805"/>
      <c r="N69" s="808"/>
      <c r="O69" s="808"/>
      <c r="P69" s="808"/>
      <c r="Q69" s="808"/>
      <c r="R69" s="808"/>
      <c r="S69" s="808"/>
      <c r="T69" s="808"/>
      <c r="U69" s="808"/>
      <c r="V69" s="808"/>
      <c r="W69" s="808"/>
      <c r="X69" s="917"/>
      <c r="Y69" s="917"/>
      <c r="Z69" s="917">
        <f t="shared" ref="Z69:AH69" si="48">Z52-Z45-Z48</f>
        <v>-264.11701204466732</v>
      </c>
      <c r="AA69" s="917">
        <f t="shared" si="48"/>
        <v>-279.42144676079999</v>
      </c>
      <c r="AB69" s="917">
        <f t="shared" si="48"/>
        <v>-951.1222736259557</v>
      </c>
      <c r="AC69" s="917">
        <f t="shared" si="48"/>
        <v>-432.41380857035443</v>
      </c>
      <c r="AD69" s="917">
        <f t="shared" si="48"/>
        <v>-407.74597429400478</v>
      </c>
      <c r="AE69" s="917">
        <f t="shared" si="48"/>
        <v>-495.45595699025569</v>
      </c>
      <c r="AF69" s="917">
        <f t="shared" si="48"/>
        <v>-256.93143922253057</v>
      </c>
      <c r="AG69" s="917">
        <f t="shared" si="48"/>
        <v>-126.99857643179998</v>
      </c>
      <c r="AH69" s="917">
        <f t="shared" si="48"/>
        <v>-2829.3339929218864</v>
      </c>
      <c r="AI69" s="917">
        <f t="shared" ref="AI69:AK69" si="49">AI52-AI45-AI48</f>
        <v>26.651803174961238</v>
      </c>
      <c r="AJ69" s="917">
        <f t="shared" si="49"/>
        <v>-320.97455300308843</v>
      </c>
      <c r="AK69" s="1039">
        <f t="shared" si="49"/>
        <v>21.898098121051333</v>
      </c>
      <c r="AL69" s="1015"/>
      <c r="AM69" s="918"/>
      <c r="AN69" s="918"/>
      <c r="AO69" s="918"/>
      <c r="AP69" s="918"/>
      <c r="AQ69" s="918"/>
      <c r="AR69" s="918"/>
      <c r="AS69" s="1140"/>
      <c r="AT69" s="918"/>
      <c r="AU69" s="918"/>
      <c r="AV69" s="918"/>
      <c r="AW69" s="918"/>
      <c r="AX69" s="918"/>
      <c r="AY69" s="918"/>
      <c r="AZ69" s="918"/>
      <c r="BA69" s="918"/>
      <c r="BB69" s="918"/>
      <c r="BC69" s="918"/>
      <c r="BD69" s="918"/>
      <c r="BE69" s="918"/>
      <c r="BF69" s="918"/>
      <c r="BG69" s="918"/>
      <c r="BH69" s="918"/>
      <c r="BI69" s="918"/>
      <c r="BJ69" s="918"/>
      <c r="BK69" s="918"/>
      <c r="BL69" s="1015"/>
      <c r="BM69" s="1015"/>
      <c r="BN69" s="1008"/>
      <c r="BO69" s="1008">
        <f>BJ69-BN69</f>
        <v>0</v>
      </c>
      <c r="BP69" s="1008"/>
      <c r="BQ69" s="900">
        <f>SUM(Z69:AK69)</f>
        <v>-6315.9651325693312</v>
      </c>
      <c r="BR69" s="892"/>
      <c r="BS69" s="786"/>
    </row>
    <row r="70" spans="1:72" x14ac:dyDescent="0.35">
      <c r="A70" s="804"/>
      <c r="B70" s="805"/>
      <c r="C70" s="805"/>
      <c r="D70" s="805"/>
      <c r="E70" s="805"/>
      <c r="F70" s="805"/>
      <c r="G70" s="805"/>
      <c r="H70" s="805"/>
      <c r="I70" s="805"/>
      <c r="J70" s="805"/>
      <c r="K70" s="805"/>
      <c r="L70" s="805"/>
      <c r="M70" s="805"/>
      <c r="N70" s="809"/>
      <c r="O70" s="809"/>
      <c r="P70" s="809"/>
      <c r="Q70" s="809"/>
      <c r="R70" s="809"/>
      <c r="S70" s="809"/>
      <c r="T70" s="809"/>
      <c r="U70" s="809"/>
      <c r="V70" s="808"/>
      <c r="W70" s="808"/>
      <c r="X70" s="808"/>
      <c r="Y70" s="808"/>
      <c r="Z70" s="808"/>
      <c r="AA70" s="808"/>
      <c r="AB70" s="808"/>
      <c r="AC70" s="808"/>
      <c r="AD70" s="808"/>
      <c r="AE70" s="808"/>
      <c r="AF70" s="808"/>
      <c r="AG70" s="808"/>
      <c r="AH70" s="808"/>
      <c r="AI70" s="808"/>
      <c r="AJ70" s="808"/>
      <c r="AK70" s="1040"/>
      <c r="AL70" s="1016">
        <v>75</v>
      </c>
      <c r="AM70" s="985">
        <v>237</v>
      </c>
      <c r="AN70" s="985">
        <v>233</v>
      </c>
      <c r="AO70" s="985">
        <v>838</v>
      </c>
      <c r="AP70" s="985">
        <v>640</v>
      </c>
      <c r="AQ70" s="985">
        <v>1391</v>
      </c>
      <c r="AR70" s="985">
        <v>2895</v>
      </c>
      <c r="AS70" s="985">
        <v>3147</v>
      </c>
      <c r="AT70" s="985">
        <v>1500</v>
      </c>
      <c r="AU70" s="985">
        <v>1025</v>
      </c>
      <c r="AV70" s="985">
        <v>1025</v>
      </c>
      <c r="AW70" s="985">
        <v>1200</v>
      </c>
      <c r="AX70" s="985">
        <v>800</v>
      </c>
      <c r="AY70" s="985">
        <v>800</v>
      </c>
      <c r="AZ70" s="985">
        <v>800</v>
      </c>
      <c r="BA70" s="985">
        <v>800</v>
      </c>
      <c r="BB70" s="985">
        <v>800</v>
      </c>
      <c r="BC70" s="985">
        <v>800</v>
      </c>
      <c r="BD70" s="985">
        <v>800</v>
      </c>
      <c r="BE70" s="985">
        <v>800</v>
      </c>
      <c r="BF70" s="985">
        <v>800</v>
      </c>
      <c r="BG70" s="985">
        <v>800</v>
      </c>
      <c r="BH70" s="985">
        <v>800</v>
      </c>
      <c r="BI70" s="985">
        <v>800</v>
      </c>
      <c r="BJ70" s="985"/>
      <c r="BK70" s="985"/>
      <c r="BL70" s="1016"/>
      <c r="BM70" s="1016"/>
      <c r="BN70" s="1251"/>
      <c r="BO70" s="1251">
        <f>BJ70-BN70</f>
        <v>0</v>
      </c>
      <c r="BP70" s="1251"/>
      <c r="BQ70" s="901"/>
      <c r="BR70" s="892"/>
      <c r="BS70" s="786"/>
    </row>
    <row r="71" spans="1:72" ht="127.5" customHeight="1" x14ac:dyDescent="0.35">
      <c r="A71" s="684"/>
      <c r="B71" s="689"/>
      <c r="C71" s="689"/>
      <c r="D71" s="689"/>
      <c r="E71" s="689"/>
      <c r="F71" s="689"/>
      <c r="G71" s="689"/>
      <c r="H71" s="689"/>
      <c r="I71" s="689"/>
      <c r="J71" s="689"/>
      <c r="K71" s="689"/>
      <c r="L71" s="689"/>
      <c r="M71" s="782" t="s">
        <v>172</v>
      </c>
      <c r="N71" s="783">
        <f>26293</f>
        <v>26293</v>
      </c>
      <c r="O71" s="783">
        <v>27042</v>
      </c>
      <c r="P71" s="783">
        <v>24924</v>
      </c>
      <c r="Q71" s="783">
        <v>25695</v>
      </c>
      <c r="R71" s="783">
        <v>25374</v>
      </c>
      <c r="S71" s="783">
        <v>28515</v>
      </c>
      <c r="T71" s="783">
        <v>28802</v>
      </c>
      <c r="U71" s="783">
        <v>29050</v>
      </c>
      <c r="V71" s="783">
        <v>26526</v>
      </c>
      <c r="W71" s="783">
        <v>26140</v>
      </c>
      <c r="X71" s="783">
        <v>26136</v>
      </c>
      <c r="Y71" s="784">
        <v>29133</v>
      </c>
      <c r="Z71" s="785">
        <v>28821</v>
      </c>
      <c r="AA71" s="785">
        <v>28543</v>
      </c>
      <c r="AB71" s="785">
        <v>27035</v>
      </c>
      <c r="AC71" s="785">
        <v>28000</v>
      </c>
      <c r="AD71" s="785">
        <v>27840</v>
      </c>
      <c r="AE71" s="785">
        <v>28357.7</v>
      </c>
      <c r="AF71" s="785">
        <v>28951</v>
      </c>
      <c r="AG71" s="785">
        <v>31614</v>
      </c>
      <c r="AH71" s="785">
        <v>28706</v>
      </c>
      <c r="AI71" s="785">
        <v>29654</v>
      </c>
      <c r="AJ71" s="785">
        <v>30598</v>
      </c>
      <c r="AK71" s="1041">
        <f>AJ71+AK64+(AK59-AJ59)</f>
        <v>30445.5</v>
      </c>
      <c r="AL71" s="1017">
        <v>29086.959999999999</v>
      </c>
      <c r="AM71" s="986">
        <v>27552.86</v>
      </c>
      <c r="AN71" s="986">
        <v>28107.45</v>
      </c>
      <c r="AO71" s="986">
        <v>26945</v>
      </c>
      <c r="AP71" s="986">
        <v>25102</v>
      </c>
      <c r="AQ71" s="986">
        <v>22802</v>
      </c>
      <c r="AR71" s="986">
        <v>22387</v>
      </c>
      <c r="AS71" s="986">
        <v>25439</v>
      </c>
      <c r="AT71" s="986">
        <v>23929.238202134118</v>
      </c>
      <c r="AU71" s="986">
        <v>25988.252336142497</v>
      </c>
      <c r="AV71" s="986">
        <v>26468.92800887896</v>
      </c>
      <c r="AW71" s="986">
        <v>27446.885548766171</v>
      </c>
      <c r="AX71" s="986">
        <v>26125.971021214704</v>
      </c>
      <c r="AY71" s="986">
        <v>25801.802874122015</v>
      </c>
      <c r="AZ71" s="986">
        <v>22785.980266788498</v>
      </c>
      <c r="BA71" s="986">
        <v>23513.180478436545</v>
      </c>
      <c r="BB71" s="986">
        <v>24566.67333817996</v>
      </c>
      <c r="BC71" s="986">
        <v>23346.130643873217</v>
      </c>
      <c r="BD71" s="986">
        <v>24175.707906366682</v>
      </c>
      <c r="BE71" s="986">
        <v>25563.84553199244</v>
      </c>
      <c r="BF71" s="986">
        <v>26086.705229849569</v>
      </c>
      <c r="BG71" s="986">
        <v>27349.72212699302</v>
      </c>
      <c r="BH71" s="986">
        <v>27383.026459550161</v>
      </c>
      <c r="BI71" s="986">
        <v>26700.917343271925</v>
      </c>
      <c r="BJ71" s="986">
        <v>26700.917343271925</v>
      </c>
      <c r="BK71" s="986">
        <v>27446.885548766171</v>
      </c>
      <c r="BL71" s="1193"/>
      <c r="BM71" s="1193"/>
      <c r="BN71" s="1252">
        <v>30964.328703394189</v>
      </c>
      <c r="BO71" s="1252">
        <f>BJ71-BN71</f>
        <v>-4263.4113601222634</v>
      </c>
      <c r="BP71" s="1252"/>
      <c r="BQ71" s="1161">
        <f>AK71</f>
        <v>30445.5</v>
      </c>
      <c r="BR71" s="893" t="s">
        <v>259</v>
      </c>
      <c r="BS71" s="690"/>
    </row>
    <row r="72" spans="1:72" ht="4.3499999999999996" hidden="1" customHeight="1" x14ac:dyDescent="0.35">
      <c r="A72" s="684"/>
      <c r="B72" s="689"/>
      <c r="C72" s="689"/>
      <c r="D72" s="689"/>
      <c r="E72" s="689"/>
      <c r="F72" s="689"/>
      <c r="G72" s="689"/>
      <c r="H72" s="689"/>
      <c r="I72" s="689"/>
      <c r="J72" s="689"/>
      <c r="K72" s="689"/>
      <c r="L72" s="689"/>
      <c r="M72" s="691" t="s">
        <v>138</v>
      </c>
      <c r="N72" s="1452" t="s">
        <v>137</v>
      </c>
      <c r="O72" s="1452"/>
      <c r="P72" s="1452"/>
      <c r="Q72" s="1452"/>
      <c r="R72" s="1158"/>
      <c r="S72" s="1158"/>
      <c r="T72" s="1158"/>
      <c r="U72" s="1158"/>
      <c r="V72" s="1158"/>
      <c r="W72" s="1158"/>
      <c r="X72" s="1158"/>
      <c r="Y72" s="692"/>
      <c r="Z72" s="693"/>
      <c r="AA72" s="694"/>
      <c r="AB72" s="1158"/>
      <c r="AC72" s="1158"/>
      <c r="AD72" s="1158"/>
      <c r="AE72" s="1158"/>
      <c r="AF72" s="1158"/>
      <c r="AG72" s="1158"/>
      <c r="AH72" s="1158"/>
      <c r="AI72" s="1158"/>
      <c r="AJ72" s="1158"/>
      <c r="AK72" s="1042"/>
      <c r="BQ72" s="902"/>
      <c r="BR72" s="694">
        <f>SUM(R72:Y72)</f>
        <v>0</v>
      </c>
      <c r="BS72" s="1453" t="s">
        <v>141</v>
      </c>
      <c r="BT72" s="209"/>
    </row>
    <row r="73" spans="1:72" ht="4.3499999999999996" hidden="1" customHeight="1" x14ac:dyDescent="0.35">
      <c r="A73" s="684"/>
      <c r="B73" s="689"/>
      <c r="C73" s="689"/>
      <c r="D73" s="689"/>
      <c r="E73" s="689"/>
      <c r="F73" s="689"/>
      <c r="G73" s="689"/>
      <c r="H73" s="689"/>
      <c r="I73" s="689"/>
      <c r="J73" s="689"/>
      <c r="K73" s="689"/>
      <c r="L73" s="689"/>
      <c r="M73" s="695" t="s">
        <v>139</v>
      </c>
      <c r="N73" s="1452"/>
      <c r="O73" s="1452"/>
      <c r="P73" s="1452"/>
      <c r="Q73" s="1452"/>
      <c r="R73" s="1158"/>
      <c r="S73" s="1158"/>
      <c r="T73" s="1158"/>
      <c r="U73" s="1158"/>
      <c r="V73" s="1158"/>
      <c r="W73" s="1158"/>
      <c r="X73" s="1158"/>
      <c r="Y73" s="692"/>
      <c r="Z73" s="693"/>
      <c r="AA73" s="694"/>
      <c r="AB73" s="1158"/>
      <c r="AC73" s="1158"/>
      <c r="AD73" s="1158"/>
      <c r="AE73" s="1158"/>
      <c r="AF73" s="1158"/>
      <c r="AG73" s="1158"/>
      <c r="AH73" s="1158"/>
      <c r="AI73" s="1158"/>
      <c r="AJ73" s="1158"/>
      <c r="AK73" s="1043"/>
      <c r="BQ73" s="902"/>
      <c r="BR73" s="694">
        <f>SUM(R73:Y73)</f>
        <v>0</v>
      </c>
      <c r="BS73" s="1453"/>
    </row>
    <row r="74" spans="1:72" ht="4.3499999999999996" hidden="1" customHeight="1" x14ac:dyDescent="0.35">
      <c r="A74" s="684"/>
      <c r="B74" s="689"/>
      <c r="C74" s="689"/>
      <c r="D74" s="689"/>
      <c r="E74" s="689"/>
      <c r="F74" s="689"/>
      <c r="G74" s="689"/>
      <c r="H74" s="689"/>
      <c r="I74" s="689"/>
      <c r="J74" s="689"/>
      <c r="K74" s="689"/>
      <c r="L74" s="689"/>
      <c r="M74" s="696" t="s">
        <v>140</v>
      </c>
      <c r="N74" s="1452"/>
      <c r="O74" s="1452"/>
      <c r="P74" s="1452"/>
      <c r="Q74" s="1452"/>
      <c r="R74" s="697"/>
      <c r="S74" s="697"/>
      <c r="T74" s="697"/>
      <c r="U74" s="697"/>
      <c r="V74" s="697"/>
      <c r="W74" s="697"/>
      <c r="X74" s="697"/>
      <c r="Y74" s="698"/>
      <c r="Z74" s="699"/>
      <c r="AA74" s="687"/>
      <c r="AB74" s="697"/>
      <c r="AC74" s="697"/>
      <c r="AD74" s="697"/>
      <c r="AE74" s="697"/>
      <c r="AF74" s="697"/>
      <c r="AG74" s="697"/>
      <c r="AH74" s="697"/>
      <c r="AI74" s="697"/>
      <c r="AJ74" s="697"/>
      <c r="AK74" s="1044"/>
      <c r="BQ74" s="903"/>
      <c r="BR74" s="694">
        <f>SUM(N74:Y74)</f>
        <v>0</v>
      </c>
      <c r="BS74" s="700"/>
    </row>
    <row r="75" spans="1:72" ht="4.3499999999999996" hidden="1" customHeight="1" x14ac:dyDescent="0.35">
      <c r="A75" s="684"/>
      <c r="B75" s="689"/>
      <c r="C75" s="689"/>
      <c r="D75" s="689"/>
      <c r="E75" s="689"/>
      <c r="F75" s="689"/>
      <c r="G75" s="689"/>
      <c r="H75" s="689"/>
      <c r="I75" s="689"/>
      <c r="J75" s="689"/>
      <c r="K75" s="689"/>
      <c r="L75" s="689"/>
      <c r="M75" s="696" t="s">
        <v>142</v>
      </c>
      <c r="N75" s="1452"/>
      <c r="O75" s="1452"/>
      <c r="P75" s="1452"/>
      <c r="Q75" s="1452"/>
      <c r="R75" s="697"/>
      <c r="S75" s="697"/>
      <c r="T75" s="697"/>
      <c r="U75" s="697"/>
      <c r="V75" s="697"/>
      <c r="W75" s="697"/>
      <c r="X75" s="697"/>
      <c r="Y75" s="698"/>
      <c r="Z75" s="699"/>
      <c r="AA75" s="687"/>
      <c r="AB75" s="697"/>
      <c r="AC75" s="697"/>
      <c r="AD75" s="697"/>
      <c r="AE75" s="697"/>
      <c r="AF75" s="697"/>
      <c r="AG75" s="697"/>
      <c r="AH75" s="697"/>
      <c r="AI75" s="697"/>
      <c r="AJ75" s="697"/>
      <c r="AK75" s="1044"/>
      <c r="BQ75" s="903"/>
      <c r="BR75" s="694">
        <f>SUM(N75:Y75)</f>
        <v>0</v>
      </c>
      <c r="BS75" s="701"/>
    </row>
    <row r="76" spans="1:72" ht="4.3499999999999996" hidden="1" customHeight="1" x14ac:dyDescent="0.35">
      <c r="A76" s="684"/>
      <c r="B76" s="689"/>
      <c r="C76" s="689"/>
      <c r="D76" s="689"/>
      <c r="E76" s="689"/>
      <c r="F76" s="689"/>
      <c r="G76" s="689"/>
      <c r="H76" s="689"/>
      <c r="I76" s="689"/>
      <c r="J76" s="689"/>
      <c r="K76" s="689"/>
      <c r="L76" s="689"/>
      <c r="M76" s="696" t="s">
        <v>143</v>
      </c>
      <c r="N76" s="702"/>
      <c r="O76" s="697"/>
      <c r="P76" s="697"/>
      <c r="Q76" s="697"/>
      <c r="R76" s="703"/>
      <c r="S76" s="703"/>
      <c r="T76" s="703"/>
      <c r="U76" s="703"/>
      <c r="V76" s="703"/>
      <c r="W76" s="703"/>
      <c r="X76" s="703"/>
      <c r="Y76" s="704"/>
      <c r="Z76" s="705"/>
      <c r="AA76" s="706"/>
      <c r="AB76" s="703"/>
      <c r="AC76" s="703"/>
      <c r="AD76" s="703"/>
      <c r="AE76" s="703"/>
      <c r="AF76" s="703"/>
      <c r="AG76" s="703"/>
      <c r="AH76" s="703"/>
      <c r="AI76" s="703"/>
      <c r="AJ76" s="703"/>
      <c r="AK76" s="1045"/>
      <c r="BQ76" s="904"/>
      <c r="BR76" s="694"/>
      <c r="BS76" s="686"/>
    </row>
    <row r="77" spans="1:72" ht="4.3499999999999996" hidden="1" customHeight="1" x14ac:dyDescent="0.35">
      <c r="A77" s="684"/>
      <c r="B77" s="689"/>
      <c r="C77" s="689"/>
      <c r="D77" s="689"/>
      <c r="E77" s="689"/>
      <c r="F77" s="689"/>
      <c r="G77" s="689"/>
      <c r="H77" s="689"/>
      <c r="I77" s="689"/>
      <c r="J77" s="689"/>
      <c r="K77" s="689"/>
      <c r="L77" s="689"/>
      <c r="M77" s="707" t="s">
        <v>144</v>
      </c>
      <c r="N77" s="708"/>
      <c r="O77" s="709"/>
      <c r="P77" s="709"/>
      <c r="Q77" s="709"/>
      <c r="R77" s="709"/>
      <c r="S77" s="709"/>
      <c r="T77" s="709"/>
      <c r="U77" s="709"/>
      <c r="V77" s="709"/>
      <c r="W77" s="709"/>
      <c r="X77" s="709"/>
      <c r="Y77" s="710"/>
      <c r="Z77" s="711"/>
      <c r="AA77" s="712"/>
      <c r="AB77" s="709"/>
      <c r="AC77" s="709"/>
      <c r="AD77" s="709"/>
      <c r="AE77" s="709"/>
      <c r="AF77" s="709"/>
      <c r="AG77" s="709"/>
      <c r="AH77" s="709"/>
      <c r="AI77" s="709"/>
      <c r="AJ77" s="709"/>
      <c r="AK77" s="1046"/>
      <c r="BQ77" s="905"/>
      <c r="BR77" s="712" t="s">
        <v>124</v>
      </c>
      <c r="BS77" s="760" t="s">
        <v>123</v>
      </c>
    </row>
    <row r="78" spans="1:72" hidden="1" x14ac:dyDescent="0.35">
      <c r="A78" s="684"/>
      <c r="B78" s="689"/>
      <c r="C78" s="689"/>
      <c r="D78" s="689"/>
      <c r="E78" s="689"/>
      <c r="F78" s="689"/>
      <c r="G78" s="689"/>
      <c r="H78" s="689"/>
      <c r="I78" s="689"/>
      <c r="J78" s="689"/>
      <c r="K78" s="689"/>
      <c r="L78" s="689"/>
      <c r="M78" s="713"/>
      <c r="N78" s="689"/>
      <c r="O78" s="714"/>
      <c r="P78" s="714"/>
      <c r="Q78" s="714"/>
      <c r="R78" s="714"/>
      <c r="S78" s="714"/>
      <c r="T78" s="714"/>
      <c r="U78" s="714"/>
      <c r="V78" s="714"/>
      <c r="W78" s="714"/>
      <c r="X78" s="714"/>
      <c r="Y78" s="714"/>
      <c r="Z78" s="715"/>
      <c r="AA78" s="714"/>
      <c r="AB78" s="714"/>
      <c r="AC78" s="714"/>
      <c r="AD78" s="714"/>
      <c r="AE78" s="714"/>
      <c r="AF78" s="714"/>
      <c r="AG78" s="714"/>
      <c r="AH78" s="714"/>
      <c r="AI78" s="714"/>
      <c r="AJ78" s="714"/>
      <c r="AK78" s="1047"/>
      <c r="BQ78" s="903"/>
      <c r="BR78" s="688"/>
      <c r="BS78" s="685"/>
    </row>
    <row r="79" spans="1:72" ht="33" customHeight="1" x14ac:dyDescent="0.35">
      <c r="A79" s="761" t="s">
        <v>216</v>
      </c>
      <c r="B79" s="716"/>
      <c r="C79" s="716"/>
      <c r="D79" s="716"/>
      <c r="E79" s="716"/>
      <c r="F79" s="716"/>
      <c r="G79" s="716"/>
      <c r="H79" s="716"/>
      <c r="I79" s="716"/>
      <c r="J79" s="716"/>
      <c r="K79" s="716"/>
      <c r="L79" s="716"/>
      <c r="M79" s="717"/>
      <c r="N79" s="718">
        <f>N62</f>
        <v>906</v>
      </c>
      <c r="O79" s="718">
        <f>O71-N71+N79</f>
        <v>1655</v>
      </c>
      <c r="P79" s="718">
        <f t="shared" ref="P79:Y79" si="50">P71-O71+O79</f>
        <v>-463</v>
      </c>
      <c r="Q79" s="718">
        <f t="shared" si="50"/>
        <v>308</v>
      </c>
      <c r="R79" s="718">
        <f t="shared" si="50"/>
        <v>-13</v>
      </c>
      <c r="S79" s="718">
        <f t="shared" si="50"/>
        <v>3128</v>
      </c>
      <c r="T79" s="718">
        <f t="shared" si="50"/>
        <v>3415</v>
      </c>
      <c r="U79" s="718">
        <f t="shared" si="50"/>
        <v>3663</v>
      </c>
      <c r="V79" s="718">
        <f t="shared" si="50"/>
        <v>1139</v>
      </c>
      <c r="W79" s="718">
        <f t="shared" si="50"/>
        <v>753</v>
      </c>
      <c r="X79" s="718">
        <f t="shared" si="50"/>
        <v>749</v>
      </c>
      <c r="Y79" s="719">
        <f t="shared" si="50"/>
        <v>3746</v>
      </c>
      <c r="Z79" s="720">
        <f>Z71-Y71</f>
        <v>-312</v>
      </c>
      <c r="AA79" s="721">
        <f t="shared" ref="AA79:AI79" si="51">AA71-Z71</f>
        <v>-278</v>
      </c>
      <c r="AB79" s="718">
        <f>AB71-AA71</f>
        <v>-1508</v>
      </c>
      <c r="AC79" s="718">
        <f t="shared" si="51"/>
        <v>965</v>
      </c>
      <c r="AD79" s="718">
        <f>AD71-AC71</f>
        <v>-160</v>
      </c>
      <c r="AE79" s="718">
        <f>AE71-AD71</f>
        <v>517.70000000000073</v>
      </c>
      <c r="AF79" s="718">
        <f>AF71-AE71</f>
        <v>593.29999999999927</v>
      </c>
      <c r="AG79" s="718">
        <f t="shared" si="51"/>
        <v>2663</v>
      </c>
      <c r="AH79" s="718">
        <f t="shared" si="51"/>
        <v>-2908</v>
      </c>
      <c r="AI79" s="718">
        <f t="shared" si="51"/>
        <v>948</v>
      </c>
      <c r="AJ79" s="718">
        <f>AJ71-Y71</f>
        <v>1465</v>
      </c>
      <c r="AK79" s="1048">
        <f>AK71-Y71</f>
        <v>1312.5</v>
      </c>
      <c r="AL79" s="1018">
        <v>-1358.5400000000009</v>
      </c>
      <c r="AM79" s="1018">
        <v>-1534.0999999999985</v>
      </c>
      <c r="AN79" s="1018">
        <v>554.59000000000015</v>
      </c>
      <c r="AO79" s="1018">
        <v>-1162.4500000000007</v>
      </c>
      <c r="AP79" s="1018">
        <v>-1843</v>
      </c>
      <c r="AQ79" s="1018">
        <v>-2300</v>
      </c>
      <c r="AR79" s="1018">
        <v>-415</v>
      </c>
      <c r="AS79" s="1018">
        <v>3052</v>
      </c>
      <c r="AT79" s="718">
        <v>-1509.7617978658818</v>
      </c>
      <c r="AU79" s="718">
        <v>23813.738202134118</v>
      </c>
      <c r="AV79" s="718">
        <v>64.638202134101448</v>
      </c>
      <c r="AW79" s="718"/>
      <c r="AX79" s="1106"/>
      <c r="AY79" s="1106"/>
      <c r="AZ79" s="1106"/>
      <c r="BA79" s="1106"/>
      <c r="BB79" s="1106"/>
      <c r="BC79" s="1106"/>
      <c r="BD79" s="1106"/>
      <c r="BE79" s="1106"/>
      <c r="BF79" s="1106"/>
      <c r="BG79" s="1106"/>
      <c r="BH79" s="1106"/>
      <c r="BI79" s="1106"/>
      <c r="BJ79" s="1106">
        <v>-745.96820549424592</v>
      </c>
      <c r="BK79" s="94"/>
      <c r="BL79" s="94"/>
      <c r="BM79" s="94"/>
      <c r="BN79" s="94"/>
      <c r="BO79" s="94"/>
      <c r="BP79" s="94"/>
      <c r="BQ79" s="906"/>
      <c r="BR79" s="688"/>
      <c r="BS79" s="685"/>
    </row>
    <row r="80" spans="1:72" ht="20.85" customHeight="1" x14ac:dyDescent="0.35">
      <c r="A80" s="762"/>
      <c r="B80" s="689"/>
      <c r="C80" s="689"/>
      <c r="D80" s="689"/>
      <c r="E80" s="689"/>
      <c r="F80" s="689"/>
      <c r="G80" s="689"/>
      <c r="H80" s="689"/>
      <c r="I80" s="689"/>
      <c r="J80" s="689"/>
      <c r="K80" s="689"/>
      <c r="L80" s="689"/>
      <c r="M80" s="722"/>
      <c r="N80" s="723"/>
      <c r="O80" s="723"/>
      <c r="P80" s="723"/>
      <c r="Q80" s="723"/>
      <c r="R80" s="723"/>
      <c r="S80" s="723"/>
      <c r="T80" s="723"/>
      <c r="U80" s="723"/>
      <c r="V80" s="723"/>
      <c r="W80" s="723"/>
      <c r="X80" s="723"/>
      <c r="Y80" s="724"/>
      <c r="Z80" s="763"/>
      <c r="AA80" s="763"/>
      <c r="AB80" s="763"/>
      <c r="AC80" s="763"/>
      <c r="AD80" s="763"/>
      <c r="AE80" s="763"/>
      <c r="AF80" s="763"/>
      <c r="AG80" s="763"/>
      <c r="AH80" s="763"/>
      <c r="AI80" s="763"/>
      <c r="AJ80" s="763"/>
      <c r="AK80" s="1049"/>
      <c r="AR80" s="94"/>
      <c r="AT80">
        <v>-1394.2521878695525</v>
      </c>
      <c r="BQ80" s="903"/>
      <c r="BR80" s="688"/>
      <c r="BS80" s="685"/>
    </row>
    <row r="81" spans="1:71" ht="37.5" customHeight="1" x14ac:dyDescent="0.35">
      <c r="A81" s="684">
        <v>-1</v>
      </c>
      <c r="B81" s="689"/>
      <c r="C81" s="689"/>
      <c r="D81" s="689"/>
      <c r="E81" s="689"/>
      <c r="F81" s="689"/>
      <c r="G81" s="689"/>
      <c r="H81" s="689"/>
      <c r="I81" s="689"/>
      <c r="J81" s="689"/>
      <c r="K81" s="689"/>
      <c r="L81" s="689"/>
      <c r="M81" s="696"/>
      <c r="N81" s="1454" t="s">
        <v>164</v>
      </c>
      <c r="O81" s="1454"/>
      <c r="P81" s="1454"/>
      <c r="Q81" s="1454"/>
      <c r="R81" s="1454"/>
      <c r="S81" s="1454"/>
      <c r="T81" s="1454"/>
      <c r="U81" s="1454"/>
      <c r="V81" s="1454"/>
      <c r="W81" s="1454"/>
      <c r="X81" s="1454"/>
      <c r="Y81" s="1454"/>
      <c r="Z81" s="764">
        <f>Z82/Y82-1</f>
        <v>1.7668075165744312E-3</v>
      </c>
      <c r="AA81" s="764">
        <f>AA82/Z82-1</f>
        <v>-1.1875016768891022E-2</v>
      </c>
      <c r="AB81" s="764">
        <f t="shared" ref="AB81:AJ81" si="52">AB82/AA82-1</f>
        <v>-3.1954001765548412E-3</v>
      </c>
      <c r="AC81" s="764">
        <f t="shared" si="52"/>
        <v>4.8368136797918293E-3</v>
      </c>
      <c r="AD81" s="764">
        <f t="shared" si="52"/>
        <v>-1.1815252416756072E-2</v>
      </c>
      <c r="AE81" s="764">
        <f t="shared" si="52"/>
        <v>-1.3048067632850713E-2</v>
      </c>
      <c r="AF81" s="764">
        <f t="shared" si="52"/>
        <v>-9.2970132153769036E-4</v>
      </c>
      <c r="AG81" s="764">
        <f t="shared" si="52"/>
        <v>-1.6702404193204012E-2</v>
      </c>
      <c r="AH81" s="764">
        <f t="shared" si="52"/>
        <v>-1.1210762331839152E-3</v>
      </c>
      <c r="AI81" s="764">
        <f t="shared" si="52"/>
        <v>-1.3468013468013407E-2</v>
      </c>
      <c r="AJ81" s="764">
        <f t="shared" si="52"/>
        <v>3.0337504740234333E-3</v>
      </c>
      <c r="AK81" s="1050">
        <f>AK82/AJ82-1</f>
        <v>2.8862003780718348E-2</v>
      </c>
      <c r="AL81" s="1019">
        <v>2.8169945688521159E-2</v>
      </c>
      <c r="AM81" s="875">
        <v>1.5368120085775594E-2</v>
      </c>
      <c r="AN81" s="875">
        <v>0</v>
      </c>
      <c r="AO81" s="875">
        <v>0</v>
      </c>
      <c r="AP81" s="875">
        <v>0</v>
      </c>
      <c r="AQ81" s="875">
        <v>0</v>
      </c>
      <c r="AR81" s="875">
        <v>0</v>
      </c>
      <c r="AS81" s="875">
        <v>0</v>
      </c>
      <c r="AT81" s="875">
        <v>0</v>
      </c>
      <c r="AU81" s="875">
        <v>0</v>
      </c>
      <c r="AV81" s="875">
        <v>0</v>
      </c>
      <c r="AW81" s="875">
        <v>5.2798310454065245E-3</v>
      </c>
      <c r="AX81" s="1019"/>
      <c r="AY81" s="1019"/>
      <c r="AZ81" s="1019"/>
      <c r="BA81" s="1019"/>
      <c r="BB81" s="1019"/>
      <c r="BC81" s="1019"/>
      <c r="BD81" s="1019"/>
      <c r="BE81" s="1019"/>
      <c r="BF81" s="1019"/>
      <c r="BG81" s="1019"/>
      <c r="BH81" s="1019"/>
      <c r="BI81" s="1019"/>
      <c r="BJ81" s="1019"/>
      <c r="BQ81" s="907"/>
      <c r="BR81" s="688"/>
      <c r="BS81" s="685"/>
    </row>
    <row r="82" spans="1:71" ht="0.6" customHeight="1" x14ac:dyDescent="0.35">
      <c r="A82" s="684"/>
      <c r="B82" s="684"/>
      <c r="C82" s="684"/>
      <c r="D82" s="684"/>
      <c r="E82" s="684"/>
      <c r="F82" s="685"/>
      <c r="G82" s="685"/>
      <c r="H82" s="685"/>
      <c r="I82" s="685"/>
      <c r="J82" s="685"/>
      <c r="K82" s="685"/>
      <c r="L82" s="685"/>
      <c r="M82" s="765" t="s">
        <v>219</v>
      </c>
      <c r="N82" s="766">
        <v>24.12</v>
      </c>
      <c r="O82" s="766">
        <v>24.6</v>
      </c>
      <c r="P82" s="766">
        <v>26.41</v>
      </c>
      <c r="Q82" s="767">
        <v>27.2</v>
      </c>
      <c r="R82" s="767">
        <v>26.81</v>
      </c>
      <c r="S82" s="767">
        <v>26.7</v>
      </c>
      <c r="T82" s="767">
        <v>27.3</v>
      </c>
      <c r="U82" s="767">
        <v>27.5</v>
      </c>
      <c r="V82" s="766">
        <v>28.3062</v>
      </c>
      <c r="W82" s="766">
        <v>28.33</v>
      </c>
      <c r="X82" s="768">
        <v>28.3</v>
      </c>
      <c r="Y82" s="769">
        <v>28.17</v>
      </c>
      <c r="Z82" s="770">
        <v>28.219770967741901</v>
      </c>
      <c r="AA82" s="771">
        <v>27.884660714285701</v>
      </c>
      <c r="AB82" s="772">
        <v>27.795558064516101</v>
      </c>
      <c r="AC82" s="772">
        <v>27.93</v>
      </c>
      <c r="AD82" s="772">
        <v>27.6</v>
      </c>
      <c r="AE82" s="772">
        <v>27.239873333333321</v>
      </c>
      <c r="AF82" s="772">
        <v>27.214548387096801</v>
      </c>
      <c r="AG82" s="772">
        <v>26.76</v>
      </c>
      <c r="AH82" s="772">
        <v>26.73</v>
      </c>
      <c r="AI82" s="772">
        <v>26.37</v>
      </c>
      <c r="AJ82" s="772">
        <v>26.45</v>
      </c>
      <c r="AK82" s="1051">
        <v>27.2134</v>
      </c>
      <c r="AL82" s="1020">
        <v>27.98</v>
      </c>
      <c r="AM82" s="991">
        <v>28.41</v>
      </c>
      <c r="AN82" s="991">
        <v>28.41</v>
      </c>
      <c r="AO82" s="991">
        <v>28.41</v>
      </c>
      <c r="AP82" s="991">
        <v>28.41</v>
      </c>
      <c r="AQ82" s="991">
        <v>28.41</v>
      </c>
      <c r="AR82" s="991">
        <v>28.41</v>
      </c>
      <c r="AS82" s="991">
        <v>28.41</v>
      </c>
      <c r="AT82" s="991">
        <v>28.41</v>
      </c>
      <c r="AU82" s="991">
        <v>28.41</v>
      </c>
      <c r="AV82" s="991">
        <v>28.41</v>
      </c>
      <c r="AW82" s="991">
        <v>28.56</v>
      </c>
      <c r="AX82" s="991"/>
      <c r="AY82" s="991"/>
      <c r="AZ82" s="991"/>
      <c r="BA82" s="991"/>
      <c r="BB82" s="991"/>
      <c r="BC82" s="991"/>
      <c r="BD82" s="991"/>
      <c r="BE82" s="991"/>
      <c r="BF82" s="991"/>
      <c r="BG82" s="991"/>
      <c r="BH82" s="991"/>
      <c r="BI82" s="991"/>
      <c r="BJ82" s="991"/>
      <c r="BK82" s="991"/>
      <c r="BL82" s="1194"/>
      <c r="BM82" s="1194"/>
      <c r="BN82" s="1194"/>
      <c r="BO82" s="1194"/>
      <c r="BP82" s="1194"/>
      <c r="BQ82" s="959">
        <f>AVERAGE(Z82:AK82)</f>
        <v>27.283984288914482</v>
      </c>
      <c r="BR82" s="773">
        <f>AVERAGE(N82:Y82)</f>
        <v>26.978849999999998</v>
      </c>
      <c r="BS82" s="774"/>
    </row>
    <row r="83" spans="1:71" ht="28.15" customHeight="1" x14ac:dyDescent="0.35">
      <c r="A83" s="1172" t="s">
        <v>327</v>
      </c>
      <c r="B83" s="684"/>
      <c r="C83" s="684"/>
      <c r="D83" s="684"/>
      <c r="E83" s="684"/>
      <c r="F83" s="685"/>
      <c r="G83" s="685"/>
      <c r="H83" s="685"/>
      <c r="I83" s="685"/>
      <c r="J83" s="685"/>
      <c r="K83" s="685"/>
      <c r="L83" s="685"/>
      <c r="M83" s="765" t="s">
        <v>222</v>
      </c>
      <c r="N83" s="766">
        <v>24.12</v>
      </c>
      <c r="O83" s="766">
        <v>24.6</v>
      </c>
      <c r="P83" s="766">
        <v>26.41</v>
      </c>
      <c r="Q83" s="767">
        <v>27.22</v>
      </c>
      <c r="R83" s="767">
        <v>26.81</v>
      </c>
      <c r="S83" s="767">
        <v>26.7</v>
      </c>
      <c r="T83" s="767">
        <v>27.3</v>
      </c>
      <c r="U83" s="767">
        <v>27.5</v>
      </c>
      <c r="V83" s="767">
        <f>V82</f>
        <v>28.3062</v>
      </c>
      <c r="W83" s="767">
        <f>W82</f>
        <v>28.33</v>
      </c>
      <c r="X83" s="767">
        <f>28.4/IF(X63&gt;0,((X63/X88*0.04)+1),((X63/X88*0.35)+1))</f>
        <v>28.4</v>
      </c>
      <c r="Y83" s="769">
        <f>X83/IF(Y63&gt;0,((Y63/Y88*0.08)+1),((Y63/Y88*0.35)+1))</f>
        <v>28.4</v>
      </c>
      <c r="Z83" s="770">
        <v>28.22</v>
      </c>
      <c r="AA83" s="771">
        <f>AA82</f>
        <v>27.884660714285701</v>
      </c>
      <c r="AB83" s="772">
        <f>AB82</f>
        <v>27.795558064516101</v>
      </c>
      <c r="AC83" s="772">
        <f>AC82</f>
        <v>27.93</v>
      </c>
      <c r="AD83" s="772">
        <v>27.6</v>
      </c>
      <c r="AE83" s="772">
        <v>27.24</v>
      </c>
      <c r="AF83" s="772">
        <f>27.27/IF(AF63&gt;0,((AF63/AF88*0.12)+1),((AF65/AF88*0.3)+1))</f>
        <v>27.413092247056561</v>
      </c>
      <c r="AG83" s="772">
        <v>26.76</v>
      </c>
      <c r="AH83" s="772">
        <f>AG83/IF(AH65&gt;0,((AH65/AH88*0.06)+1),((AH65/AH88*0.25)+1))</f>
        <v>27.036811261546525</v>
      </c>
      <c r="AI83" s="772">
        <v>26.37</v>
      </c>
      <c r="AJ83" s="772">
        <f>AJ82</f>
        <v>26.45</v>
      </c>
      <c r="AK83" s="1051">
        <v>27.2134</v>
      </c>
      <c r="AL83" s="1020">
        <v>27.98</v>
      </c>
      <c r="AM83" s="991">
        <v>28.41</v>
      </c>
      <c r="AN83" s="991">
        <v>29.25</v>
      </c>
      <c r="AO83" s="991">
        <v>29.25</v>
      </c>
      <c r="AP83" s="991">
        <v>29.25</v>
      </c>
      <c r="AQ83" s="991">
        <v>29.25</v>
      </c>
      <c r="AR83" s="991">
        <v>36.57</v>
      </c>
      <c r="AS83" s="991">
        <v>36.57</v>
      </c>
      <c r="AT83" s="991">
        <v>36.57</v>
      </c>
      <c r="AU83" s="991">
        <v>36.57</v>
      </c>
      <c r="AV83" s="991">
        <v>36.57</v>
      </c>
      <c r="AW83" s="991">
        <v>36.57</v>
      </c>
      <c r="AX83" s="991">
        <v>36.57</v>
      </c>
      <c r="AY83" s="991">
        <v>36.57</v>
      </c>
      <c r="AZ83" s="991">
        <v>36.57</v>
      </c>
      <c r="BA83" s="991">
        <v>36.57</v>
      </c>
      <c r="BB83" s="991">
        <v>36.57</v>
      </c>
      <c r="BC83" s="991">
        <v>36.57</v>
      </c>
      <c r="BD83" s="991">
        <v>36.57</v>
      </c>
      <c r="BE83" s="991">
        <v>40</v>
      </c>
      <c r="BF83" s="991">
        <v>40</v>
      </c>
      <c r="BG83" s="991">
        <v>40</v>
      </c>
      <c r="BH83" s="991">
        <v>40</v>
      </c>
      <c r="BI83" s="991">
        <v>40</v>
      </c>
      <c r="BJ83" s="991">
        <v>37.999166666666667</v>
      </c>
      <c r="BK83" s="991">
        <v>32.73416666666666</v>
      </c>
      <c r="BL83" s="1194"/>
      <c r="BM83" s="1194"/>
      <c r="BN83" s="1194"/>
      <c r="BO83" s="1194"/>
      <c r="BP83" s="1194"/>
      <c r="BQ83" s="959"/>
      <c r="BR83" s="773"/>
      <c r="BS83" s="774"/>
    </row>
    <row r="84" spans="1:71" ht="33.6" customHeight="1" x14ac:dyDescent="0.35">
      <c r="A84" s="1172" t="s">
        <v>328</v>
      </c>
      <c r="B84" s="684"/>
      <c r="C84" s="684"/>
      <c r="D84" s="684"/>
      <c r="E84" s="684"/>
      <c r="F84" s="685"/>
      <c r="G84" s="685"/>
      <c r="H84" s="685"/>
      <c r="I84" s="685"/>
      <c r="J84" s="685"/>
      <c r="K84" s="685"/>
      <c r="L84" s="685"/>
      <c r="M84" s="765" t="s">
        <v>252</v>
      </c>
      <c r="N84" s="766"/>
      <c r="O84" s="766"/>
      <c r="P84" s="766"/>
      <c r="Q84" s="767"/>
      <c r="R84" s="767"/>
      <c r="S84" s="767"/>
      <c r="T84" s="767"/>
      <c r="U84" s="767"/>
      <c r="V84" s="767"/>
      <c r="W84" s="767"/>
      <c r="X84" s="767"/>
      <c r="Y84" s="775"/>
      <c r="Z84" s="770">
        <f>Z82</f>
        <v>28.219770967741901</v>
      </c>
      <c r="AA84" s="771">
        <v>27.88</v>
      </c>
      <c r="AB84" s="772">
        <f>AB82</f>
        <v>27.795558064516101</v>
      </c>
      <c r="AC84" s="772">
        <v>27.93</v>
      </c>
      <c r="AD84" s="772">
        <f>AD83/((((((AD85/$AC$85)-1)/4)+1)))</f>
        <v>27.481852021866036</v>
      </c>
      <c r="AE84" s="772">
        <v>27.239873333333321</v>
      </c>
      <c r="AF84" s="772">
        <v>27.214548387096801</v>
      </c>
      <c r="AG84" s="772">
        <f>AG82</f>
        <v>26.76</v>
      </c>
      <c r="AH84" s="772">
        <f>AH83/((((((AH85/$AG$85)-1)/6)+1)))</f>
        <v>27.031657347737649</v>
      </c>
      <c r="AI84" s="772">
        <f>AI83/((((((AI85/$AG$85)-1)/6)+1)))</f>
        <v>26.438383674417221</v>
      </c>
      <c r="AJ84" s="772">
        <v>27.3</v>
      </c>
      <c r="AK84" s="1051">
        <v>27.2134</v>
      </c>
      <c r="AL84" s="1020"/>
      <c r="AM84" s="991"/>
      <c r="AN84" s="991"/>
      <c r="AO84" s="991"/>
      <c r="AP84" s="991"/>
      <c r="AQ84" s="991"/>
      <c r="AR84" s="991"/>
      <c r="AS84" s="991"/>
      <c r="AT84" s="991"/>
      <c r="AU84" s="991"/>
      <c r="AV84" s="991"/>
      <c r="AW84" s="1308" t="s">
        <v>330</v>
      </c>
      <c r="AX84" s="1173"/>
      <c r="AY84" s="1173"/>
      <c r="AZ84" s="1173"/>
      <c r="BA84" s="1173"/>
      <c r="BB84" s="1173"/>
      <c r="BC84" s="1173">
        <v>36.57</v>
      </c>
      <c r="BD84" s="1173">
        <v>37.414091133917992</v>
      </c>
      <c r="BE84" s="1173">
        <v>37.837762992491051</v>
      </c>
      <c r="BF84" s="1173">
        <v>38.414331258833926</v>
      </c>
      <c r="BG84" s="1173">
        <v>39.072299392091203</v>
      </c>
      <c r="BH84" s="1173">
        <v>40.181953565920068</v>
      </c>
      <c r="BI84" s="1173">
        <v>41.912253183572716</v>
      </c>
      <c r="BJ84" s="991"/>
      <c r="BK84" s="991"/>
      <c r="BL84" s="1194"/>
      <c r="BM84" s="1194"/>
      <c r="BN84" s="1194"/>
      <c r="BO84" s="1194"/>
      <c r="BP84" s="1194"/>
      <c r="BQ84" s="959"/>
      <c r="BR84" s="776"/>
      <c r="BS84" s="777"/>
    </row>
    <row r="85" spans="1:71" ht="33.6" customHeight="1" x14ac:dyDescent="0.35">
      <c r="A85" s="684"/>
      <c r="B85" s="684"/>
      <c r="C85" s="684"/>
      <c r="D85" s="684"/>
      <c r="E85" s="684"/>
      <c r="F85" s="685"/>
      <c r="G85" s="685"/>
      <c r="H85" s="685"/>
      <c r="I85" s="685"/>
      <c r="J85" s="685"/>
      <c r="K85" s="685"/>
      <c r="L85" s="685"/>
      <c r="M85" s="765" t="s">
        <v>221</v>
      </c>
      <c r="N85" s="766"/>
      <c r="O85" s="766"/>
      <c r="P85" s="766"/>
      <c r="Q85" s="767"/>
      <c r="R85" s="767"/>
      <c r="S85" s="767"/>
      <c r="T85" s="767"/>
      <c r="U85" s="767"/>
      <c r="V85" s="767"/>
      <c r="W85" s="767"/>
      <c r="X85" s="768"/>
      <c r="Y85" s="778" t="s">
        <v>253</v>
      </c>
      <c r="Z85" s="779">
        <v>1.2185171252047151</v>
      </c>
      <c r="AA85" s="780">
        <v>1.2100913136446627</v>
      </c>
      <c r="AB85" s="768">
        <v>1.1922792722856739</v>
      </c>
      <c r="AC85" s="768">
        <v>1.1933470119711151</v>
      </c>
      <c r="AD85" s="768">
        <v>1.2138684144682124</v>
      </c>
      <c r="AE85" s="768">
        <v>1.206099098356062</v>
      </c>
      <c r="AF85" s="768">
        <v>1.1825347211109807</v>
      </c>
      <c r="AG85" s="768">
        <v>1.1771117645323157</v>
      </c>
      <c r="AH85" s="768">
        <v>1.1784583484653177</v>
      </c>
      <c r="AI85" s="768">
        <v>1.1588439546730429</v>
      </c>
      <c r="AJ85" s="768">
        <v>1.1417999999999999</v>
      </c>
      <c r="AK85" s="1052">
        <v>1.1311</v>
      </c>
      <c r="AL85" s="1021"/>
      <c r="AM85" s="990"/>
      <c r="AN85" s="990"/>
      <c r="AO85" s="990"/>
      <c r="AP85" s="990"/>
      <c r="AQ85" s="990"/>
      <c r="AR85" s="990"/>
      <c r="AS85" s="990"/>
      <c r="AT85" s="990"/>
      <c r="AU85" s="990"/>
      <c r="AV85" s="990"/>
      <c r="AW85" s="1309"/>
      <c r="AX85" s="1174"/>
      <c r="AY85" s="1174"/>
      <c r="AZ85" s="1174"/>
      <c r="BA85" s="1174"/>
      <c r="BB85" s="1174"/>
      <c r="BC85" s="1174">
        <v>36.57</v>
      </c>
      <c r="BD85" s="1174">
        <v>36.241247471095797</v>
      </c>
      <c r="BE85" s="1174">
        <v>35.747173830872669</v>
      </c>
      <c r="BF85" s="1174">
        <v>35.557051028292776</v>
      </c>
      <c r="BG85" s="1174">
        <v>35.126175107747173</v>
      </c>
      <c r="BH85" s="1174">
        <v>35.083830441705722</v>
      </c>
      <c r="BI85" s="1174">
        <v>35.238138793650833</v>
      </c>
      <c r="BJ85" s="990"/>
      <c r="BK85" s="990"/>
      <c r="BL85" s="1195"/>
      <c r="BM85" s="1195"/>
      <c r="BN85" s="1195"/>
      <c r="BO85" s="1195"/>
      <c r="BP85" s="1195"/>
      <c r="BQ85" s="959"/>
      <c r="BR85" s="776"/>
      <c r="BS85" s="777"/>
    </row>
    <row r="86" spans="1:71" ht="33" customHeight="1" x14ac:dyDescent="0.35">
      <c r="A86" s="684"/>
      <c r="B86" s="684"/>
      <c r="C86" s="684"/>
      <c r="D86" s="684"/>
      <c r="E86" s="684"/>
      <c r="F86" s="685"/>
      <c r="G86" s="685"/>
      <c r="H86" s="685"/>
      <c r="I86" s="685"/>
      <c r="J86" s="685"/>
      <c r="K86" s="685"/>
      <c r="L86" s="685"/>
      <c r="M86" s="657"/>
      <c r="N86" s="725"/>
      <c r="O86" s="725"/>
      <c r="P86" s="725"/>
      <c r="Q86" s="725"/>
      <c r="R86" s="725"/>
      <c r="S86" s="725"/>
      <c r="T86" s="725"/>
      <c r="U86" s="725"/>
      <c r="V86" s="725"/>
      <c r="W86" s="725"/>
      <c r="X86" s="725"/>
      <c r="Y86" s="726"/>
      <c r="Z86" s="727"/>
      <c r="AA86" s="728">
        <f t="shared" ref="AA86:AI86" si="53">AA82/Z82-1</f>
        <v>-1.1875016768891022E-2</v>
      </c>
      <c r="AB86" s="728">
        <f t="shared" si="53"/>
        <v>-3.1954001765548412E-3</v>
      </c>
      <c r="AC86" s="728">
        <f t="shared" si="53"/>
        <v>4.8368136797918293E-3</v>
      </c>
      <c r="AD86" s="728">
        <f t="shared" si="53"/>
        <v>-1.1815252416756072E-2</v>
      </c>
      <c r="AE86" s="728">
        <f t="shared" si="53"/>
        <v>-1.3048067632850713E-2</v>
      </c>
      <c r="AF86" s="728">
        <f t="shared" si="53"/>
        <v>-9.2970132153769036E-4</v>
      </c>
      <c r="AG86" s="728">
        <f t="shared" si="53"/>
        <v>-1.6702404193204012E-2</v>
      </c>
      <c r="AH86" s="728">
        <f t="shared" si="53"/>
        <v>-1.1210762331839152E-3</v>
      </c>
      <c r="AI86" s="728">
        <f t="shared" si="53"/>
        <v>-1.3468013468013407E-2</v>
      </c>
      <c r="AJ86" s="960">
        <f>AJ83*0.3+AJ82*0.6+AJ84*0.1</f>
        <v>26.535</v>
      </c>
      <c r="AK86" s="1053">
        <f>AK83*0.3+AK82*0.6+AK84*0.1</f>
        <v>27.213399999999996</v>
      </c>
      <c r="AL86" s="1022"/>
      <c r="AM86" s="998"/>
      <c r="AN86" s="998"/>
      <c r="AO86" s="998"/>
      <c r="AP86" s="998"/>
      <c r="AQ86" s="998"/>
      <c r="AR86" s="998"/>
      <c r="AS86" s="998"/>
      <c r="AT86" s="998"/>
      <c r="AU86" s="998"/>
      <c r="AV86" s="998"/>
      <c r="AW86" s="1310"/>
      <c r="AX86" s="998">
        <v>36.57</v>
      </c>
      <c r="AY86" s="998">
        <v>36.57</v>
      </c>
      <c r="AZ86" s="998">
        <v>36.57</v>
      </c>
      <c r="BA86" s="998">
        <v>36.57</v>
      </c>
      <c r="BB86" s="998">
        <v>36.57</v>
      </c>
      <c r="BC86" s="998">
        <v>36.57</v>
      </c>
      <c r="BD86" s="998">
        <v>36.827669302506891</v>
      </c>
      <c r="BE86" s="998">
        <v>36.79246841168186</v>
      </c>
      <c r="BF86" s="998">
        <v>36.985691143563351</v>
      </c>
      <c r="BG86" s="998">
        <v>37.099237249919184</v>
      </c>
      <c r="BH86" s="998">
        <v>37.632892003812898</v>
      </c>
      <c r="BI86" s="998">
        <v>38.575195988611775</v>
      </c>
      <c r="BJ86" s="998">
        <v>36.944429508341329</v>
      </c>
      <c r="BK86" s="999"/>
      <c r="BL86" s="1196"/>
      <c r="BM86" s="1196"/>
      <c r="BN86" s="1196"/>
      <c r="BO86" s="1196"/>
      <c r="BP86" s="1196"/>
      <c r="BQ86" s="908"/>
      <c r="BR86" s="688"/>
      <c r="BS86" s="685"/>
    </row>
    <row r="87" spans="1:71" ht="47.45" customHeight="1" x14ac:dyDescent="0.35">
      <c r="A87" s="684"/>
      <c r="B87" s="684"/>
      <c r="C87" s="684"/>
      <c r="D87" s="684"/>
      <c r="E87" s="684"/>
      <c r="F87" s="685"/>
      <c r="G87" s="685"/>
      <c r="H87" s="685"/>
      <c r="I87" s="685"/>
      <c r="J87" s="685"/>
      <c r="K87" s="685"/>
      <c r="L87" s="685"/>
      <c r="M87" s="729"/>
      <c r="N87" s="730"/>
      <c r="O87" s="730"/>
      <c r="P87" s="731"/>
      <c r="Q87" s="731"/>
      <c r="R87" s="732"/>
      <c r="S87" s="733"/>
      <c r="T87" s="734"/>
      <c r="U87" s="734"/>
      <c r="V87" s="734"/>
      <c r="W87" s="734"/>
      <c r="X87" s="734"/>
      <c r="Y87" s="735"/>
      <c r="Z87" s="736"/>
      <c r="AA87" s="737"/>
      <c r="AB87" s="737"/>
      <c r="AC87" s="737"/>
      <c r="AD87" s="737"/>
      <c r="AE87" s="737"/>
      <c r="AF87" s="738"/>
      <c r="AG87" s="737"/>
      <c r="AH87" s="737"/>
      <c r="AI87" s="737"/>
      <c r="AJ87" s="737"/>
      <c r="AK87" s="1054"/>
      <c r="AL87" s="1022"/>
      <c r="AM87" s="998"/>
      <c r="AN87" s="998"/>
      <c r="AO87" s="998"/>
      <c r="AP87" s="998"/>
      <c r="AQ87" s="998"/>
      <c r="AR87" s="998"/>
      <c r="AS87" s="998"/>
      <c r="AT87" s="998"/>
      <c r="AU87" s="998"/>
      <c r="AV87" s="998"/>
      <c r="AW87" s="998"/>
      <c r="AX87" s="998"/>
      <c r="AY87" s="998"/>
      <c r="AZ87" s="998"/>
      <c r="BA87" s="998"/>
      <c r="BB87" s="998"/>
      <c r="BC87" s="998"/>
      <c r="BD87" s="998"/>
      <c r="BE87" s="998"/>
      <c r="BF87" s="998"/>
      <c r="BG87" s="998"/>
      <c r="BH87" s="998"/>
      <c r="BI87" s="998"/>
      <c r="BJ87" s="998"/>
      <c r="BK87" s="999"/>
      <c r="BL87" s="1196"/>
      <c r="BM87" s="1196"/>
      <c r="BN87" s="1196"/>
      <c r="BO87" s="1196"/>
      <c r="BP87" s="1196"/>
      <c r="BQ87" s="988"/>
      <c r="BR87" s="688"/>
      <c r="BS87" s="685"/>
    </row>
    <row r="88" spans="1:71" x14ac:dyDescent="0.35">
      <c r="A88" s="684" t="s">
        <v>329</v>
      </c>
      <c r="B88" s="684"/>
      <c r="C88" s="684"/>
      <c r="D88" s="684"/>
      <c r="E88" s="684"/>
      <c r="F88" s="685"/>
      <c r="G88" s="685"/>
      <c r="H88" s="685"/>
      <c r="I88" s="685"/>
      <c r="J88" s="685"/>
      <c r="K88" s="685"/>
      <c r="L88" s="685"/>
      <c r="M88" s="739" t="s">
        <v>120</v>
      </c>
      <c r="N88" s="730">
        <v>7439.541896695423</v>
      </c>
      <c r="O88" s="740">
        <v>7620.181665367646</v>
      </c>
      <c r="P88" s="740">
        <v>9307.818069900246</v>
      </c>
      <c r="Q88" s="740">
        <v>7293.830335383388</v>
      </c>
      <c r="R88" s="731">
        <v>5864.3322971093985</v>
      </c>
      <c r="S88" s="731">
        <v>6223.0128261245109</v>
      </c>
      <c r="T88" s="731">
        <v>8773.3190289107242</v>
      </c>
      <c r="U88" s="731">
        <v>7980.3831047364329</v>
      </c>
      <c r="V88" s="731">
        <v>8956</v>
      </c>
      <c r="W88" s="731">
        <v>9031</v>
      </c>
      <c r="X88" s="731">
        <f t="shared" ref="X88:AK88" si="54">AVERAGE($U$89:$W$89)*(X7+X8)*2</f>
        <v>9467.3191668392246</v>
      </c>
      <c r="Y88" s="741">
        <f t="shared" si="54"/>
        <v>10133.673567685957</v>
      </c>
      <c r="Z88" s="742">
        <f t="shared" si="54"/>
        <v>7644.2549129196141</v>
      </c>
      <c r="AA88" s="743">
        <f t="shared" si="54"/>
        <v>8847.7621742962328</v>
      </c>
      <c r="AB88" s="731">
        <f t="shared" si="54"/>
        <v>10727.79718615083</v>
      </c>
      <c r="AC88" s="731">
        <f t="shared" si="54"/>
        <v>10138.760242501581</v>
      </c>
      <c r="AD88" s="731">
        <f t="shared" si="54"/>
        <v>10301.533836601546</v>
      </c>
      <c r="AE88" s="731">
        <f t="shared" si="54"/>
        <v>10316.793861048418</v>
      </c>
      <c r="AF88" s="731">
        <f t="shared" si="54"/>
        <v>11360.579533214444</v>
      </c>
      <c r="AG88" s="731">
        <f t="shared" si="54"/>
        <v>12282.285009805497</v>
      </c>
      <c r="AH88" s="731">
        <f t="shared" si="54"/>
        <v>12703.461684539157</v>
      </c>
      <c r="AI88" s="731">
        <f t="shared" si="54"/>
        <v>12565.104129554187</v>
      </c>
      <c r="AJ88" s="731">
        <f t="shared" si="54"/>
        <v>14028.031806527624</v>
      </c>
      <c r="AK88" s="1055">
        <f t="shared" si="54"/>
        <v>14293.556231903192</v>
      </c>
      <c r="AL88" s="1023">
        <v>11743.097479349362</v>
      </c>
      <c r="AM88" s="741">
        <v>11045.205694645761</v>
      </c>
      <c r="AN88" s="741">
        <v>4333.846942911573</v>
      </c>
      <c r="AO88" s="741">
        <v>5184.3389720838904</v>
      </c>
      <c r="AP88" s="741">
        <v>6526.2037884454785</v>
      </c>
      <c r="AQ88" s="741">
        <v>7897.571318737685</v>
      </c>
      <c r="AR88" s="741">
        <v>7512.0013677133929</v>
      </c>
      <c r="AS88" s="741">
        <v>8032.8768688332812</v>
      </c>
      <c r="AT88" s="741">
        <v>8718.6274126938424</v>
      </c>
      <c r="AU88" s="741">
        <v>9257.0170564200653</v>
      </c>
      <c r="AV88" s="741">
        <v>9662.6413761839831</v>
      </c>
      <c r="AW88" s="741">
        <v>9864.1728440318475</v>
      </c>
      <c r="AX88" s="741">
        <v>8025.0576353588012</v>
      </c>
      <c r="AY88" s="741">
        <v>8476.3527629632899</v>
      </c>
      <c r="AZ88" s="741">
        <v>9737.5583009926813</v>
      </c>
      <c r="BA88" s="741">
        <v>9130.9007766930736</v>
      </c>
      <c r="BB88" s="741">
        <v>9258.6198348117268</v>
      </c>
      <c r="BC88" s="741">
        <v>8900.8679850114077</v>
      </c>
      <c r="BD88" s="741">
        <v>9971.8400246236324</v>
      </c>
      <c r="BE88" s="741">
        <v>10322.184882994525</v>
      </c>
      <c r="BF88" s="741">
        <v>10788.014105091444</v>
      </c>
      <c r="BG88" s="741">
        <v>10790.22570352303</v>
      </c>
      <c r="BH88" s="741">
        <v>11627.298104878913</v>
      </c>
      <c r="BI88" s="741">
        <v>11852.164041535816</v>
      </c>
      <c r="BJ88" s="741"/>
      <c r="BK88" s="741"/>
      <c r="BL88" s="1197"/>
      <c r="BM88" s="1197"/>
      <c r="BN88" s="1197"/>
      <c r="BO88" s="1197"/>
      <c r="BP88" s="1197"/>
      <c r="BQ88" s="909"/>
      <c r="BR88" s="688"/>
      <c r="BS88" s="685"/>
    </row>
    <row r="89" spans="1:71" ht="30" x14ac:dyDescent="0.35">
      <c r="A89" s="684"/>
      <c r="B89" s="684"/>
      <c r="C89" s="684"/>
      <c r="D89" s="684"/>
      <c r="E89" s="684"/>
      <c r="F89" s="685"/>
      <c r="G89" s="685"/>
      <c r="H89" s="685"/>
      <c r="I89" s="685"/>
      <c r="J89" s="685"/>
      <c r="K89" s="685"/>
      <c r="L89" s="685"/>
      <c r="M89" s="739" t="s">
        <v>121</v>
      </c>
      <c r="N89" s="744"/>
      <c r="O89" s="745">
        <f t="shared" ref="O89:W89" si="55">O88/(O7+O8)/2</f>
        <v>0.47424580939554678</v>
      </c>
      <c r="P89" s="745">
        <f t="shared" si="55"/>
        <v>0.55364133178088548</v>
      </c>
      <c r="Q89" s="745">
        <f t="shared" si="55"/>
        <v>0.52678248847200548</v>
      </c>
      <c r="R89" s="745">
        <f t="shared" si="55"/>
        <v>0.45523461396595238</v>
      </c>
      <c r="S89" s="745">
        <f t="shared" si="55"/>
        <v>0.45159744746912273</v>
      </c>
      <c r="T89" s="745">
        <f t="shared" si="55"/>
        <v>0.56932634840432994</v>
      </c>
      <c r="U89" s="745">
        <f t="shared" si="55"/>
        <v>0.48821626726639133</v>
      </c>
      <c r="V89" s="745">
        <f t="shared" si="55"/>
        <v>0.54042964035722907</v>
      </c>
      <c r="W89" s="745">
        <f t="shared" si="55"/>
        <v>0.49735653706355326</v>
      </c>
      <c r="X89" s="744"/>
      <c r="Y89" s="746"/>
      <c r="Z89" s="747"/>
      <c r="AA89" s="748"/>
      <c r="AB89" s="748"/>
      <c r="AC89" s="748"/>
      <c r="AD89" s="748"/>
      <c r="AE89" s="748"/>
      <c r="AF89" s="748"/>
      <c r="AG89" s="748"/>
      <c r="AH89" s="748"/>
      <c r="AI89" s="748"/>
      <c r="AJ89" s="748"/>
      <c r="AK89" s="1056"/>
      <c r="AL89" s="1001"/>
      <c r="AM89" s="1001"/>
      <c r="AN89" s="1001"/>
      <c r="AO89" s="1001"/>
      <c r="AP89" s="1001"/>
      <c r="AQ89" s="1001"/>
      <c r="AR89" s="1001"/>
      <c r="AS89" s="1001"/>
      <c r="AT89" s="1001"/>
      <c r="AU89" s="1001"/>
      <c r="AV89" s="1001"/>
      <c r="AW89" s="1001"/>
      <c r="AX89" s="1001"/>
      <c r="AY89" s="1001"/>
      <c r="AZ89" s="1001"/>
      <c r="BA89" s="1001"/>
      <c r="BB89" s="1001"/>
      <c r="BC89" s="1001"/>
      <c r="BD89" s="1001"/>
      <c r="BE89" s="1001"/>
      <c r="BF89" s="1001"/>
      <c r="BG89" s="1001"/>
      <c r="BH89" s="1001"/>
      <c r="BI89" s="1001"/>
      <c r="BJ89" s="1001"/>
      <c r="BQ89" s="910"/>
      <c r="BR89" s="688"/>
      <c r="BS89" s="685"/>
    </row>
    <row r="90" spans="1:71" x14ac:dyDescent="0.35">
      <c r="A90" s="684"/>
      <c r="B90" s="684"/>
      <c r="C90" s="684"/>
      <c r="D90" s="684"/>
      <c r="E90" s="684"/>
      <c r="F90" s="685"/>
      <c r="G90" s="685"/>
      <c r="H90" s="685"/>
      <c r="I90" s="685"/>
      <c r="J90" s="685"/>
      <c r="K90" s="685"/>
      <c r="L90" s="685"/>
      <c r="M90" s="739"/>
      <c r="N90" s="744"/>
      <c r="O90" s="744"/>
      <c r="P90" s="744"/>
      <c r="Q90" s="744"/>
      <c r="R90" s="749">
        <f t="shared" ref="R90:Y90" si="56">R75</f>
        <v>0</v>
      </c>
      <c r="S90" s="749">
        <f t="shared" si="56"/>
        <v>0</v>
      </c>
      <c r="T90" s="749">
        <f t="shared" si="56"/>
        <v>0</v>
      </c>
      <c r="U90" s="749">
        <f t="shared" si="56"/>
        <v>0</v>
      </c>
      <c r="V90" s="749">
        <f t="shared" si="56"/>
        <v>0</v>
      </c>
      <c r="W90" s="749">
        <f t="shared" si="56"/>
        <v>0</v>
      </c>
      <c r="X90" s="749">
        <f t="shared" si="56"/>
        <v>0</v>
      </c>
      <c r="Y90" s="750">
        <f t="shared" si="56"/>
        <v>0</v>
      </c>
      <c r="Z90" s="751"/>
      <c r="AA90" s="752"/>
      <c r="AB90" s="752"/>
      <c r="AC90" s="752"/>
      <c r="AD90" s="752"/>
      <c r="AE90" s="752"/>
      <c r="AF90" s="752"/>
      <c r="AG90" s="752"/>
      <c r="AH90" s="752"/>
      <c r="AI90" s="752"/>
      <c r="AJ90" s="752"/>
      <c r="AK90" s="1057"/>
      <c r="AL90" s="1001"/>
      <c r="AM90" s="1001"/>
      <c r="AN90" s="1001"/>
      <c r="AO90" s="1001"/>
      <c r="AP90" s="1001"/>
      <c r="AQ90" s="1001"/>
      <c r="AR90" s="1001"/>
      <c r="AS90" s="1001"/>
      <c r="AT90" s="1001"/>
      <c r="AU90" s="1001"/>
      <c r="AV90" s="1001"/>
      <c r="AW90" s="1001"/>
      <c r="AX90" s="1001"/>
      <c r="AY90" s="1001"/>
      <c r="AZ90" s="1001"/>
      <c r="BA90" s="1001"/>
      <c r="BB90" s="1001"/>
      <c r="BC90" s="1001"/>
      <c r="BD90" s="1001"/>
      <c r="BE90" s="1001"/>
      <c r="BF90" s="1001"/>
      <c r="BG90" s="1001"/>
      <c r="BH90" s="1001"/>
      <c r="BI90" s="1001"/>
      <c r="BJ90" s="1001"/>
      <c r="BQ90" s="911"/>
      <c r="BR90" s="688"/>
      <c r="BS90" s="685"/>
    </row>
    <row r="91" spans="1:71" x14ac:dyDescent="0.35">
      <c r="A91" s="684"/>
      <c r="B91" s="684"/>
      <c r="C91" s="684"/>
      <c r="D91" s="684"/>
      <c r="E91" s="684"/>
      <c r="F91" s="685"/>
      <c r="G91" s="685"/>
      <c r="H91" s="685"/>
      <c r="I91" s="685"/>
      <c r="J91" s="685"/>
      <c r="K91" s="685"/>
      <c r="L91" s="685"/>
      <c r="M91" s="739"/>
      <c r="N91" s="781">
        <v>0.156</v>
      </c>
      <c r="O91" s="744"/>
      <c r="P91" s="753">
        <v>481.8</v>
      </c>
      <c r="Q91" s="754">
        <v>494.18564514231502</v>
      </c>
      <c r="R91" s="754">
        <v>503.70049959288718</v>
      </c>
      <c r="S91" s="754">
        <v>520.93308887071828</v>
      </c>
      <c r="T91" s="754">
        <v>531.01115622100031</v>
      </c>
      <c r="U91" s="754">
        <v>526.44686994486233</v>
      </c>
      <c r="V91" s="754">
        <v>520.66037376730696</v>
      </c>
      <c r="W91" s="754">
        <v>529.4676646712378</v>
      </c>
      <c r="X91" s="754">
        <v>529.04336160927915</v>
      </c>
      <c r="Y91" s="755">
        <v>526.53846577028105</v>
      </c>
      <c r="Z91" s="756"/>
      <c r="AA91" s="757"/>
      <c r="AB91" s="757"/>
      <c r="AC91" s="757"/>
      <c r="AD91" s="757"/>
      <c r="AE91" s="757"/>
      <c r="AF91" s="757"/>
      <c r="AG91" s="757"/>
      <c r="AH91" s="757"/>
      <c r="AI91" s="757"/>
      <c r="AJ91" s="757"/>
      <c r="AK91" s="1058"/>
      <c r="BQ91" s="912"/>
      <c r="BR91" s="688"/>
      <c r="BS91" s="685"/>
    </row>
    <row r="92" spans="1:71" x14ac:dyDescent="0.35">
      <c r="A92" s="684"/>
      <c r="B92" s="684"/>
      <c r="C92" s="684"/>
      <c r="D92" s="684"/>
      <c r="E92" s="684"/>
      <c r="F92" s="685"/>
      <c r="G92" s="685"/>
      <c r="H92" s="685"/>
      <c r="I92" s="685"/>
      <c r="J92" s="685"/>
      <c r="K92" s="685"/>
      <c r="L92" s="685"/>
      <c r="M92" s="685"/>
      <c r="N92" s="685"/>
      <c r="O92" s="685"/>
      <c r="P92" s="685"/>
      <c r="Q92" s="685"/>
      <c r="R92" s="685"/>
      <c r="S92" s="685"/>
      <c r="T92" s="685"/>
      <c r="U92" s="685"/>
      <c r="V92" s="685"/>
      <c r="W92" s="685"/>
      <c r="X92" s="685"/>
      <c r="Y92" s="685"/>
      <c r="Z92" s="758"/>
      <c r="AA92" s="685"/>
      <c r="AB92" s="685"/>
      <c r="AC92" s="685"/>
      <c r="AD92" s="685"/>
      <c r="AE92" s="685"/>
      <c r="AF92" s="685"/>
      <c r="AG92" s="685"/>
      <c r="AH92" s="685"/>
      <c r="AI92" s="685"/>
      <c r="AJ92" s="685"/>
      <c r="AK92" s="1059"/>
      <c r="AN92" s="937">
        <v>674.66845878136201</v>
      </c>
      <c r="AO92" s="937">
        <v>506.33154121863799</v>
      </c>
      <c r="BQ92" s="913"/>
      <c r="BR92" s="688"/>
      <c r="BS92" s="685"/>
    </row>
    <row r="93" spans="1:71" ht="54.75" customHeight="1" x14ac:dyDescent="0.35">
      <c r="A93" s="684" t="s">
        <v>331</v>
      </c>
      <c r="B93" s="684"/>
      <c r="C93" s="684"/>
      <c r="D93" s="684"/>
      <c r="E93" s="684"/>
      <c r="F93" s="685"/>
      <c r="G93" s="685"/>
      <c r="H93" s="685"/>
      <c r="I93" s="685"/>
      <c r="J93" s="685"/>
      <c r="K93" s="685"/>
      <c r="L93" s="685"/>
      <c r="M93" s="685"/>
      <c r="N93" s="685"/>
      <c r="O93" s="685"/>
      <c r="P93" s="685"/>
      <c r="Q93" s="685"/>
      <c r="R93" s="685"/>
      <c r="S93" s="685"/>
      <c r="T93" s="685"/>
      <c r="U93" s="685"/>
      <c r="V93" s="685"/>
      <c r="W93" s="685"/>
      <c r="X93" s="685"/>
      <c r="Y93" s="685"/>
      <c r="Z93" s="688">
        <f t="shared" ref="Z93:AK93" si="57">Z71-Y71</f>
        <v>-312</v>
      </c>
      <c r="AA93" s="688">
        <f t="shared" si="57"/>
        <v>-278</v>
      </c>
      <c r="AB93" s="688">
        <f t="shared" si="57"/>
        <v>-1508</v>
      </c>
      <c r="AC93" s="688">
        <f t="shared" si="57"/>
        <v>965</v>
      </c>
      <c r="AD93" s="688">
        <f t="shared" si="57"/>
        <v>-160</v>
      </c>
      <c r="AE93" s="688">
        <f t="shared" si="57"/>
        <v>517.70000000000073</v>
      </c>
      <c r="AF93" s="688">
        <f t="shared" si="57"/>
        <v>593.29999999999927</v>
      </c>
      <c r="AG93" s="688">
        <f t="shared" si="57"/>
        <v>2663</v>
      </c>
      <c r="AH93" s="688">
        <f t="shared" si="57"/>
        <v>-2908</v>
      </c>
      <c r="AI93" s="688">
        <f t="shared" si="57"/>
        <v>948</v>
      </c>
      <c r="AJ93" s="688">
        <f t="shared" si="57"/>
        <v>944</v>
      </c>
      <c r="AK93" s="688">
        <f t="shared" si="57"/>
        <v>-152.5</v>
      </c>
      <c r="AL93" s="688"/>
      <c r="AM93" s="688"/>
      <c r="AN93" s="688"/>
      <c r="AO93" s="688"/>
      <c r="AP93" s="688"/>
      <c r="AQ93" s="688"/>
      <c r="AR93" s="688"/>
      <c r="AS93" s="688"/>
      <c r="AT93" s="688"/>
      <c r="AU93" s="688"/>
      <c r="AV93" s="688"/>
      <c r="AW93" s="688"/>
      <c r="AX93" s="688"/>
      <c r="AY93" s="688"/>
      <c r="AZ93" s="688"/>
      <c r="BA93" s="688"/>
      <c r="BB93" s="688"/>
      <c r="BC93" s="688"/>
      <c r="BD93" s="688"/>
      <c r="BE93" s="688"/>
      <c r="BF93" s="688"/>
      <c r="BG93" s="688"/>
      <c r="BH93" s="688"/>
      <c r="BI93" s="688"/>
      <c r="BJ93" s="94"/>
      <c r="BK93" s="94"/>
      <c r="BL93" s="94"/>
      <c r="BM93" s="94"/>
      <c r="BN93" s="94"/>
      <c r="BO93" s="94"/>
      <c r="BP93" s="94"/>
      <c r="BQ93" s="914"/>
      <c r="BR93" s="688"/>
      <c r="BS93" s="685"/>
    </row>
    <row r="94" spans="1:71" ht="51" customHeight="1" x14ac:dyDescent="0.35">
      <c r="A94" s="685"/>
      <c r="B94" s="684"/>
      <c r="C94" s="684"/>
      <c r="D94" s="684"/>
      <c r="E94" s="684"/>
      <c r="F94" s="685"/>
      <c r="G94" s="685"/>
      <c r="H94" s="685"/>
      <c r="I94" s="685"/>
      <c r="J94" s="685"/>
      <c r="K94" s="685"/>
      <c r="L94" s="685"/>
      <c r="M94" s="685"/>
      <c r="N94" s="685"/>
      <c r="O94" s="685"/>
      <c r="P94" s="685"/>
      <c r="Q94" s="685"/>
      <c r="R94" s="685"/>
      <c r="S94" s="685"/>
      <c r="T94" s="685"/>
      <c r="U94" s="685"/>
      <c r="V94" s="685"/>
      <c r="W94" s="685"/>
      <c r="X94" s="685"/>
      <c r="Y94" s="685"/>
      <c r="Z94" s="758"/>
      <c r="AA94" s="685"/>
      <c r="AB94" s="685"/>
      <c r="AC94" s="685"/>
      <c r="AD94" s="685"/>
      <c r="AE94" s="685"/>
      <c r="AF94" s="685"/>
      <c r="AG94" s="685"/>
      <c r="AH94" s="685"/>
      <c r="AI94" s="685"/>
      <c r="AJ94" s="685"/>
      <c r="AK94" s="1059"/>
      <c r="BQ94" s="913"/>
      <c r="BR94" s="688"/>
      <c r="BS94" s="685"/>
    </row>
    <row r="95" spans="1:71" ht="73.5" customHeight="1" x14ac:dyDescent="0.35">
      <c r="A95" s="762"/>
      <c r="B95" s="684"/>
      <c r="C95" s="684"/>
      <c r="D95" s="684"/>
      <c r="E95" s="684"/>
      <c r="F95" s="685"/>
      <c r="G95" s="685"/>
      <c r="H95" s="685"/>
      <c r="I95" s="685"/>
      <c r="J95" s="685"/>
      <c r="K95" s="685"/>
      <c r="L95" s="685"/>
      <c r="M95" s="685"/>
      <c r="N95" s="685"/>
      <c r="O95" s="685"/>
      <c r="P95" s="685"/>
      <c r="Q95" s="685"/>
      <c r="R95" s="685"/>
      <c r="S95" s="685"/>
      <c r="T95" s="685"/>
      <c r="U95" s="685"/>
      <c r="V95" s="685"/>
      <c r="W95" s="685"/>
      <c r="X95" s="685"/>
      <c r="Y95" s="685"/>
      <c r="Z95" s="759"/>
      <c r="AA95" s="759"/>
      <c r="AB95" s="759"/>
      <c r="AC95" s="759"/>
      <c r="AD95" s="759"/>
      <c r="AE95" s="759"/>
      <c r="AF95" s="759"/>
      <c r="AG95" s="759"/>
      <c r="AH95" s="759"/>
      <c r="AI95" s="759"/>
      <c r="AJ95" s="759"/>
      <c r="AK95" s="1060"/>
      <c r="BQ95" s="915"/>
      <c r="BR95" s="688"/>
      <c r="BS95" s="685"/>
    </row>
    <row r="96" spans="1:71" x14ac:dyDescent="0.35">
      <c r="A96" s="762"/>
      <c r="B96" s="684"/>
      <c r="C96" s="684"/>
      <c r="D96" s="684"/>
      <c r="E96" s="684"/>
      <c r="F96" s="685"/>
      <c r="G96" s="685"/>
      <c r="H96" s="685"/>
      <c r="I96" s="685"/>
      <c r="J96" s="685"/>
      <c r="K96" s="685"/>
      <c r="L96" s="685"/>
      <c r="M96" s="685"/>
      <c r="N96" s="685"/>
      <c r="O96" s="685"/>
      <c r="P96" s="685"/>
      <c r="Q96" s="685"/>
      <c r="R96" s="685"/>
      <c r="S96" s="685"/>
      <c r="T96" s="685"/>
      <c r="U96" s="685"/>
      <c r="V96" s="685"/>
      <c r="W96" s="685"/>
      <c r="X96" s="685"/>
      <c r="Y96" s="685"/>
      <c r="Z96" s="759"/>
      <c r="AA96" s="759"/>
      <c r="AB96" s="759"/>
      <c r="AC96" s="759"/>
      <c r="AD96" s="759"/>
      <c r="AE96" s="759"/>
      <c r="AF96" s="759"/>
      <c r="AG96" s="759"/>
      <c r="AH96" s="759"/>
      <c r="AI96" s="759"/>
      <c r="AJ96" s="759"/>
      <c r="AK96" s="1060"/>
      <c r="BQ96" s="915"/>
      <c r="BR96" s="688"/>
      <c r="BS96" s="685"/>
    </row>
    <row r="97" spans="1:71" x14ac:dyDescent="0.35">
      <c r="A97" s="684"/>
      <c r="B97" s="684"/>
      <c r="C97" s="684"/>
      <c r="D97" s="684"/>
      <c r="E97" s="684"/>
      <c r="F97" s="685"/>
      <c r="G97" s="685"/>
      <c r="H97" s="685"/>
      <c r="I97" s="685"/>
      <c r="J97" s="685"/>
      <c r="K97" s="685"/>
      <c r="L97" s="685"/>
      <c r="M97" s="685"/>
      <c r="N97" s="685"/>
      <c r="O97" s="685"/>
      <c r="P97" s="685"/>
      <c r="Q97" s="685"/>
      <c r="R97" s="685"/>
      <c r="S97" s="685"/>
      <c r="T97" s="685"/>
      <c r="U97" s="685"/>
      <c r="V97" s="685"/>
      <c r="W97" s="685"/>
      <c r="X97" s="685"/>
      <c r="Y97" s="685"/>
      <c r="Z97" s="758"/>
      <c r="AA97" s="685"/>
      <c r="AB97" s="685"/>
      <c r="AC97" s="685"/>
      <c r="AD97" s="685"/>
      <c r="AE97" s="685"/>
      <c r="AF97" s="685"/>
      <c r="AG97" s="685"/>
      <c r="AH97" s="685"/>
      <c r="AI97" s="685"/>
      <c r="AJ97" s="685"/>
      <c r="AK97" s="1059"/>
      <c r="BQ97" s="913"/>
      <c r="BR97" s="688"/>
      <c r="BS97" s="685"/>
    </row>
    <row r="98" spans="1:71" x14ac:dyDescent="0.35">
      <c r="A98" s="684"/>
      <c r="B98" s="684"/>
      <c r="C98" s="684"/>
      <c r="D98" s="684"/>
      <c r="E98" s="684"/>
      <c r="F98" s="685"/>
      <c r="G98" s="685"/>
      <c r="H98" s="685"/>
      <c r="I98" s="685"/>
      <c r="J98" s="685"/>
      <c r="K98" s="685"/>
      <c r="L98" s="685"/>
      <c r="M98" s="685"/>
      <c r="N98" s="685"/>
      <c r="O98" s="685"/>
      <c r="P98" s="685"/>
      <c r="Q98" s="685"/>
      <c r="R98" s="685"/>
      <c r="S98" s="685"/>
      <c r="T98" s="685"/>
      <c r="U98" s="685"/>
      <c r="V98" s="685"/>
      <c r="W98" s="685"/>
      <c r="X98" s="685"/>
      <c r="Y98" s="685"/>
      <c r="Z98" s="758"/>
      <c r="AA98" s="685"/>
      <c r="AB98" s="685"/>
      <c r="AC98" s="685"/>
      <c r="AD98" s="685"/>
      <c r="AE98" s="685"/>
      <c r="AF98" s="685"/>
      <c r="AG98" s="685"/>
      <c r="AH98" s="685"/>
      <c r="AI98" s="685"/>
      <c r="AJ98" s="685"/>
      <c r="AK98" s="1059"/>
      <c r="BQ98" s="913"/>
      <c r="BR98" s="688"/>
      <c r="BS98" s="685"/>
    </row>
    <row r="99" spans="1:71" x14ac:dyDescent="0.35">
      <c r="A99" s="684"/>
      <c r="B99" s="684"/>
      <c r="C99" s="684"/>
      <c r="D99" s="684"/>
      <c r="E99" s="684"/>
      <c r="F99" s="685"/>
      <c r="G99" s="685"/>
      <c r="H99" s="685"/>
      <c r="I99" s="685"/>
      <c r="J99" s="685"/>
      <c r="K99" s="685"/>
      <c r="L99" s="685"/>
      <c r="M99" s="685"/>
      <c r="N99" s="685"/>
      <c r="O99" s="685"/>
      <c r="P99" s="685"/>
      <c r="Q99" s="685"/>
      <c r="R99" s="685"/>
      <c r="S99" s="685"/>
      <c r="T99" s="685"/>
      <c r="U99" s="685"/>
      <c r="V99" s="685"/>
      <c r="W99" s="685"/>
      <c r="X99" s="685"/>
      <c r="Y99" s="685"/>
      <c r="Z99" s="758"/>
      <c r="AA99" s="685"/>
      <c r="AB99" s="685"/>
      <c r="AC99" s="685"/>
      <c r="AD99" s="685"/>
      <c r="AE99" s="685"/>
      <c r="AF99" s="685"/>
      <c r="AG99" s="685"/>
      <c r="AH99" s="685"/>
      <c r="AI99" s="685"/>
      <c r="AJ99" s="685"/>
      <c r="AK99" s="1059"/>
      <c r="BQ99" s="913"/>
      <c r="BR99" s="688"/>
      <c r="BS99" s="685"/>
    </row>
    <row r="100" spans="1:71" x14ac:dyDescent="0.35">
      <c r="A100" s="684"/>
      <c r="B100" s="684"/>
      <c r="C100" s="684"/>
      <c r="D100" s="684"/>
      <c r="E100" s="684"/>
      <c r="F100" s="685"/>
      <c r="G100" s="685"/>
      <c r="H100" s="685"/>
      <c r="I100" s="685"/>
      <c r="J100" s="685"/>
      <c r="K100" s="685"/>
      <c r="L100" s="685"/>
      <c r="M100" s="685"/>
      <c r="N100" s="685"/>
      <c r="O100" s="685"/>
      <c r="P100" s="685"/>
      <c r="Q100" s="685"/>
      <c r="R100" s="685"/>
      <c r="S100" s="685"/>
      <c r="T100" s="685"/>
      <c r="U100" s="685"/>
      <c r="V100" s="685"/>
      <c r="W100" s="685"/>
      <c r="X100" s="685"/>
      <c r="Y100" s="685"/>
      <c r="Z100" s="758"/>
      <c r="AA100" s="685"/>
      <c r="AB100" s="685"/>
      <c r="AC100" s="685"/>
      <c r="AD100" s="685"/>
      <c r="AE100" s="685"/>
      <c r="AF100" s="685"/>
      <c r="AG100" s="685"/>
      <c r="AH100" s="685"/>
      <c r="AI100" s="685"/>
      <c r="AJ100" s="685"/>
      <c r="AK100" s="1059"/>
      <c r="BQ100" s="913"/>
      <c r="BR100" s="688"/>
      <c r="BS100" s="685"/>
    </row>
    <row r="101" spans="1:71" x14ac:dyDescent="0.35">
      <c r="AK101" s="1061"/>
    </row>
    <row r="102" spans="1:71" x14ac:dyDescent="0.35">
      <c r="AK102" s="1061"/>
    </row>
    <row r="103" spans="1:71" x14ac:dyDescent="0.35">
      <c r="AK103" s="1061"/>
    </row>
    <row r="104" spans="1:71" ht="18.75" x14ac:dyDescent="0.35">
      <c r="A104" s="603"/>
      <c r="N104" s="605"/>
      <c r="O104" s="605"/>
      <c r="P104" s="605"/>
      <c r="Q104" s="605"/>
      <c r="R104" s="605"/>
      <c r="S104" s="605"/>
      <c r="T104" s="605"/>
      <c r="U104" s="605"/>
      <c r="V104" s="605"/>
      <c r="W104" s="605"/>
      <c r="X104" s="605"/>
      <c r="Y104" s="606"/>
      <c r="Z104" s="607"/>
      <c r="AA104" s="607"/>
      <c r="AB104" s="607"/>
      <c r="AC104" s="607"/>
      <c r="AD104" s="607"/>
      <c r="AE104" s="607"/>
      <c r="AF104" s="607"/>
      <c r="AG104" s="607"/>
      <c r="AH104" s="607"/>
      <c r="AI104" s="607"/>
      <c r="AJ104" s="607"/>
      <c r="AK104" s="1062"/>
      <c r="AL104" s="945"/>
      <c r="AM104" s="945"/>
      <c r="AN104" s="945"/>
      <c r="AO104" s="945"/>
      <c r="AP104" s="945"/>
      <c r="AQ104" s="945"/>
      <c r="AR104" s="945"/>
      <c r="AS104" s="945"/>
      <c r="AT104" s="945"/>
      <c r="AU104" s="945"/>
      <c r="AV104" s="945"/>
      <c r="AW104" s="945"/>
      <c r="AX104" s="1107"/>
      <c r="AY104" s="1107"/>
      <c r="AZ104" s="1107"/>
      <c r="BA104" s="1107"/>
      <c r="BB104" s="1107"/>
      <c r="BC104" s="1107"/>
      <c r="BD104" s="1107"/>
      <c r="BE104" s="1107"/>
      <c r="BF104" s="1107"/>
      <c r="BG104" s="1107"/>
      <c r="BH104" s="1107"/>
      <c r="BI104" s="1107"/>
      <c r="BJ104" s="1107"/>
    </row>
    <row r="105" spans="1:71" x14ac:dyDescent="0.35">
      <c r="A105" s="601"/>
      <c r="N105" s="114"/>
      <c r="O105" s="114"/>
      <c r="P105" s="114"/>
      <c r="Q105" s="114"/>
      <c r="R105" s="114"/>
      <c r="S105" s="114"/>
      <c r="T105" s="114"/>
      <c r="U105" s="114"/>
      <c r="V105" s="114"/>
      <c r="W105" s="114"/>
      <c r="X105" s="114"/>
      <c r="Y105" s="114"/>
      <c r="Z105" s="604"/>
      <c r="AA105" s="114"/>
      <c r="AB105" s="114"/>
      <c r="AC105" s="114"/>
      <c r="AD105" s="114"/>
      <c r="AE105" s="114"/>
      <c r="AF105" s="114"/>
      <c r="AG105" s="114"/>
      <c r="AH105" s="114"/>
      <c r="AI105" s="114"/>
      <c r="AJ105" s="114"/>
      <c r="AK105" s="1063"/>
      <c r="AL105" s="957"/>
      <c r="AM105" s="957"/>
      <c r="AN105" s="957"/>
      <c r="AO105" s="957"/>
      <c r="AP105" s="957"/>
      <c r="AQ105" s="957"/>
      <c r="AR105" s="957"/>
      <c r="AS105" s="957"/>
      <c r="AT105" s="957"/>
      <c r="AU105" s="957"/>
      <c r="AV105" s="957"/>
      <c r="AW105" s="957"/>
      <c r="AX105" s="957"/>
      <c r="AY105" s="957"/>
      <c r="AZ105" s="957"/>
      <c r="BA105" s="957"/>
      <c r="BB105" s="957"/>
      <c r="BC105" s="957"/>
      <c r="BD105" s="957"/>
      <c r="BE105" s="957"/>
      <c r="BF105" s="957"/>
      <c r="BG105" s="957"/>
      <c r="BH105" s="957"/>
      <c r="BI105" s="957"/>
      <c r="BJ105" s="957"/>
      <c r="BQ105" s="916"/>
    </row>
    <row r="106" spans="1:71" x14ac:dyDescent="0.35">
      <c r="A106" s="602"/>
      <c r="N106" s="114"/>
      <c r="O106" s="114"/>
      <c r="P106" s="114"/>
      <c r="Q106" s="114"/>
      <c r="R106" s="114"/>
      <c r="S106" s="114"/>
      <c r="T106" s="114"/>
      <c r="U106" s="114"/>
      <c r="V106" s="114"/>
      <c r="W106" s="114"/>
      <c r="X106" s="114"/>
      <c r="Y106" s="114"/>
      <c r="Z106" s="604"/>
      <c r="AA106" s="114"/>
      <c r="AB106" s="114"/>
      <c r="AC106" s="114"/>
      <c r="AD106" s="114"/>
      <c r="AE106" s="114"/>
      <c r="AF106" s="114"/>
      <c r="AG106" s="114"/>
      <c r="AH106" s="114"/>
      <c r="AI106" s="114"/>
      <c r="AJ106" s="114"/>
      <c r="AK106" s="1063"/>
      <c r="AL106" s="957"/>
      <c r="AM106" s="957"/>
      <c r="AN106" s="957"/>
      <c r="AO106" s="957"/>
      <c r="AP106" s="957"/>
      <c r="AQ106" s="957"/>
      <c r="AR106" s="957"/>
      <c r="AS106" s="957"/>
      <c r="AT106" s="957"/>
      <c r="AU106" s="957"/>
      <c r="AV106" s="957"/>
      <c r="AW106" s="957"/>
      <c r="AX106" s="957"/>
      <c r="AY106" s="957"/>
      <c r="AZ106" s="957"/>
      <c r="BA106" s="957"/>
      <c r="BB106" s="957"/>
      <c r="BC106" s="957"/>
      <c r="BD106" s="957"/>
      <c r="BE106" s="957"/>
      <c r="BF106" s="957"/>
      <c r="BG106" s="957"/>
      <c r="BH106" s="957"/>
      <c r="BI106" s="957"/>
      <c r="BJ106" s="957"/>
      <c r="BQ106" s="916"/>
    </row>
    <row r="107" spans="1:71" x14ac:dyDescent="0.35">
      <c r="A107" s="946"/>
      <c r="Z107" s="947"/>
      <c r="AA107" s="947"/>
      <c r="AB107" s="947"/>
      <c r="AC107" s="947"/>
      <c r="AD107" s="947"/>
      <c r="AE107" s="947"/>
      <c r="AF107" s="947"/>
      <c r="AG107" s="947"/>
      <c r="AH107" s="947"/>
      <c r="AI107" s="947"/>
      <c r="AJ107" s="947"/>
      <c r="AK107" s="1064"/>
      <c r="AL107" s="958"/>
      <c r="AM107" s="958"/>
      <c r="AN107" s="958"/>
      <c r="AO107" s="958"/>
      <c r="AP107" s="958"/>
      <c r="AQ107" s="958"/>
      <c r="AR107" s="958"/>
      <c r="AS107" s="958"/>
      <c r="AT107" s="958"/>
      <c r="AU107" s="958"/>
      <c r="AV107" s="958"/>
      <c r="AW107" s="958"/>
      <c r="AX107" s="958"/>
      <c r="AY107" s="958"/>
      <c r="AZ107" s="958"/>
      <c r="BA107" s="958"/>
      <c r="BB107" s="958"/>
      <c r="BC107" s="958"/>
      <c r="BD107" s="958"/>
      <c r="BE107" s="958"/>
      <c r="BF107" s="958"/>
      <c r="BG107" s="958"/>
      <c r="BH107" s="958"/>
      <c r="BI107" s="958"/>
      <c r="BJ107" s="958"/>
    </row>
    <row r="108" spans="1:71" x14ac:dyDescent="0.35">
      <c r="AK108" s="1061"/>
      <c r="AL108" s="113"/>
      <c r="AM108" s="113"/>
      <c r="AN108" s="113"/>
      <c r="AO108" s="113"/>
      <c r="AP108" s="113"/>
      <c r="AQ108" s="113"/>
      <c r="AR108" s="113"/>
      <c r="AS108" s="113"/>
      <c r="AT108" s="113"/>
      <c r="AU108" s="113"/>
      <c r="AV108" s="113"/>
      <c r="AW108" s="113"/>
      <c r="AX108" s="113"/>
      <c r="AY108" s="113"/>
      <c r="AZ108" s="113"/>
      <c r="BA108" s="113"/>
      <c r="BB108" s="113"/>
      <c r="BC108" s="113"/>
      <c r="BD108" s="113"/>
      <c r="BE108" s="113"/>
      <c r="BF108" s="113"/>
      <c r="BG108" s="113"/>
      <c r="BH108" s="113"/>
      <c r="BI108" s="113"/>
      <c r="BJ108" s="113"/>
    </row>
    <row r="109" spans="1:71" x14ac:dyDescent="0.35">
      <c r="AK109" s="1061"/>
    </row>
    <row r="110" spans="1:71" x14ac:dyDescent="0.35">
      <c r="AK110" s="1061"/>
    </row>
    <row r="111" spans="1:71" x14ac:dyDescent="0.35">
      <c r="A111" s="151"/>
      <c r="N111" s="106"/>
      <c r="O111" s="106"/>
      <c r="P111" s="106"/>
      <c r="Q111" s="106"/>
      <c r="R111" s="106"/>
      <c r="S111" s="106"/>
      <c r="T111" s="106"/>
      <c r="U111" s="106"/>
      <c r="V111" s="106"/>
      <c r="W111" s="106"/>
      <c r="X111" s="106"/>
      <c r="Y111" s="106"/>
      <c r="Z111" s="106"/>
      <c r="AA111" s="106"/>
      <c r="AB111" s="106"/>
      <c r="AC111" s="106"/>
      <c r="AD111" s="106"/>
      <c r="AE111" s="106"/>
      <c r="AF111" s="106"/>
      <c r="AG111" s="106"/>
      <c r="AH111" s="106"/>
      <c r="AI111" s="106"/>
      <c r="AJ111" s="106"/>
      <c r="AK111" s="1065"/>
    </row>
    <row r="112" spans="1:71" x14ac:dyDescent="0.35">
      <c r="A112" s="608"/>
      <c r="N112" s="106"/>
      <c r="O112" s="106"/>
      <c r="P112" s="106"/>
      <c r="Q112" s="106"/>
      <c r="R112" s="106"/>
      <c r="S112" s="106"/>
      <c r="T112" s="106"/>
      <c r="U112" s="106"/>
      <c r="V112" s="106"/>
      <c r="W112" s="106"/>
      <c r="X112" s="106"/>
      <c r="Y112" s="106"/>
      <c r="Z112" s="106"/>
      <c r="AA112" s="106"/>
      <c r="AB112" s="106"/>
      <c r="AC112" s="106"/>
      <c r="AD112" s="106"/>
      <c r="AE112" s="106"/>
      <c r="AF112" s="106"/>
      <c r="AG112" s="106"/>
      <c r="AH112" s="106"/>
      <c r="AI112" s="106"/>
      <c r="AJ112" s="106"/>
      <c r="AK112" s="1065"/>
    </row>
    <row r="113" spans="1:37" x14ac:dyDescent="0.35">
      <c r="AK113" s="1061"/>
    </row>
    <row r="114" spans="1:37" x14ac:dyDescent="0.35">
      <c r="O114" s="609"/>
      <c r="P114" s="609"/>
      <c r="Q114" s="609"/>
      <c r="R114" s="609"/>
      <c r="S114" s="609"/>
      <c r="T114" s="609"/>
      <c r="U114" s="609"/>
      <c r="V114" s="609"/>
      <c r="W114" s="609"/>
      <c r="X114" s="609"/>
      <c r="Y114" s="609"/>
      <c r="Z114" s="609"/>
      <c r="AA114" s="609"/>
      <c r="AB114" s="609"/>
      <c r="AC114" s="609"/>
      <c r="AD114" s="609"/>
      <c r="AE114" s="609"/>
      <c r="AF114" s="609"/>
      <c r="AG114" s="609"/>
      <c r="AH114" s="609"/>
      <c r="AI114" s="609"/>
      <c r="AJ114" s="609"/>
      <c r="AK114" s="1066"/>
    </row>
    <row r="115" spans="1:37" x14ac:dyDescent="0.35">
      <c r="O115" s="635"/>
      <c r="P115" s="635"/>
      <c r="Q115" s="635"/>
      <c r="R115" s="635"/>
      <c r="S115" s="635"/>
      <c r="T115" s="635"/>
      <c r="U115" s="635"/>
      <c r="V115" s="635"/>
      <c r="W115" s="635"/>
      <c r="X115" s="635"/>
      <c r="Y115" s="635"/>
      <c r="Z115" s="635"/>
      <c r="AA115" s="635"/>
      <c r="AB115" s="635"/>
      <c r="AC115" s="635"/>
      <c r="AD115" s="635"/>
      <c r="AE115" s="635"/>
      <c r="AF115" s="635"/>
      <c r="AG115" s="635"/>
      <c r="AH115" s="635"/>
      <c r="AI115" s="635"/>
      <c r="AJ115" s="635"/>
      <c r="AK115" s="1067"/>
    </row>
    <row r="116" spans="1:37" x14ac:dyDescent="0.35"/>
    <row r="117" spans="1:37" x14ac:dyDescent="0.35"/>
    <row r="118" spans="1:37" x14ac:dyDescent="0.35"/>
    <row r="119" spans="1:37" x14ac:dyDescent="0.35"/>
    <row r="120" spans="1:37" hidden="1" x14ac:dyDescent="0.35">
      <c r="A120" s="610"/>
      <c r="B120" s="610"/>
      <c r="C120" s="610"/>
      <c r="D120" s="610"/>
      <c r="E120" s="610"/>
      <c r="F120" s="611"/>
      <c r="G120" s="611"/>
      <c r="H120" s="611"/>
      <c r="I120" s="611"/>
      <c r="J120" s="611"/>
      <c r="K120" s="611"/>
      <c r="L120" s="611"/>
      <c r="M120" s="611"/>
      <c r="N120" s="611"/>
      <c r="O120" s="611"/>
      <c r="P120" s="611"/>
    </row>
    <row r="121" spans="1:37" x14ac:dyDescent="0.35"/>
    <row r="122" spans="1:37" x14ac:dyDescent="0.35"/>
    <row r="123" spans="1:37" x14ac:dyDescent="0.35"/>
    <row r="124" spans="1:37" x14ac:dyDescent="0.35"/>
    <row r="125" spans="1:37" x14ac:dyDescent="0.35"/>
    <row r="126" spans="1:37" x14ac:dyDescent="0.35"/>
    <row r="127" spans="1:37" x14ac:dyDescent="0.35"/>
    <row r="128" spans="1:37" x14ac:dyDescent="0.35"/>
    <row r="129" x14ac:dyDescent="0.35"/>
    <row r="130" x14ac:dyDescent="0.35"/>
    <row r="131" x14ac:dyDescent="0.35"/>
    <row r="132" x14ac:dyDescent="0.35"/>
    <row r="133" x14ac:dyDescent="0.35"/>
    <row r="134" x14ac:dyDescent="0.35"/>
    <row r="135" x14ac:dyDescent="0.35"/>
    <row r="136" x14ac:dyDescent="0.35"/>
    <row r="137" x14ac:dyDescent="0.35"/>
    <row r="138" x14ac:dyDescent="0.35"/>
    <row r="139" x14ac:dyDescent="0.35"/>
    <row r="140" x14ac:dyDescent="0.35"/>
    <row r="141" x14ac:dyDescent="0.35"/>
    <row r="142" x14ac:dyDescent="0.35"/>
    <row r="143" x14ac:dyDescent="0.35"/>
    <row r="144" x14ac:dyDescent="0.35"/>
    <row r="145" x14ac:dyDescent="0.35"/>
    <row r="146" x14ac:dyDescent="0.35"/>
    <row r="147" x14ac:dyDescent="0.35"/>
    <row r="148" x14ac:dyDescent="0.35"/>
    <row r="149" x14ac:dyDescent="0.35"/>
    <row r="150" x14ac:dyDescent="0.35"/>
    <row r="154" x14ac:dyDescent="0.35"/>
    <row r="155" x14ac:dyDescent="0.35"/>
    <row r="156" x14ac:dyDescent="0.35"/>
    <row r="157" x14ac:dyDescent="0.35"/>
    <row r="158" x14ac:dyDescent="0.35"/>
    <row r="159" x14ac:dyDescent="0.35"/>
    <row r="160" x14ac:dyDescent="0.35"/>
    <row r="161" x14ac:dyDescent="0.35"/>
    <row r="162" x14ac:dyDescent="0.35"/>
    <row r="163" x14ac:dyDescent="0.35"/>
    <row r="164" x14ac:dyDescent="0.35"/>
    <row r="165" x14ac:dyDescent="0.35"/>
    <row r="166" x14ac:dyDescent="0.35"/>
    <row r="167" x14ac:dyDescent="0.35"/>
    <row r="168" x14ac:dyDescent="0.35"/>
    <row r="169" x14ac:dyDescent="0.35"/>
    <row r="170" x14ac:dyDescent="0.35"/>
    <row r="171" x14ac:dyDescent="0.35"/>
    <row r="172" x14ac:dyDescent="0.35"/>
    <row r="173" x14ac:dyDescent="0.35"/>
    <row r="174" x14ac:dyDescent="0.35"/>
    <row r="175" x14ac:dyDescent="0.35"/>
  </sheetData>
  <mergeCells count="9">
    <mergeCell ref="N72:Q75"/>
    <mergeCell ref="BS72:BS73"/>
    <mergeCell ref="N81:Y81"/>
    <mergeCell ref="B1:M1"/>
    <mergeCell ref="N1:Y1"/>
    <mergeCell ref="Z1:AK1"/>
    <mergeCell ref="AL1:AW1"/>
    <mergeCell ref="AX1:BI1"/>
    <mergeCell ref="BR21:BS21"/>
  </mergeCells>
  <conditionalFormatting sqref="O80:Y80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61:AK61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N36:AK36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Q95:BQ96 AA95:AK96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83:AK84 AM83:BJ84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L37:BJ37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42:AK42">
    <cfRule type="dataBar" priority="1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{4F277052-D906-40E9-B373-F2F3B1B8ACE7}</x14:id>
        </ext>
      </extLst>
    </cfRule>
  </conditionalFormatting>
  <conditionalFormatting sqref="N41:AK4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L41:BI41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L36:AW36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X36:BI3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L57:BJ57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L83:AR83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J5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F277052-D906-40E9-B373-F2F3B1B8ACE7}">
            <x14:dataBar minLength="0" maxLength="100" negativeBarColorSameAsPositive="1" axisPosition="none">
              <x14:cfvo type="min"/>
              <x14:cfvo type="max"/>
            </x14:dataBar>
          </x14:cfRule>
          <xm:sqref>Z42:AK42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Z23"/>
  <sheetViews>
    <sheetView zoomScale="55" zoomScaleNormal="55" workbookViewId="0">
      <selection activeCell="B2" sqref="B2:M2"/>
    </sheetView>
  </sheetViews>
  <sheetFormatPr defaultRowHeight="18" x14ac:dyDescent="0.35"/>
  <cols>
    <col min="1" max="1" width="55.5" customWidth="1"/>
  </cols>
  <sheetData>
    <row r="1" spans="1:25" x14ac:dyDescent="0.35">
      <c r="B1" s="1460">
        <v>2022</v>
      </c>
      <c r="C1" s="1460"/>
      <c r="D1" s="1460"/>
      <c r="E1" s="1460"/>
      <c r="F1" s="1460"/>
      <c r="G1" s="1460"/>
      <c r="H1" s="1460"/>
      <c r="I1" s="1460"/>
      <c r="J1" s="1460"/>
      <c r="K1" s="1460"/>
      <c r="L1" s="1460"/>
      <c r="M1" s="1460"/>
      <c r="N1" s="1463">
        <v>2023</v>
      </c>
      <c r="O1" s="1460"/>
      <c r="P1" s="1460"/>
      <c r="Q1" s="1460"/>
      <c r="R1" s="1460"/>
      <c r="S1" s="1460"/>
      <c r="T1" s="1460"/>
      <c r="U1" s="1460"/>
      <c r="V1" s="1460"/>
      <c r="W1" s="1460"/>
      <c r="X1" s="1460"/>
      <c r="Y1" s="1460"/>
    </row>
    <row r="2" spans="1:25" x14ac:dyDescent="0.35">
      <c r="B2" s="1159" t="s">
        <v>68</v>
      </c>
      <c r="C2" s="1159" t="s">
        <v>69</v>
      </c>
      <c r="D2" s="1159" t="s">
        <v>70</v>
      </c>
      <c r="E2" s="1159" t="s">
        <v>71</v>
      </c>
      <c r="F2" s="1159" t="s">
        <v>72</v>
      </c>
      <c r="G2" s="1159" t="s">
        <v>191</v>
      </c>
      <c r="H2" s="1159" t="s">
        <v>74</v>
      </c>
      <c r="I2" s="1159" t="s">
        <v>75</v>
      </c>
      <c r="J2" s="1159" t="s">
        <v>76</v>
      </c>
      <c r="K2" s="1159" t="s">
        <v>77</v>
      </c>
      <c r="L2" s="1159" t="s">
        <v>78</v>
      </c>
      <c r="M2" s="1159" t="s">
        <v>79</v>
      </c>
      <c r="N2" s="1168" t="s">
        <v>68</v>
      </c>
      <c r="O2" s="1159" t="s">
        <v>69</v>
      </c>
      <c r="P2" s="1159" t="s">
        <v>70</v>
      </c>
      <c r="Q2" s="1159" t="s">
        <v>71</v>
      </c>
      <c r="R2" s="1159" t="s">
        <v>72</v>
      </c>
      <c r="S2" s="1159" t="s">
        <v>191</v>
      </c>
      <c r="T2" s="1159" t="s">
        <v>74</v>
      </c>
      <c r="U2" s="1159" t="s">
        <v>75</v>
      </c>
      <c r="V2" s="1159" t="s">
        <v>76</v>
      </c>
      <c r="W2" s="1159" t="s">
        <v>77</v>
      </c>
      <c r="X2" s="1159" t="s">
        <v>78</v>
      </c>
      <c r="Y2" s="1159" t="s">
        <v>79</v>
      </c>
    </row>
    <row r="3" spans="1:25" x14ac:dyDescent="0.35">
      <c r="A3" s="1167" t="s">
        <v>136</v>
      </c>
      <c r="B3" s="577">
        <f>'ПБ V-2 (fin plan)'!AL3</f>
        <v>-1336</v>
      </c>
      <c r="C3" s="577">
        <f>'ПБ V-2 (fin plan)'!AM3</f>
        <v>-1281</v>
      </c>
      <c r="D3" s="577">
        <f>'ПБ V-2 (fin plan)'!AN3</f>
        <v>-2197</v>
      </c>
      <c r="E3" s="577">
        <f>'ПБ V-2 (fin plan)'!AO3</f>
        <v>-2498</v>
      </c>
      <c r="F3" s="577">
        <f>'ПБ V-2 (fin plan)'!AP3</f>
        <v>-3519</v>
      </c>
      <c r="G3" s="577">
        <f>'ПБ V-2 (fin plan)'!AQ3</f>
        <v>-5342</v>
      </c>
      <c r="H3" s="577">
        <f>'ПБ V-2 (fin plan)'!AR3</f>
        <v>-2851.2737022683759</v>
      </c>
      <c r="I3" s="577">
        <f>'ПБ V-2 (fin plan)'!AS3</f>
        <v>-2973.7840728637602</v>
      </c>
      <c r="J3" s="577">
        <f>'ПБ V-2 (fin plan)'!AT3</f>
        <v>-2737.6903900036723</v>
      </c>
      <c r="K3" s="577">
        <f>'ПБ V-2 (fin plan)'!AU3</f>
        <v>-2199.6708366589214</v>
      </c>
      <c r="L3" s="577">
        <f>'ПБ V-2 (fin plan)'!AV3</f>
        <v>-1960.1451459764128</v>
      </c>
      <c r="M3" s="577">
        <f>'ПБ V-2 (fin plan)'!AW3</f>
        <v>-1735.8142702843536</v>
      </c>
      <c r="N3" s="577">
        <f>'ПБ V-2 (fin plan)'!AX3</f>
        <v>-3707.2666929061588</v>
      </c>
      <c r="O3" s="577">
        <f>'ПБ V-2 (fin plan)'!AY3</f>
        <v>-2419.7716519302958</v>
      </c>
      <c r="P3" s="577">
        <f>'ПБ V-2 (fin plan)'!AZ3</f>
        <v>-4612.4098185406092</v>
      </c>
      <c r="Q3" s="577">
        <f>'ПБ V-2 (fin plan)'!BA3</f>
        <v>-1610.1026783780794</v>
      </c>
      <c r="R3" s="577">
        <f>'ПБ V-2 (fin plan)'!BB3</f>
        <v>-1252.06440400154</v>
      </c>
      <c r="S3" s="577">
        <f>'ПБ V-2 (fin plan)'!BC3</f>
        <v>-3447.9404745778525</v>
      </c>
      <c r="T3" s="577">
        <f>'ПБ V-2 (fin plan)'!BD3</f>
        <v>-1499.8166909013889</v>
      </c>
      <c r="U3" s="577">
        <f>'ПБ V-2 (fin plan)'!BE3</f>
        <v>-770.52110696587681</v>
      </c>
      <c r="V3" s="577">
        <f>'ПБ V-2 (fin plan)'!BF3</f>
        <v>-1079.4628612161828</v>
      </c>
      <c r="W3" s="577">
        <f>'ПБ V-2 (fin plan)'!BG3</f>
        <v>-1211.3653874196848</v>
      </c>
      <c r="X3" s="577">
        <f>'ПБ V-2 (fin plan)'!BH3</f>
        <v>-2140.642540150046</v>
      </c>
      <c r="Y3" s="577">
        <f>'ПБ V-2 (fin plan)'!BI3</f>
        <v>-3262.0205869316551</v>
      </c>
    </row>
    <row r="4" spans="1:25" x14ac:dyDescent="0.35">
      <c r="A4" s="140" t="str">
        <f>'ПБ V-2 (fin plan)'!A5</f>
        <v>Баланс товарів та послуг</v>
      </c>
      <c r="B4" s="295">
        <f>'ПБ V-2 (fin plan)'!AL5</f>
        <v>173</v>
      </c>
      <c r="C4" s="295">
        <f>'ПБ V-2 (fin plan)'!AM5</f>
        <v>-566</v>
      </c>
      <c r="D4" s="295">
        <f>'ПБ V-2 (fin plan)'!AN5</f>
        <v>-331</v>
      </c>
      <c r="E4" s="295">
        <f>'ПБ V-2 (fin plan)'!AO5</f>
        <v>-1118</v>
      </c>
      <c r="F4" s="295">
        <f>'ПБ V-2 (fin plan)'!AP5</f>
        <v>-2123</v>
      </c>
      <c r="G4" s="295">
        <f>'ПБ V-2 (fin plan)'!AQ5</f>
        <v>-3004</v>
      </c>
      <c r="H4" s="295">
        <f>'ПБ V-2 (fin plan)'!AR5</f>
        <v>-3160</v>
      </c>
      <c r="I4" s="295">
        <f>'ПБ V-2 (fin plan)'!AS5</f>
        <v>-2738</v>
      </c>
      <c r="J4" s="295">
        <f>'ПБ V-2 (fin plan)'!AT5</f>
        <v>-1905.4927112031228</v>
      </c>
      <c r="K4" s="295">
        <f>'ПБ V-2 (fin plan)'!AU5</f>
        <v>-1863.4589664223176</v>
      </c>
      <c r="L4" s="295">
        <f>'ПБ V-2 (fin plan)'!AV5</f>
        <v>-1864.6233438192858</v>
      </c>
      <c r="M4" s="295">
        <f>'ПБ V-2 (fin plan)'!AW5</f>
        <v>-1504.649057786424</v>
      </c>
      <c r="N4" s="295">
        <f>'ПБ V-2 (fin plan)'!AX5</f>
        <v>-2296.3656197680821</v>
      </c>
      <c r="O4" s="295">
        <f>'ПБ V-2 (fin plan)'!AY5</f>
        <v>-1789.6969628285281</v>
      </c>
      <c r="P4" s="295">
        <f>'ПБ V-2 (fin plan)'!AZ5</f>
        <v>-2224.7801471610746</v>
      </c>
      <c r="Q4" s="295">
        <f>'ПБ V-2 (fin plan)'!BA5</f>
        <v>-1459.8255825564843</v>
      </c>
      <c r="R4" s="295">
        <f>'ПБ V-2 (fin plan)'!BB5</f>
        <v>-1164.4304683253622</v>
      </c>
      <c r="S4" s="295">
        <f>'ПБ V-2 (fin plan)'!BC5</f>
        <v>-1243.876502533139</v>
      </c>
      <c r="T4" s="295">
        <f>'ПБ V-2 (fin plan)'!BD5</f>
        <v>-1727.2973623035332</v>
      </c>
      <c r="U4" s="295">
        <f>'ПБ V-2 (fin plan)'!BE5</f>
        <v>-630.91392901221661</v>
      </c>
      <c r="V4" s="295">
        <f>'ПБ V-2 (fin plan)'!BF5</f>
        <v>-1015.8846722035846</v>
      </c>
      <c r="W4" s="295">
        <f>'ПБ V-2 (fin plan)'!BG5</f>
        <v>-936.09235248549021</v>
      </c>
      <c r="X4" s="295">
        <f>'ПБ V-2 (fin plan)'!BH5</f>
        <v>-1047.6344636435585</v>
      </c>
      <c r="Y4" s="295">
        <f>'ПБ V-2 (fin plan)'!BI5</f>
        <v>-884.53603867180595</v>
      </c>
    </row>
    <row r="5" spans="1:25" x14ac:dyDescent="0.35">
      <c r="A5" s="140" t="str">
        <f>'ПБ V-2 (fin plan)'!A62</f>
        <v>D. Суммарный приток валюты (= A+B-C)</v>
      </c>
      <c r="B5" s="279">
        <f>'ПБ V-2 (fin plan)'!AL62</f>
        <v>-1762</v>
      </c>
      <c r="C5" s="279">
        <f>'ПБ V-2 (fin plan)'!AM62</f>
        <v>-1520</v>
      </c>
      <c r="D5" s="279">
        <f>'ПБ V-2 (fin plan)'!AN62</f>
        <v>-58</v>
      </c>
      <c r="E5" s="279">
        <f>'ПБ V-2 (fin plan)'!AO62</f>
        <v>-783</v>
      </c>
      <c r="F5" s="279">
        <f>'ПБ V-2 (fin plan)'!AP62</f>
        <v>-1921</v>
      </c>
      <c r="G5" s="279">
        <f>'ПБ V-2 (fin plan)'!AQ62</f>
        <v>-2054</v>
      </c>
      <c r="H5" s="279">
        <f>'ПБ V-2 (fin plan)'!AR62</f>
        <v>-157.27370226837593</v>
      </c>
      <c r="I5" s="279">
        <f>'ПБ V-2 (fin plan)'!AS62</f>
        <v>1735.2159271362398</v>
      </c>
      <c r="J5" s="279">
        <f>'ПБ V-2 (fin plan)'!AT62</f>
        <v>-1394.2521878695525</v>
      </c>
      <c r="K5" s="279">
        <f>'ПБ V-2 (fin plan)'!AU62</f>
        <v>2015.0207172751984</v>
      </c>
      <c r="L5" s="279">
        <f>'ПБ V-2 (fin plan)'!AV62</f>
        <v>519.87857565599029</v>
      </c>
      <c r="M5" s="279">
        <f>'ПБ V-2 (fin plan)'!AW62</f>
        <v>1151.5389669156464</v>
      </c>
      <c r="N5" s="279">
        <f>'ПБ V-2 (fin plan)'!AX62</f>
        <v>-1135.5511929061588</v>
      </c>
      <c r="O5" s="279">
        <f>'ПБ V-2 (fin plan)'!AY62</f>
        <v>-203.17956449617554</v>
      </c>
      <c r="P5" s="279">
        <f>'ПБ V-2 (fin plan)'!AZ62</f>
        <v>-2785.202116406489</v>
      </c>
      <c r="Q5" s="279">
        <f>'ПБ V-2 (fin plan)'!BA62</f>
        <v>807.70534556695384</v>
      </c>
      <c r="R5" s="279">
        <f>'ПБ V-2 (fin plan)'!BB62</f>
        <v>1116.0960799434934</v>
      </c>
      <c r="S5" s="279">
        <f>'ПБ V-2 (fin plan)'!BC62</f>
        <v>-1048.1456705778523</v>
      </c>
      <c r="T5" s="279">
        <f>'ПБ V-2 (fin plan)'!BD62</f>
        <v>904.56809703853787</v>
      </c>
      <c r="U5" s="279">
        <f>'ПБ V-2 (fin plan)'!BE62</f>
        <v>1426.6636809740503</v>
      </c>
      <c r="V5" s="279">
        <f>'ПБ V-2 (fin plan)'!BF62</f>
        <v>576.83284091793723</v>
      </c>
      <c r="W5" s="279">
        <f>'ПБ V-2 (fin plan)'!BG62</f>
        <v>1323.5851665144351</v>
      </c>
      <c r="X5" s="279">
        <f>'ПБ V-2 (fin plan)'!BH62</f>
        <v>140.33645956464534</v>
      </c>
      <c r="Y5" s="279">
        <f>'ПБ V-2 (fin plan)'!BI62</f>
        <v>-519.00808693165504</v>
      </c>
    </row>
    <row r="6" spans="1:25" x14ac:dyDescent="0.35">
      <c r="B6" s="121"/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</row>
    <row r="7" spans="1:25" x14ac:dyDescent="0.35">
      <c r="A7" s="113" t="s">
        <v>320</v>
      </c>
      <c r="B7" s="279">
        <f>'ПБ V-1 (fin min)'!AL71</f>
        <v>29086.959999999999</v>
      </c>
      <c r="C7" s="279">
        <f>'ПБ V-1 (fin min)'!AM71</f>
        <v>27552.86</v>
      </c>
      <c r="D7" s="279">
        <f>'ПБ V-1 (fin min)'!AN71</f>
        <v>28107.45</v>
      </c>
      <c r="E7" s="279">
        <f>'ПБ V-1 (fin min)'!AO71</f>
        <v>26945</v>
      </c>
      <c r="F7" s="279">
        <f>'ПБ V-1 (fin min)'!AP71</f>
        <v>25102</v>
      </c>
      <c r="G7" s="279">
        <f>'ПБ V-1 (fin min)'!AQ71</f>
        <v>22802</v>
      </c>
      <c r="H7" s="279">
        <f>'ПБ V-1 (fin min)'!AR71</f>
        <v>22387</v>
      </c>
      <c r="I7" s="279">
        <f>'ПБ V-1 (fin min)'!AS71</f>
        <v>25439</v>
      </c>
      <c r="J7" s="279">
        <f>'ПБ V-1 (fin min)'!AT71</f>
        <v>23932</v>
      </c>
      <c r="K7" s="279">
        <f>'ПБ V-1 (fin min)'!AU71</f>
        <v>25246</v>
      </c>
      <c r="L7" s="279">
        <f>'ПБ V-1 (fin min)'!AV71</f>
        <v>27955</v>
      </c>
      <c r="M7" s="279">
        <f>'ПБ V-1 (fin min)'!AW71</f>
        <v>28494</v>
      </c>
      <c r="N7" s="343">
        <f>'ПБ V-1 (fin min)'!AX71</f>
        <v>29928.21</v>
      </c>
      <c r="O7" s="343">
        <f>'ПБ V-1 (fin min)'!AY71</f>
        <v>28869.64</v>
      </c>
      <c r="P7" s="343">
        <f>'ПБ V-1 (fin min)'!AZ71</f>
        <v>31886.73</v>
      </c>
      <c r="Q7" s="343">
        <f>'ПБ V-1 (fin min)'!BA71</f>
        <v>35952.519999999997</v>
      </c>
      <c r="R7" s="343">
        <f>'ПБ V-1 (fin min)'!BB71</f>
        <v>37321.43</v>
      </c>
      <c r="S7" s="343">
        <f>'ПБ V-1 (fin min)'!BC71</f>
        <v>39026.550000000003</v>
      </c>
      <c r="T7" s="343">
        <f>'ПБ V-1 (fin min)'!BD71</f>
        <v>41737.550000000003</v>
      </c>
      <c r="U7" s="343">
        <f>'ПБ V-1 (fin min)'!BE71</f>
        <v>40405.199999999997</v>
      </c>
      <c r="V7" s="343">
        <f>'ПБ V-1 (fin min)'!BF71</f>
        <v>39722.78</v>
      </c>
      <c r="W7" s="343">
        <f>'ПБ V-1 (fin min)'!BG71</f>
        <v>38987.199999999997</v>
      </c>
      <c r="X7" s="343">
        <f>'ПБ V-1 (fin min)'!BH71</f>
        <v>38796.050000000003</v>
      </c>
      <c r="Y7" s="343">
        <f>'ПБ V-1 (fin min)'!BI71</f>
        <v>40507.879999999997</v>
      </c>
    </row>
    <row r="8" spans="1:25" x14ac:dyDescent="0.35">
      <c r="A8" s="113" t="s">
        <v>321</v>
      </c>
      <c r="B8" s="279">
        <f>'ПБ V-2 (fin plan)'!AL64</f>
        <v>-1313.5</v>
      </c>
      <c r="C8" s="279">
        <f>'ПБ V-2 (fin plan)'!AM64</f>
        <v>-357.8</v>
      </c>
      <c r="D8" s="279">
        <f>'ПБ V-2 (fin plan)'!AN64</f>
        <v>-1728</v>
      </c>
      <c r="E8" s="279">
        <f>'ПБ V-2 (fin plan)'!AO64</f>
        <v>-2201</v>
      </c>
      <c r="F8" s="279">
        <f>'ПБ V-2 (fin plan)'!AP64</f>
        <v>-3354.2</v>
      </c>
      <c r="G8" s="279">
        <f>'ПБ V-2 (fin plan)'!AQ64</f>
        <v>-3956.3</v>
      </c>
      <c r="H8" s="279">
        <f>'ПБ V-2 (fin plan)'!AR64</f>
        <v>-1195</v>
      </c>
      <c r="I8" s="279">
        <f>'ПБ V-2 (fin plan)'!AS64</f>
        <v>-1329.7</v>
      </c>
      <c r="J8" s="279">
        <f>'ПБ V-2 (fin plan)'!AT64</f>
        <v>-2737.7</v>
      </c>
      <c r="K8" s="279">
        <f>'ПБ V-2 (fin plan)'!AU64</f>
        <v>-2155.6774199257429</v>
      </c>
      <c r="L8" s="279">
        <f>'ПБ V-2 (fin plan)'!AV64</f>
        <v>-1999.348048895941</v>
      </c>
      <c r="M8" s="279">
        <f>'ПБ V-2 (fin plan)'!AW64</f>
        <v>-1909.395697312789</v>
      </c>
      <c r="N8" s="279">
        <f>'ПБ V-2 (fin plan)'!AX64</f>
        <v>-3892.6300275514668</v>
      </c>
      <c r="O8" s="279">
        <f>'ПБ V-2 (fin plan)'!AY64</f>
        <v>-2540.7602345268106</v>
      </c>
      <c r="P8" s="279">
        <f>'ПБ V-2 (fin plan)'!AZ64</f>
        <v>-4843.0303094676401</v>
      </c>
      <c r="Q8" s="279">
        <f>'ПБ V-2 (fin plan)'!BA64</f>
        <v>-1690.6078122969834</v>
      </c>
      <c r="R8" s="279">
        <f>'ПБ V-2 (fin plan)'!BB64</f>
        <v>-1314.6676242016169</v>
      </c>
      <c r="S8" s="279">
        <f>'ПБ V-2 (fin plan)'!BC64</f>
        <v>-3620.3374983067451</v>
      </c>
      <c r="T8" s="279">
        <f>'ПБ V-2 (fin plan)'!BD64</f>
        <v>-1574.8075254464584</v>
      </c>
      <c r="U8" s="279">
        <f>'ПБ V-2 (fin plan)'!BE64</f>
        <v>-809.04716231417069</v>
      </c>
      <c r="V8" s="279">
        <f>'ПБ V-2 (fin plan)'!BF64</f>
        <v>-1133.436004276992</v>
      </c>
      <c r="W8" s="279">
        <f>'ПБ V-2 (fin plan)'!BG64</f>
        <v>-1271.9336567906691</v>
      </c>
      <c r="X8" s="279">
        <f>'ПБ V-2 (fin plan)'!BH64</f>
        <v>-2247.6746671575484</v>
      </c>
      <c r="Y8" s="279">
        <f>'ПБ V-2 (fin plan)'!BI64</f>
        <v>-3425.121616278238</v>
      </c>
    </row>
    <row r="9" spans="1:25" ht="41.45" customHeight="1" x14ac:dyDescent="0.35">
      <c r="A9" s="1162" t="s">
        <v>325</v>
      </c>
      <c r="B9" s="1169">
        <f t="shared" ref="B9:I9" si="0">B8/B3</f>
        <v>0.9831586826347305</v>
      </c>
      <c r="C9" s="1169">
        <f t="shared" si="0"/>
        <v>0.27931303669008589</v>
      </c>
      <c r="D9" s="1169">
        <f t="shared" si="0"/>
        <v>0.78652708238507052</v>
      </c>
      <c r="E9" s="1169">
        <f t="shared" si="0"/>
        <v>0.88110488390712571</v>
      </c>
      <c r="F9" s="1169">
        <f t="shared" si="0"/>
        <v>0.95316851378232448</v>
      </c>
      <c r="G9" s="1169">
        <f t="shared" si="0"/>
        <v>0.74060277049794088</v>
      </c>
      <c r="H9" s="1169">
        <f t="shared" si="0"/>
        <v>0.41911093945463701</v>
      </c>
      <c r="I9" s="1169">
        <f t="shared" si="0"/>
        <v>0.44714073632101209</v>
      </c>
      <c r="J9" s="1169">
        <v>0.9</v>
      </c>
      <c r="K9" s="1171"/>
      <c r="L9" s="1171"/>
      <c r="M9" s="1171"/>
    </row>
    <row r="10" spans="1:25" ht="23.45" customHeight="1" x14ac:dyDescent="0.35">
      <c r="A10" s="1166" t="s">
        <v>326</v>
      </c>
      <c r="B10" s="647">
        <v>28.344999999999999</v>
      </c>
      <c r="C10" s="647">
        <v>30.2</v>
      </c>
      <c r="D10" s="647">
        <v>32.200000000000003</v>
      </c>
      <c r="E10" s="647">
        <v>33.4</v>
      </c>
      <c r="F10" s="647">
        <v>35.5</v>
      </c>
      <c r="G10" s="647">
        <v>35.5</v>
      </c>
      <c r="H10" s="647">
        <v>42.125</v>
      </c>
      <c r="I10" s="647">
        <v>40.64</v>
      </c>
      <c r="J10" s="647">
        <v>41.9</v>
      </c>
      <c r="K10" s="1170"/>
      <c r="L10" s="1170"/>
      <c r="M10" s="1170"/>
      <c r="N10" s="557"/>
      <c r="O10" s="557"/>
      <c r="P10" s="557"/>
      <c r="Q10" s="557"/>
      <c r="R10" s="557"/>
      <c r="S10" s="557"/>
      <c r="T10" s="557"/>
      <c r="U10" s="557"/>
      <c r="V10" s="557"/>
      <c r="W10" s="557"/>
      <c r="X10" s="557"/>
      <c r="Y10" s="557"/>
    </row>
    <row r="11" spans="1:25" x14ac:dyDescent="0.35">
      <c r="A11" s="113" t="s">
        <v>322</v>
      </c>
    </row>
    <row r="12" spans="1:25" x14ac:dyDescent="0.35">
      <c r="A12" s="343">
        <f>SUM(D8:I8)</f>
        <v>-13764.2</v>
      </c>
      <c r="J12">
        <f>480*4</f>
        <v>1920</v>
      </c>
    </row>
    <row r="14" spans="1:25" x14ac:dyDescent="0.35">
      <c r="A14" s="113" t="s">
        <v>324</v>
      </c>
    </row>
    <row r="15" spans="1:25" x14ac:dyDescent="0.35">
      <c r="A15" s="343">
        <f>SUM(D3:I3)</f>
        <v>-19381.057775132136</v>
      </c>
    </row>
    <row r="17" spans="1:26" x14ac:dyDescent="0.35">
      <c r="A17" s="113" t="s">
        <v>323</v>
      </c>
      <c r="B17" s="275">
        <f>'ПБ V-1 (fin min)'!AL8</f>
        <v>5886</v>
      </c>
      <c r="C17" s="275">
        <f>'ПБ V-1 (fin min)'!AM8</f>
        <v>5874</v>
      </c>
      <c r="D17" s="275">
        <f>'ПБ V-1 (fin min)'!AN8</f>
        <v>1993</v>
      </c>
      <c r="E17" s="275">
        <f>'ПБ V-1 (fin min)'!AO8</f>
        <v>2780</v>
      </c>
      <c r="F17" s="275">
        <f>'ПБ V-1 (fin min)'!AP8</f>
        <v>3841</v>
      </c>
      <c r="G17" s="275">
        <f>'ПБ V-1 (fin min)'!AQ8</f>
        <v>4827</v>
      </c>
      <c r="H17" s="275">
        <f>'ПБ V-1 (fin min)'!AR8</f>
        <v>4597</v>
      </c>
      <c r="I17" s="275">
        <f>'ПБ V-1 (fin min)'!AS8</f>
        <v>4669</v>
      </c>
      <c r="J17" s="275">
        <f>'ПБ V-1 (fin min)'!AT8</f>
        <v>4584</v>
      </c>
      <c r="K17" s="275">
        <f>'ПБ V-1 (fin min)'!AU8</f>
        <v>4818</v>
      </c>
      <c r="L17" s="275">
        <f>'ПБ V-1 (fin min)'!AV8</f>
        <v>5493</v>
      </c>
      <c r="M17" s="275">
        <f>'ПБ V-1 (fin min)'!AW8</f>
        <v>6189</v>
      </c>
      <c r="N17" s="275">
        <f>'ПБ V-1 (fin min)'!AX8</f>
        <v>5128</v>
      </c>
      <c r="O17" s="275">
        <f>'ПБ V-1 (fin min)'!AY8</f>
        <v>5148</v>
      </c>
      <c r="P17" s="275">
        <f>'ПБ V-1 (fin min)'!AZ8</f>
        <v>5480</v>
      </c>
      <c r="Q17" s="275">
        <f>'ПБ V-1 (fin min)'!BA8</f>
        <v>4619</v>
      </c>
      <c r="R17" s="275">
        <f>'ПБ V-1 (fin min)'!BB8</f>
        <v>4916</v>
      </c>
      <c r="S17" s="275">
        <f>'ПБ V-1 (fin min)'!BC8</f>
        <v>5142</v>
      </c>
      <c r="T17" s="275">
        <f>'ПБ V-1 (fin min)'!BD8</f>
        <v>5226</v>
      </c>
      <c r="U17" s="275">
        <f>'ПБ V-1 (fin min)'!BE8</f>
        <v>5522</v>
      </c>
      <c r="V17" s="275">
        <f>'ПБ V-1 (fin min)'!BF8</f>
        <v>5355</v>
      </c>
      <c r="W17" s="275">
        <f>'ПБ V-1 (fin min)'!BG8</f>
        <v>5486</v>
      </c>
      <c r="X17" s="275">
        <f>'ПБ V-1 (fin min)'!BH8</f>
        <v>4988</v>
      </c>
      <c r="Y17" s="275">
        <f>'ПБ V-1 (fin min)'!BI8</f>
        <v>6025.4682381922266</v>
      </c>
    </row>
    <row r="18" spans="1:26" x14ac:dyDescent="0.35">
      <c r="B18" s="106">
        <f t="shared" ref="B18:Y18" si="1">B7/B17</f>
        <v>4.9417193340129115</v>
      </c>
      <c r="C18" s="106">
        <f t="shared" si="1"/>
        <v>4.6906469186244468</v>
      </c>
      <c r="D18" s="106">
        <f t="shared" si="1"/>
        <v>14.103085800301054</v>
      </c>
      <c r="E18" s="106">
        <f t="shared" si="1"/>
        <v>9.692446043165468</v>
      </c>
      <c r="F18" s="106">
        <f t="shared" si="1"/>
        <v>6.5352772715438689</v>
      </c>
      <c r="G18" s="106">
        <f t="shared" si="1"/>
        <v>4.7238450383260826</v>
      </c>
      <c r="H18" s="106">
        <f t="shared" si="1"/>
        <v>4.8699151620622141</v>
      </c>
      <c r="I18" s="106">
        <f t="shared" si="1"/>
        <v>5.4484900406939385</v>
      </c>
      <c r="J18" s="106">
        <f t="shared" si="1"/>
        <v>5.2207678883071553</v>
      </c>
      <c r="K18" s="106">
        <f t="shared" si="1"/>
        <v>5.2399335823993356</v>
      </c>
      <c r="L18" s="106">
        <f t="shared" si="1"/>
        <v>5.0892044420171123</v>
      </c>
      <c r="M18" s="106">
        <f t="shared" si="1"/>
        <v>4.6039747939893356</v>
      </c>
      <c r="N18" s="106">
        <f t="shared" si="1"/>
        <v>5.8362343993759751</v>
      </c>
      <c r="O18" s="106">
        <f t="shared" si="1"/>
        <v>5.6079331779331776</v>
      </c>
      <c r="P18" s="106">
        <f t="shared" si="1"/>
        <v>5.8187463503649637</v>
      </c>
      <c r="Q18" s="106">
        <f t="shared" si="1"/>
        <v>7.7836155011907335</v>
      </c>
      <c r="R18" s="106">
        <f t="shared" si="1"/>
        <v>7.5918287225386489</v>
      </c>
      <c r="S18" s="106">
        <f t="shared" si="1"/>
        <v>7.5897607934655777</v>
      </c>
      <c r="T18" s="106">
        <f t="shared" si="1"/>
        <v>7.9865193264447001</v>
      </c>
      <c r="U18" s="106">
        <f t="shared" si="1"/>
        <v>7.3171314741035856</v>
      </c>
      <c r="V18" s="106">
        <f t="shared" si="1"/>
        <v>7.4178860877684407</v>
      </c>
      <c r="W18" s="106">
        <f t="shared" si="1"/>
        <v>7.1066715275246075</v>
      </c>
      <c r="X18" s="106">
        <f t="shared" si="1"/>
        <v>7.777876904570971</v>
      </c>
      <c r="Y18" s="106">
        <f t="shared" si="1"/>
        <v>6.7227771185054417</v>
      </c>
    </row>
    <row r="21" spans="1:26" x14ac:dyDescent="0.35">
      <c r="A21" s="516">
        <f>A12/A15</f>
        <v>0.71018827556774877</v>
      </c>
    </row>
    <row r="22" spans="1:26" x14ac:dyDescent="0.35">
      <c r="A22" s="113"/>
      <c r="N22">
        <v>3678.253353947181</v>
      </c>
      <c r="O22">
        <v>4279.1838031102834</v>
      </c>
      <c r="P22">
        <v>5319.8649065446816</v>
      </c>
      <c r="Q22">
        <v>4701.2326301969297</v>
      </c>
      <c r="R22">
        <v>4622.9719205384781</v>
      </c>
      <c r="S22">
        <v>4881.0459273883689</v>
      </c>
      <c r="T22">
        <v>5563.0321115548686</v>
      </c>
      <c r="U22">
        <v>5697.1933281122119</v>
      </c>
      <c r="V22">
        <v>6043.7764708853501</v>
      </c>
      <c r="W22">
        <v>6051.2298718052034</v>
      </c>
      <c r="X22">
        <v>6987.5633623616668</v>
      </c>
      <c r="Y22">
        <v>7163.6499590931808</v>
      </c>
      <c r="Z22">
        <f>SUM(N22:Y22)</f>
        <v>64988.997645538402</v>
      </c>
    </row>
    <row r="23" spans="1:26" x14ac:dyDescent="0.35">
      <c r="N23">
        <f>N22+700</f>
        <v>4378.2533539471806</v>
      </c>
      <c r="O23">
        <f>O22*1.12</f>
        <v>4792.6858594835176</v>
      </c>
      <c r="P23">
        <f>P22*1.06</f>
        <v>5639.0568009373628</v>
      </c>
      <c r="Q23">
        <f>Q22*1.12</f>
        <v>5265.3805458205616</v>
      </c>
      <c r="R23">
        <f t="shared" ref="R23:Y23" si="2">R22*1.12</f>
        <v>5177.7285510030961</v>
      </c>
      <c r="S23">
        <f t="shared" si="2"/>
        <v>5466.771438674974</v>
      </c>
      <c r="T23">
        <f t="shared" si="2"/>
        <v>6230.5959649414535</v>
      </c>
      <c r="U23">
        <f t="shared" si="2"/>
        <v>6380.8565274856783</v>
      </c>
      <c r="V23">
        <f t="shared" si="2"/>
        <v>6769.0296473915932</v>
      </c>
      <c r="W23">
        <f t="shared" si="2"/>
        <v>6777.3774564218284</v>
      </c>
      <c r="X23">
        <f t="shared" si="2"/>
        <v>7826.0709658450678</v>
      </c>
      <c r="Y23">
        <f t="shared" si="2"/>
        <v>8023.2879541843631</v>
      </c>
      <c r="Z23">
        <f>SUM(N23:Y23)</f>
        <v>72727.095066136666</v>
      </c>
    </row>
  </sheetData>
  <mergeCells count="2">
    <mergeCell ref="B1:M1"/>
    <mergeCell ref="N1:Y1"/>
  </mergeCells>
  <conditionalFormatting sqref="B3:Y3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4:Y4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:Y5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7:Y7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8:Y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8:M18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P10"/>
  <sheetViews>
    <sheetView zoomScaleNormal="100" workbookViewId="0">
      <selection activeCell="C3" sqref="C3"/>
    </sheetView>
  </sheetViews>
  <sheetFormatPr defaultRowHeight="18" x14ac:dyDescent="0.35"/>
  <cols>
    <col min="1" max="1" width="25.19921875" customWidth="1"/>
    <col min="2" max="13" width="6.19921875" customWidth="1"/>
    <col min="14" max="14" width="7.796875" customWidth="1"/>
  </cols>
  <sheetData>
    <row r="1" spans="1:16" x14ac:dyDescent="0.35">
      <c r="A1" s="1464" t="s">
        <v>473</v>
      </c>
      <c r="B1" s="1465"/>
      <c r="C1" s="1465"/>
      <c r="D1" s="1465"/>
      <c r="E1" s="1465"/>
      <c r="F1" s="1465"/>
      <c r="G1" s="1465"/>
      <c r="H1" s="1465"/>
      <c r="I1" s="1465"/>
      <c r="J1" s="1465"/>
      <c r="K1" s="1465"/>
      <c r="L1" s="1465"/>
      <c r="M1" s="1465"/>
      <c r="N1" s="1466"/>
      <c r="P1" t="s">
        <v>461</v>
      </c>
    </row>
    <row r="2" spans="1:16" x14ac:dyDescent="0.35">
      <c r="A2" s="1306"/>
      <c r="B2" s="1304">
        <v>1</v>
      </c>
      <c r="C2" s="1304">
        <v>2</v>
      </c>
      <c r="D2" s="1304">
        <v>3</v>
      </c>
      <c r="E2" s="1304">
        <v>4</v>
      </c>
      <c r="F2" s="1304">
        <v>5</v>
      </c>
      <c r="G2" s="1304">
        <v>6</v>
      </c>
      <c r="H2" s="1304">
        <v>7</v>
      </c>
      <c r="I2" s="1304">
        <v>8</v>
      </c>
      <c r="J2" s="1304">
        <v>9</v>
      </c>
      <c r="K2" s="1304">
        <v>10</v>
      </c>
      <c r="L2" s="1304">
        <v>11</v>
      </c>
      <c r="M2" s="1304">
        <v>12</v>
      </c>
      <c r="N2" s="1304" t="s">
        <v>459</v>
      </c>
    </row>
    <row r="3" spans="1:16" ht="36" x14ac:dyDescent="0.35">
      <c r="A3" s="1305" t="s">
        <v>462</v>
      </c>
      <c r="B3" s="217">
        <f>'ПБ V-1 (fin min)'!AX83</f>
        <v>36.568600000000032</v>
      </c>
      <c r="C3" s="217">
        <f>'ПБ V-1 (fin min)'!AY83</f>
        <v>36.568600000000025</v>
      </c>
      <c r="D3" s="217">
        <f>'ПБ V-1 (fin min)'!AZ83</f>
        <v>36.568600000000032</v>
      </c>
      <c r="E3" s="217">
        <f>'ПБ V-1 (fin min)'!BA83</f>
        <v>36.568600000000032</v>
      </c>
      <c r="F3" s="217">
        <f>'ПБ V-1 (fin min)'!BB83</f>
        <v>36.568600000000032</v>
      </c>
      <c r="G3" s="217">
        <f>'ПБ V-1 (fin min)'!BC83</f>
        <v>36.568600000000032</v>
      </c>
      <c r="H3" s="217">
        <f>'ПБ V-1 (fin min)'!BD83</f>
        <v>36.568600000000032</v>
      </c>
      <c r="I3" s="217">
        <f>'ПБ V-1 (fin min)'!BE83</f>
        <v>36.568600000000032</v>
      </c>
      <c r="J3" s="217">
        <f>'ПБ V-1 (fin min)'!BF83</f>
        <v>36.568600000000032</v>
      </c>
      <c r="K3" s="217">
        <f>'ПБ V-1 (fin min)'!BG83</f>
        <v>36.51895161290323</v>
      </c>
      <c r="L3" s="217">
        <f>'ПБ V-1 (fin min)'!BH83</f>
        <v>36.155420000000007</v>
      </c>
      <c r="M3" s="217">
        <f>'ПБ V-1 (fin min)'!BI83</f>
        <v>37.093925806451622</v>
      </c>
      <c r="N3" s="217">
        <f>AVERAGE(B3:M3)</f>
        <v>36.573808118279594</v>
      </c>
    </row>
    <row r="4" spans="1:16" ht="54" x14ac:dyDescent="0.35">
      <c r="A4" s="1305" t="s">
        <v>463</v>
      </c>
      <c r="B4" s="217">
        <f>'ПБ V-1 (fin min)'!AX86</f>
        <v>36.568600000000032</v>
      </c>
      <c r="C4" s="217">
        <f>'ПБ V-1 (fin min)'!AY86</f>
        <v>36.568600000000025</v>
      </c>
      <c r="D4" s="217">
        <f>'ПБ V-1 (fin min)'!AZ86</f>
        <v>36.568600000000032</v>
      </c>
      <c r="E4" s="217">
        <f>'ПБ V-1 (fin min)'!BA86</f>
        <v>36.568600000000032</v>
      </c>
      <c r="F4" s="217">
        <f>'ПБ V-1 (fin min)'!BB86</f>
        <v>36.568600000000032</v>
      </c>
      <c r="G4" s="217">
        <f>'ПБ V-1 (fin min)'!BC86</f>
        <v>36.568600000000032</v>
      </c>
      <c r="H4" s="217">
        <f>'ПБ V-1 (fin min)'!BD86</f>
        <v>36.568600000000032</v>
      </c>
      <c r="I4" s="217">
        <f>'ПБ V-1 (fin min)'!BE86</f>
        <v>36.568600000000032</v>
      </c>
      <c r="J4" s="217">
        <f>'ПБ V-1 (fin min)'!BF86</f>
        <v>36.568600000000032</v>
      </c>
      <c r="K4" s="217">
        <f>'ПБ V-1 (fin min)'!BG86</f>
        <v>36.51895161290323</v>
      </c>
      <c r="L4" s="217">
        <f>'ПБ V-1 (fin min)'!BH86</f>
        <v>36.155420000000007</v>
      </c>
      <c r="M4" s="217">
        <f>'ПБ V-1 (fin min)'!BI86</f>
        <v>37.093925806451622</v>
      </c>
      <c r="N4" s="217">
        <f>AVERAGE(B4:M4)</f>
        <v>36.573808118279594</v>
      </c>
    </row>
    <row r="5" spans="1:16" x14ac:dyDescent="0.35">
      <c r="A5" s="1302"/>
      <c r="B5" s="1303"/>
      <c r="C5" s="1303"/>
      <c r="D5" s="1303"/>
      <c r="E5" s="1303"/>
      <c r="F5" s="1303"/>
      <c r="G5" s="1303"/>
      <c r="H5" s="1303"/>
      <c r="I5" s="1303"/>
      <c r="J5" s="1303"/>
      <c r="K5" s="1303"/>
      <c r="L5" s="1303"/>
      <c r="M5" s="1303"/>
      <c r="N5" s="1303"/>
    </row>
    <row r="6" spans="1:16" x14ac:dyDescent="0.35">
      <c r="A6" s="1464" t="s">
        <v>474</v>
      </c>
      <c r="B6" s="1465"/>
      <c r="C6" s="1465"/>
      <c r="D6" s="1465"/>
      <c r="E6" s="1465"/>
      <c r="F6" s="1465"/>
      <c r="G6" s="1465"/>
      <c r="H6" s="1465"/>
      <c r="I6" s="1465"/>
      <c r="J6" s="1465"/>
      <c r="K6" s="1465"/>
      <c r="L6" s="1465"/>
      <c r="M6" s="1465"/>
      <c r="N6" s="1466"/>
      <c r="P6" t="s">
        <v>460</v>
      </c>
    </row>
    <row r="7" spans="1:16" x14ac:dyDescent="0.35">
      <c r="A7" s="1306"/>
      <c r="B7" s="1304">
        <v>1</v>
      </c>
      <c r="C7" s="1304">
        <v>2</v>
      </c>
      <c r="D7" s="1304">
        <v>3</v>
      </c>
      <c r="E7" s="1304">
        <v>4</v>
      </c>
      <c r="F7" s="1304">
        <v>5</v>
      </c>
      <c r="G7" s="1304">
        <v>6</v>
      </c>
      <c r="H7" s="1304">
        <v>7</v>
      </c>
      <c r="I7" s="1304">
        <v>8</v>
      </c>
      <c r="J7" s="1304">
        <v>9</v>
      </c>
      <c r="K7" s="1304">
        <v>10</v>
      </c>
      <c r="L7" s="1304">
        <v>11</v>
      </c>
      <c r="M7" s="1304">
        <v>12</v>
      </c>
      <c r="N7" s="1304" t="s">
        <v>459</v>
      </c>
    </row>
    <row r="8" spans="1:16" ht="36" x14ac:dyDescent="0.35">
      <c r="A8" s="1305" t="s">
        <v>462</v>
      </c>
      <c r="B8" s="217">
        <f>'ПБ V-2 (fin plan)'!AX83</f>
        <v>36.57</v>
      </c>
      <c r="C8" s="217">
        <f>'ПБ V-2 (fin plan)'!AY83</f>
        <v>36.57</v>
      </c>
      <c r="D8" s="217">
        <f>'ПБ V-2 (fin plan)'!AZ83</f>
        <v>36.57</v>
      </c>
      <c r="E8" s="217">
        <f>'ПБ V-2 (fin plan)'!BA83</f>
        <v>36.57</v>
      </c>
      <c r="F8" s="217">
        <f>'ПБ V-2 (fin plan)'!BB83</f>
        <v>36.57</v>
      </c>
      <c r="G8" s="217">
        <f>'ПБ V-2 (fin plan)'!BC83</f>
        <v>36.57</v>
      </c>
      <c r="H8" s="217">
        <f>'ПБ V-2 (fin plan)'!BD83</f>
        <v>36.57</v>
      </c>
      <c r="I8" s="217">
        <f>'ПБ V-2 (fin plan)'!BE83</f>
        <v>40</v>
      </c>
      <c r="J8" s="217">
        <f>'ПБ V-2 (fin plan)'!BF83</f>
        <v>40</v>
      </c>
      <c r="K8" s="217">
        <f>'ПБ V-2 (fin plan)'!BG83</f>
        <v>40</v>
      </c>
      <c r="L8" s="217">
        <f>'ПБ V-2 (fin plan)'!BH83</f>
        <v>40</v>
      </c>
      <c r="M8" s="217">
        <f>'ПБ V-2 (fin plan)'!BI83</f>
        <v>40</v>
      </c>
      <c r="N8" s="217">
        <f>AVERAGE(B8:M8)</f>
        <v>37.999166666666667</v>
      </c>
    </row>
    <row r="9" spans="1:16" ht="54" x14ac:dyDescent="0.35">
      <c r="A9" s="1305" t="s">
        <v>463</v>
      </c>
      <c r="B9" s="217">
        <f>'ПБ V-2 (fin plan)'!AX86</f>
        <v>36.57</v>
      </c>
      <c r="C9" s="217">
        <f>'ПБ V-2 (fin plan)'!AY86</f>
        <v>36.57</v>
      </c>
      <c r="D9" s="217">
        <f>'ПБ V-2 (fin plan)'!AZ86</f>
        <v>36.57</v>
      </c>
      <c r="E9" s="217">
        <f>'ПБ V-2 (fin plan)'!BA86</f>
        <v>36.57</v>
      </c>
      <c r="F9" s="217">
        <f>'ПБ V-2 (fin plan)'!BB86</f>
        <v>36.57</v>
      </c>
      <c r="G9" s="217">
        <f>'ПБ V-2 (fin plan)'!BC86</f>
        <v>36.57</v>
      </c>
      <c r="H9" s="217">
        <f>'ПБ V-2 (fin plan)'!BD86</f>
        <v>36.827669302506891</v>
      </c>
      <c r="I9" s="217">
        <f>'ПБ V-2 (fin plan)'!BE86</f>
        <v>36.79246841168186</v>
      </c>
      <c r="J9" s="217">
        <f>'ПБ V-2 (fin plan)'!BF86</f>
        <v>36.985691143563351</v>
      </c>
      <c r="K9" s="217">
        <f>'ПБ V-2 (fin plan)'!BG86</f>
        <v>37.099237249919184</v>
      </c>
      <c r="L9" s="217">
        <f>'ПБ V-2 (fin plan)'!BH86</f>
        <v>37.632892003812898</v>
      </c>
      <c r="M9" s="217">
        <f>'ПБ V-2 (fin plan)'!BI86</f>
        <v>38.575195988611775</v>
      </c>
      <c r="N9" s="217">
        <f>AVERAGE(B9:M9)</f>
        <v>36.944429508341329</v>
      </c>
    </row>
    <row r="10" spans="1:16" x14ac:dyDescent="0.35">
      <c r="N10" s="209"/>
    </row>
  </sheetData>
  <mergeCells count="2">
    <mergeCell ref="A1:N1"/>
    <mergeCell ref="A6:N6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2:BP545"/>
  <sheetViews>
    <sheetView topLeftCell="S3" zoomScale="55" zoomScaleNormal="55" workbookViewId="0">
      <pane ySplit="2" topLeftCell="A472" activePane="bottomLeft" state="frozen"/>
      <selection activeCell="AG122" sqref="AG122"/>
      <selection pane="bottomLeft" activeCell="V513" sqref="V513:V514"/>
    </sheetView>
  </sheetViews>
  <sheetFormatPr defaultRowHeight="18" x14ac:dyDescent="0.35"/>
  <cols>
    <col min="2" max="2" width="37.09765625" customWidth="1"/>
    <col min="3" max="4" width="8.69921875" customWidth="1"/>
    <col min="5" max="5" width="10.09765625" customWidth="1"/>
    <col min="6" max="6" width="8.69921875" customWidth="1"/>
    <col min="7" max="7" width="9.3984375" customWidth="1"/>
    <col min="8" max="13" width="8.69921875" customWidth="1"/>
    <col min="14" max="14" width="10.09765625" customWidth="1"/>
    <col min="17" max="17" width="8.69921875" customWidth="1"/>
    <col min="19" max="19" width="11.796875" customWidth="1"/>
    <col min="20" max="20" width="36.59765625" customWidth="1"/>
    <col min="21" max="21" width="21.09765625" customWidth="1"/>
    <col min="22" max="24" width="36.59765625" customWidth="1"/>
    <col min="25" max="25" width="39" customWidth="1"/>
    <col min="26" max="26" width="39.69921875" customWidth="1"/>
    <col min="27" max="27" width="22" customWidth="1"/>
    <col min="28" max="34" width="15.69921875" customWidth="1"/>
    <col min="35" max="35" width="26.09765625" customWidth="1"/>
    <col min="36" max="36" width="27.09765625" hidden="1" customWidth="1"/>
    <col min="37" max="37" width="18.59765625" hidden="1" customWidth="1"/>
    <col min="38" max="38" width="38" hidden="1" customWidth="1"/>
    <col min="39" max="39" width="28.796875" customWidth="1"/>
    <col min="40" max="40" width="26.796875" customWidth="1"/>
    <col min="41" max="41" width="41.09765625" customWidth="1"/>
    <col min="42" max="42" width="39.09765625" customWidth="1"/>
    <col min="43" max="43" width="15" customWidth="1"/>
    <col min="44" max="44" width="13.5" customWidth="1"/>
    <col min="45" max="45" width="10.09765625" customWidth="1"/>
    <col min="46" max="46" width="26.3984375" customWidth="1"/>
    <col min="47" max="47" width="25.59765625" customWidth="1"/>
    <col min="49" max="49" width="19.09765625" bestFit="1" customWidth="1"/>
    <col min="50" max="50" width="17.09765625" customWidth="1"/>
    <col min="51" max="51" width="13.3984375" customWidth="1"/>
    <col min="52" max="52" width="11.69921875" customWidth="1"/>
    <col min="53" max="54" width="11.09765625" customWidth="1"/>
  </cols>
  <sheetData>
    <row r="2" spans="2:59" ht="15" customHeight="1" x14ac:dyDescent="0.35"/>
    <row r="3" spans="2:59" ht="15" customHeight="1" x14ac:dyDescent="0.35">
      <c r="AK3" s="113"/>
      <c r="AY3" s="563" t="s">
        <v>197</v>
      </c>
      <c r="AZ3" s="563" t="s">
        <v>198</v>
      </c>
      <c r="BA3" s="563" t="s">
        <v>199</v>
      </c>
      <c r="BB3" s="563" t="s">
        <v>200</v>
      </c>
      <c r="BC3" s="564" t="s">
        <v>224</v>
      </c>
      <c r="BD3" s="564" t="s">
        <v>225</v>
      </c>
      <c r="BE3" s="564" t="s">
        <v>226</v>
      </c>
      <c r="BF3" s="564" t="s">
        <v>227</v>
      </c>
      <c r="BG3" s="564" t="s">
        <v>306</v>
      </c>
    </row>
    <row r="4" spans="2:59" s="107" customFormat="1" ht="42.75" customHeight="1" x14ac:dyDescent="0.35">
      <c r="B4" s="335" t="s">
        <v>110</v>
      </c>
      <c r="C4" s="335"/>
      <c r="D4" s="335"/>
      <c r="E4" s="335"/>
      <c r="F4" s="335"/>
      <c r="G4" s="335"/>
      <c r="H4" s="335"/>
      <c r="I4" s="335"/>
      <c r="J4" s="335"/>
      <c r="K4" s="335"/>
      <c r="L4" s="335"/>
      <c r="M4" s="335"/>
      <c r="N4" s="335"/>
      <c r="S4" s="567" t="s">
        <v>109</v>
      </c>
      <c r="V4" s="235" t="s">
        <v>103</v>
      </c>
      <c r="W4" s="235" t="s">
        <v>303</v>
      </c>
      <c r="X4" s="235"/>
      <c r="AB4" s="1469" t="s">
        <v>107</v>
      </c>
      <c r="AC4" s="1469"/>
      <c r="AD4" s="1469"/>
      <c r="AE4" s="1469"/>
      <c r="AF4" s="1469"/>
      <c r="AG4" s="1469"/>
      <c r="AI4" s="236" t="s">
        <v>104</v>
      </c>
      <c r="AJ4" s="1471" t="s">
        <v>118</v>
      </c>
      <c r="AK4" s="1471"/>
      <c r="AL4" s="1471"/>
      <c r="AM4" s="308" t="s">
        <v>202</v>
      </c>
      <c r="AN4" s="237" t="s">
        <v>166</v>
      </c>
      <c r="AO4" s="1470" t="s">
        <v>203</v>
      </c>
      <c r="AP4" s="1470"/>
      <c r="AQ4" s="236" t="s">
        <v>105</v>
      </c>
      <c r="AR4" s="234" t="s">
        <v>156</v>
      </c>
      <c r="AS4" s="1469" t="s">
        <v>204</v>
      </c>
      <c r="AT4" s="1469"/>
      <c r="AU4" s="1469"/>
      <c r="AV4" s="1469"/>
      <c r="AW4" s="1469"/>
      <c r="AX4" s="107" t="s">
        <v>196</v>
      </c>
      <c r="AY4" s="565">
        <v>0.27764978016707897</v>
      </c>
      <c r="AZ4" s="565">
        <v>0.212350849133358</v>
      </c>
      <c r="BA4" s="565">
        <v>0.151374677003171</v>
      </c>
      <c r="BB4" s="565">
        <v>6.3533513776111994E-2</v>
      </c>
      <c r="BC4" s="566">
        <v>9.5941547502001304E-2</v>
      </c>
      <c r="BD4" s="566">
        <v>6.1081252034394302E-2</v>
      </c>
      <c r="BE4" s="566">
        <v>0.13158686533320799</v>
      </c>
      <c r="BF4" s="566">
        <v>0.104455007450922</v>
      </c>
      <c r="BG4" s="566">
        <v>9.5941547502001304E-2</v>
      </c>
    </row>
    <row r="5" spans="2:59" ht="29.1" customHeight="1" x14ac:dyDescent="0.35">
      <c r="T5" s="113"/>
      <c r="U5" s="438" t="s">
        <v>112</v>
      </c>
      <c r="V5" s="439" t="s">
        <v>113</v>
      </c>
      <c r="W5" s="439"/>
      <c r="X5" s="439"/>
      <c r="Y5" s="438" t="s">
        <v>116</v>
      </c>
      <c r="Z5" s="438" t="s">
        <v>167</v>
      </c>
      <c r="AA5" s="109"/>
      <c r="AB5" s="109" t="s">
        <v>108</v>
      </c>
      <c r="AC5" s="109">
        <v>0.5</v>
      </c>
      <c r="AD5" s="109"/>
      <c r="AE5" s="109"/>
      <c r="AF5" s="109"/>
      <c r="AG5" s="109">
        <v>0.5</v>
      </c>
      <c r="AH5" s="109" t="s">
        <v>117</v>
      </c>
      <c r="AI5" s="113">
        <v>384</v>
      </c>
      <c r="AJ5" s="113" t="s">
        <v>114</v>
      </c>
      <c r="AL5" s="113" t="s">
        <v>106</v>
      </c>
      <c r="AM5" s="236"/>
      <c r="AN5" s="307"/>
      <c r="AO5" s="113"/>
      <c r="AP5" s="338" t="s">
        <v>115</v>
      </c>
      <c r="AQ5" s="236" t="s">
        <v>105</v>
      </c>
      <c r="AS5" t="s">
        <v>205</v>
      </c>
      <c r="AT5" t="s">
        <v>206</v>
      </c>
      <c r="AU5" t="s">
        <v>207</v>
      </c>
    </row>
    <row r="6" spans="2:59" hidden="1" x14ac:dyDescent="0.35">
      <c r="Q6" s="115"/>
      <c r="S6" s="114"/>
      <c r="U6" s="287">
        <v>43924</v>
      </c>
      <c r="V6" s="288">
        <v>27.360900000000001</v>
      </c>
      <c r="W6" s="288"/>
      <c r="X6" s="288"/>
      <c r="Y6" s="288">
        <v>27.5962</v>
      </c>
      <c r="Z6" s="288"/>
      <c r="AA6" s="288"/>
      <c r="AB6" s="288"/>
      <c r="AC6" s="288"/>
      <c r="AD6" s="288"/>
      <c r="AE6" s="288"/>
      <c r="AF6" s="288"/>
      <c r="AG6" s="288"/>
      <c r="AH6" s="288">
        <f>V6</f>
        <v>27.360900000000001</v>
      </c>
      <c r="AI6" s="250">
        <v>384</v>
      </c>
      <c r="AJ6" s="250"/>
      <c r="AK6" s="288"/>
      <c r="AL6" s="250"/>
      <c r="AM6" s="250"/>
      <c r="AN6" s="250"/>
      <c r="AO6" s="250"/>
      <c r="AP6" s="250"/>
      <c r="AQ6" s="246"/>
      <c r="AR6" s="287">
        <v>43924</v>
      </c>
    </row>
    <row r="7" spans="2:59" hidden="1" x14ac:dyDescent="0.35">
      <c r="Q7" s="115"/>
      <c r="S7" s="114"/>
      <c r="U7" s="287">
        <v>43927</v>
      </c>
      <c r="V7" s="288">
        <v>27.258299999999998</v>
      </c>
      <c r="W7" s="288"/>
      <c r="X7" s="288"/>
      <c r="Y7" s="288">
        <v>27.373000000000001</v>
      </c>
      <c r="Z7" s="288"/>
      <c r="AA7" s="288"/>
      <c r="AB7" s="288"/>
      <c r="AC7" s="288"/>
      <c r="AD7" s="288"/>
      <c r="AE7" s="288"/>
      <c r="AF7" s="288"/>
      <c r="AG7" s="288"/>
      <c r="AH7" s="288">
        <f t="shared" ref="AH7:AH70" si="0">V7</f>
        <v>27.258299999999998</v>
      </c>
      <c r="AI7" s="250">
        <v>384</v>
      </c>
      <c r="AJ7" s="250"/>
      <c r="AK7" s="251"/>
      <c r="AL7" s="251"/>
      <c r="AM7" s="250"/>
      <c r="AN7" s="250"/>
      <c r="AO7" s="250"/>
      <c r="AP7" s="250"/>
      <c r="AQ7" s="251"/>
      <c r="AR7" s="287">
        <v>43927</v>
      </c>
    </row>
    <row r="8" spans="2:59" hidden="1" x14ac:dyDescent="0.35">
      <c r="Q8" s="115"/>
      <c r="S8" s="114"/>
      <c r="U8" s="287">
        <v>43928</v>
      </c>
      <c r="V8" s="288">
        <v>27.101099999999999</v>
      </c>
      <c r="W8" s="288"/>
      <c r="X8" s="288"/>
      <c r="Y8" s="288">
        <v>27.236499999999999</v>
      </c>
      <c r="Z8" s="288"/>
      <c r="AA8" s="288"/>
      <c r="AB8" s="288"/>
      <c r="AC8" s="288"/>
      <c r="AD8" s="288"/>
      <c r="AE8" s="288"/>
      <c r="AF8" s="288"/>
      <c r="AG8" s="288"/>
      <c r="AH8" s="288">
        <f t="shared" si="0"/>
        <v>27.101099999999999</v>
      </c>
      <c r="AI8" s="250">
        <v>384</v>
      </c>
      <c r="AJ8" s="250"/>
      <c r="AK8" s="251"/>
      <c r="AL8" s="251"/>
      <c r="AM8" s="250"/>
      <c r="AN8" s="251"/>
      <c r="AO8" s="251">
        <v>2.8856798945907376</v>
      </c>
      <c r="AP8" s="251">
        <f>AO8*0.33</f>
        <v>0.95227436521494346</v>
      </c>
      <c r="AQ8" s="251"/>
      <c r="AR8" s="287">
        <v>43928</v>
      </c>
    </row>
    <row r="9" spans="2:59" hidden="1" x14ac:dyDescent="0.35">
      <c r="C9" s="1467">
        <v>2020</v>
      </c>
      <c r="D9" s="1468"/>
      <c r="E9" s="1468"/>
      <c r="F9" s="1468"/>
      <c r="G9" s="1468"/>
      <c r="H9" s="1468"/>
      <c r="I9" s="1468"/>
      <c r="J9" s="1468"/>
      <c r="K9" s="1468"/>
      <c r="L9" s="1468"/>
      <c r="M9" s="1468"/>
      <c r="N9" s="1468"/>
      <c r="Q9" s="115"/>
      <c r="S9" s="114"/>
      <c r="U9" s="287">
        <v>43929</v>
      </c>
      <c r="V9" s="288">
        <v>27.150500000000001</v>
      </c>
      <c r="W9" s="288"/>
      <c r="X9" s="288"/>
      <c r="Y9" s="288">
        <v>27.099599999999999</v>
      </c>
      <c r="Z9" s="288"/>
      <c r="AA9" s="288"/>
      <c r="AB9" s="288"/>
      <c r="AC9" s="288"/>
      <c r="AD9" s="288"/>
      <c r="AE9" s="288"/>
      <c r="AF9" s="288"/>
      <c r="AG9" s="288"/>
      <c r="AH9" s="288">
        <f t="shared" si="0"/>
        <v>27.150500000000001</v>
      </c>
      <c r="AI9" s="250">
        <v>384</v>
      </c>
      <c r="AJ9" s="250"/>
      <c r="AK9" s="251"/>
      <c r="AL9" s="251"/>
      <c r="AM9" s="250">
        <v>3.4</v>
      </c>
      <c r="AN9" s="251"/>
      <c r="AO9" s="251">
        <v>70.847813847842602</v>
      </c>
      <c r="AP9" s="251">
        <f>AO9*0.33</f>
        <v>23.379778569788058</v>
      </c>
      <c r="AQ9" s="251"/>
      <c r="AR9" s="287">
        <v>43929</v>
      </c>
    </row>
    <row r="10" spans="2:59" hidden="1" x14ac:dyDescent="0.35">
      <c r="C10" s="111" t="s">
        <v>68</v>
      </c>
      <c r="D10" s="112" t="s">
        <v>69</v>
      </c>
      <c r="E10" s="112" t="s">
        <v>70</v>
      </c>
      <c r="F10" s="112" t="s">
        <v>71</v>
      </c>
      <c r="G10" s="112" t="s">
        <v>72</v>
      </c>
      <c r="H10" s="112" t="s">
        <v>73</v>
      </c>
      <c r="I10" s="112" t="s">
        <v>74</v>
      </c>
      <c r="J10" s="112" t="s">
        <v>75</v>
      </c>
      <c r="K10" s="112" t="s">
        <v>76</v>
      </c>
      <c r="L10" s="112" t="s">
        <v>77</v>
      </c>
      <c r="M10" s="112" t="s">
        <v>78</v>
      </c>
      <c r="N10" s="112" t="s">
        <v>79</v>
      </c>
      <c r="Q10" s="115"/>
      <c r="S10" s="114"/>
      <c r="U10" s="287">
        <v>43930</v>
      </c>
      <c r="V10" s="288">
        <v>27.251000000000001</v>
      </c>
      <c r="W10" s="288"/>
      <c r="X10" s="288"/>
      <c r="Y10" s="288">
        <v>27.1965</v>
      </c>
      <c r="Z10" s="288"/>
      <c r="AA10" s="288"/>
      <c r="AB10" s="288"/>
      <c r="AC10" s="288"/>
      <c r="AD10" s="288"/>
      <c r="AE10" s="288"/>
      <c r="AF10" s="288"/>
      <c r="AG10" s="288"/>
      <c r="AH10" s="288">
        <f t="shared" si="0"/>
        <v>27.251000000000001</v>
      </c>
      <c r="AI10" s="250">
        <v>384</v>
      </c>
      <c r="AJ10" s="250"/>
      <c r="AK10" s="251"/>
      <c r="AL10" s="251"/>
      <c r="AM10" s="250"/>
      <c r="AN10" s="251"/>
      <c r="AO10" s="251"/>
      <c r="AP10" s="251"/>
      <c r="AQ10" s="250"/>
      <c r="AR10" s="287">
        <v>43930</v>
      </c>
    </row>
    <row r="11" spans="2:59" hidden="1" x14ac:dyDescent="0.35">
      <c r="B11" s="116" t="s">
        <v>111</v>
      </c>
      <c r="C11" s="106" t="e">
        <f>#REF!</f>
        <v>#REF!</v>
      </c>
      <c r="D11" s="106" t="e">
        <f>#REF!</f>
        <v>#REF!</v>
      </c>
      <c r="E11" s="106" t="e">
        <f>#REF!</f>
        <v>#REF!</v>
      </c>
      <c r="F11" s="106" t="e">
        <f>#REF!</f>
        <v>#REF!</v>
      </c>
      <c r="G11" s="106" t="e">
        <f>#REF!</f>
        <v>#REF!</v>
      </c>
      <c r="H11" s="106" t="e">
        <f>#REF!</f>
        <v>#REF!</v>
      </c>
      <c r="I11" s="106" t="e">
        <f>#REF!</f>
        <v>#REF!</v>
      </c>
      <c r="J11" s="106" t="e">
        <f>#REF!</f>
        <v>#REF!</v>
      </c>
      <c r="K11" s="106" t="e">
        <f>#REF!</f>
        <v>#REF!</v>
      </c>
      <c r="L11" s="106" t="e">
        <f>#REF!</f>
        <v>#REF!</v>
      </c>
      <c r="M11" s="106" t="e">
        <f>#REF!</f>
        <v>#REF!</v>
      </c>
      <c r="N11" s="106" t="e">
        <f>#REF!</f>
        <v>#REF!</v>
      </c>
      <c r="Q11" s="115"/>
      <c r="S11" s="114"/>
      <c r="U11" s="287">
        <v>43931</v>
      </c>
      <c r="V11" s="288">
        <v>27.2073</v>
      </c>
      <c r="W11" s="288"/>
      <c r="X11" s="288"/>
      <c r="Y11" s="288">
        <v>27.259799999999998</v>
      </c>
      <c r="Z11" s="288"/>
      <c r="AA11" s="288"/>
      <c r="AB11" s="288"/>
      <c r="AC11" s="288"/>
      <c r="AD11" s="288"/>
      <c r="AE11" s="288"/>
      <c r="AF11" s="288"/>
      <c r="AG11" s="288"/>
      <c r="AH11" s="288">
        <f t="shared" si="0"/>
        <v>27.2073</v>
      </c>
      <c r="AI11" s="250">
        <v>384</v>
      </c>
      <c r="AJ11" s="250"/>
      <c r="AK11" s="248"/>
      <c r="AL11" s="251"/>
      <c r="AM11" s="250"/>
      <c r="AN11" s="251"/>
      <c r="AO11" s="251"/>
      <c r="AP11" s="251"/>
      <c r="AQ11" s="250"/>
      <c r="AR11" s="287">
        <v>43931</v>
      </c>
    </row>
    <row r="12" spans="2:59" hidden="1" x14ac:dyDescent="0.35">
      <c r="B12" t="s">
        <v>165</v>
      </c>
      <c r="C12" s="106" t="e">
        <f>#REF!</f>
        <v>#REF!</v>
      </c>
      <c r="D12" s="106" t="e">
        <f>#REF!</f>
        <v>#REF!</v>
      </c>
      <c r="E12" s="106" t="e">
        <f>#REF!</f>
        <v>#REF!</v>
      </c>
      <c r="F12" s="106" t="e">
        <f>#REF!</f>
        <v>#REF!</v>
      </c>
      <c r="G12" s="106" t="e">
        <f>#REF!</f>
        <v>#REF!</v>
      </c>
      <c r="H12" s="106" t="e">
        <f>#REF!</f>
        <v>#REF!</v>
      </c>
      <c r="I12" s="106" t="e">
        <f>#REF!</f>
        <v>#REF!</v>
      </c>
      <c r="J12" s="106" t="e">
        <f>#REF!</f>
        <v>#REF!</v>
      </c>
      <c r="K12" s="106" t="e">
        <f>#REF!</f>
        <v>#REF!</v>
      </c>
      <c r="L12" s="106" t="e">
        <f>#REF!</f>
        <v>#REF!</v>
      </c>
      <c r="M12" s="106" t="e">
        <f>#REF!</f>
        <v>#REF!</v>
      </c>
      <c r="N12" s="106" t="e">
        <f>#REF!</f>
        <v>#REF!</v>
      </c>
      <c r="Q12" s="115"/>
      <c r="S12" s="114"/>
      <c r="U12" s="287">
        <v>43934</v>
      </c>
      <c r="V12" s="288">
        <v>27.0596</v>
      </c>
      <c r="W12" s="288"/>
      <c r="X12" s="288"/>
      <c r="Y12" s="288">
        <v>27.202200000000001</v>
      </c>
      <c r="Z12" s="288"/>
      <c r="AA12" s="288"/>
      <c r="AB12" s="288"/>
      <c r="AC12" s="288"/>
      <c r="AD12" s="288"/>
      <c r="AE12" s="288"/>
      <c r="AF12" s="288"/>
      <c r="AG12" s="288"/>
      <c r="AH12" s="288">
        <f t="shared" si="0"/>
        <v>27.0596</v>
      </c>
      <c r="AI12" s="250">
        <v>384</v>
      </c>
      <c r="AJ12" s="250"/>
      <c r="AK12" s="248"/>
      <c r="AL12" s="251"/>
      <c r="AM12" s="250"/>
      <c r="AN12" s="251"/>
      <c r="AO12" s="251"/>
      <c r="AP12" s="251"/>
      <c r="AQ12" s="250"/>
      <c r="AR12" s="287">
        <v>43934</v>
      </c>
    </row>
    <row r="13" spans="2:59" hidden="1" x14ac:dyDescent="0.35">
      <c r="Q13" s="115"/>
      <c r="S13" s="271"/>
      <c r="U13" s="287">
        <v>43935</v>
      </c>
      <c r="V13" s="288">
        <v>27.0504</v>
      </c>
      <c r="W13" s="288"/>
      <c r="X13" s="288"/>
      <c r="Y13" s="288">
        <v>27.040400000000002</v>
      </c>
      <c r="Z13" s="288"/>
      <c r="AA13" s="288"/>
      <c r="AB13" s="288"/>
      <c r="AC13" s="288"/>
      <c r="AD13" s="288"/>
      <c r="AE13" s="288"/>
      <c r="AF13" s="288"/>
      <c r="AG13" s="288"/>
      <c r="AH13" s="288">
        <f t="shared" si="0"/>
        <v>27.0504</v>
      </c>
      <c r="AI13" s="250">
        <v>384</v>
      </c>
      <c r="AJ13" s="248"/>
      <c r="AK13" s="248"/>
      <c r="AL13" s="251"/>
      <c r="AM13" s="250"/>
      <c r="AN13" s="251"/>
      <c r="AO13" s="251"/>
      <c r="AP13" s="251"/>
      <c r="AQ13" s="250"/>
      <c r="AR13" s="287">
        <v>43935</v>
      </c>
    </row>
    <row r="14" spans="2:59" ht="15" hidden="1" customHeight="1" x14ac:dyDescent="0.35">
      <c r="G14">
        <v>26.7</v>
      </c>
      <c r="H14" t="e">
        <f>H11/G11</f>
        <v>#REF!</v>
      </c>
      <c r="Q14" s="115"/>
      <c r="S14" s="272"/>
      <c r="U14" s="287">
        <v>43936</v>
      </c>
      <c r="V14" s="288">
        <v>27.226500000000001</v>
      </c>
      <c r="W14" s="288"/>
      <c r="X14" s="288"/>
      <c r="Y14" s="288">
        <v>27.0899</v>
      </c>
      <c r="Z14" s="288"/>
      <c r="AA14" s="288"/>
      <c r="AB14" s="288"/>
      <c r="AC14" s="288"/>
      <c r="AD14" s="288"/>
      <c r="AE14" s="288"/>
      <c r="AF14" s="288"/>
      <c r="AG14" s="288"/>
      <c r="AH14" s="288">
        <f t="shared" si="0"/>
        <v>27.226500000000001</v>
      </c>
      <c r="AI14" s="250">
        <v>384</v>
      </c>
      <c r="AJ14" s="248"/>
      <c r="AK14" s="248"/>
      <c r="AL14" s="251"/>
      <c r="AM14" s="250"/>
      <c r="AN14" s="251"/>
      <c r="AO14" s="251">
        <v>38.818360875435744</v>
      </c>
      <c r="AP14" s="251">
        <f>AO14*0.33</f>
        <v>12.810059088893796</v>
      </c>
      <c r="AQ14" s="250"/>
      <c r="AR14" s="287">
        <v>43936</v>
      </c>
    </row>
    <row r="15" spans="2:59" ht="15" hidden="1" customHeight="1" x14ac:dyDescent="0.35">
      <c r="H15" t="e">
        <f>H12/G12</f>
        <v>#REF!</v>
      </c>
      <c r="Q15" s="115"/>
      <c r="S15" s="272"/>
      <c r="U15" s="287">
        <v>43937</v>
      </c>
      <c r="V15" s="288">
        <v>27.223600000000001</v>
      </c>
      <c r="W15" s="288"/>
      <c r="X15" s="288"/>
      <c r="Y15" s="289">
        <f>V15</f>
        <v>27.223600000000001</v>
      </c>
      <c r="Z15" s="289"/>
      <c r="AA15" s="289"/>
      <c r="AB15" s="288"/>
      <c r="AC15" s="288"/>
      <c r="AD15" s="288"/>
      <c r="AE15" s="288"/>
      <c r="AF15" s="288"/>
      <c r="AG15" s="288"/>
      <c r="AH15" s="288">
        <f t="shared" si="0"/>
        <v>27.223600000000001</v>
      </c>
      <c r="AI15" s="250">
        <v>384</v>
      </c>
      <c r="AJ15" s="248"/>
      <c r="AK15" s="248"/>
      <c r="AL15" s="251"/>
      <c r="AM15" s="250">
        <v>5.5</v>
      </c>
      <c r="AN15" s="251"/>
      <c r="AO15" s="251"/>
      <c r="AP15" s="251"/>
      <c r="AQ15" s="250"/>
      <c r="AR15" s="287">
        <v>43937</v>
      </c>
    </row>
    <row r="16" spans="2:59" hidden="1" x14ac:dyDescent="0.35">
      <c r="Q16" s="115"/>
      <c r="T16" s="113"/>
      <c r="U16" s="287">
        <v>43938</v>
      </c>
      <c r="V16" s="288">
        <v>27.0793</v>
      </c>
      <c r="W16" s="288"/>
      <c r="X16" s="288"/>
      <c r="Y16" s="289">
        <f>V16</f>
        <v>27.0793</v>
      </c>
      <c r="Z16" s="289"/>
      <c r="AA16" s="289"/>
      <c r="AB16" s="288"/>
      <c r="AC16" s="288"/>
      <c r="AD16" s="288"/>
      <c r="AE16" s="288"/>
      <c r="AF16" s="288"/>
      <c r="AG16" s="288"/>
      <c r="AH16" s="288">
        <f t="shared" si="0"/>
        <v>27.0793</v>
      </c>
      <c r="AI16" s="250">
        <v>384</v>
      </c>
      <c r="AJ16" s="290">
        <v>104087</v>
      </c>
      <c r="AK16" s="248">
        <f>AJ16/V16</f>
        <v>3843.784735942214</v>
      </c>
      <c r="AL16" s="251"/>
      <c r="AM16" s="250"/>
      <c r="AN16" s="251"/>
      <c r="AO16" s="251">
        <v>4.6290108986517122</v>
      </c>
      <c r="AP16" s="251">
        <f>AO16*0.33</f>
        <v>1.5275735965550652</v>
      </c>
      <c r="AQ16" s="250"/>
      <c r="AR16" s="287">
        <v>43938</v>
      </c>
    </row>
    <row r="17" spans="3:68" hidden="1" x14ac:dyDescent="0.35"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Q17" s="115"/>
      <c r="T17" s="113"/>
      <c r="U17" s="287">
        <v>43941</v>
      </c>
      <c r="V17" s="288">
        <v>27.202200000000001</v>
      </c>
      <c r="W17" s="288"/>
      <c r="X17" s="288"/>
      <c r="Y17" s="291">
        <f t="shared" ref="Y17:Y48" si="1">V17*(((AQ17/AI17)*0.03)+1)</f>
        <v>27.202200000000001</v>
      </c>
      <c r="Z17" s="246"/>
      <c r="AA17" s="246"/>
      <c r="AB17" s="246"/>
      <c r="AC17" s="246"/>
      <c r="AD17" s="246"/>
      <c r="AE17" s="246"/>
      <c r="AF17" s="246"/>
      <c r="AG17" s="246"/>
      <c r="AH17" s="288">
        <f t="shared" si="0"/>
        <v>27.202200000000001</v>
      </c>
      <c r="AI17" s="250">
        <v>384</v>
      </c>
      <c r="AJ17" s="290"/>
      <c r="AK17" s="248"/>
      <c r="AL17" s="251">
        <f>0.02*AK16</f>
        <v>76.875694718844287</v>
      </c>
      <c r="AM17" s="250"/>
      <c r="AN17" s="251"/>
      <c r="AO17" s="251"/>
      <c r="AP17" s="251"/>
      <c r="AQ17" s="251"/>
      <c r="AR17" s="287">
        <v>43941</v>
      </c>
      <c r="BL17" s="117">
        <f>IF(Y17/Y16&gt;1,Y17*1.005,Y17/1.004)</f>
        <v>27.338210999999998</v>
      </c>
      <c r="BM17" s="117">
        <f>(BL17+V17)/2</f>
        <v>27.270205499999999</v>
      </c>
      <c r="BN17" s="110">
        <f>AH17-0.5</f>
        <v>26.702200000000001</v>
      </c>
      <c r="BO17" s="110">
        <v>0.5</v>
      </c>
      <c r="BP17" s="110">
        <v>0.5</v>
      </c>
    </row>
    <row r="18" spans="3:68" hidden="1" x14ac:dyDescent="0.35">
      <c r="D18" s="108"/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Q18" s="115"/>
      <c r="T18" s="113"/>
      <c r="U18" s="287">
        <v>43942</v>
      </c>
      <c r="V18" s="288">
        <v>27.077400000000001</v>
      </c>
      <c r="W18" s="288"/>
      <c r="X18" s="288"/>
      <c r="Y18" s="291">
        <f t="shared" si="1"/>
        <v>27.077400000000001</v>
      </c>
      <c r="Z18" s="246"/>
      <c r="AA18" s="246"/>
      <c r="AB18" s="246"/>
      <c r="AC18" s="246"/>
      <c r="AD18" s="246"/>
      <c r="AE18" s="246"/>
      <c r="AF18" s="246"/>
      <c r="AG18" s="246"/>
      <c r="AH18" s="288">
        <f t="shared" si="0"/>
        <v>27.077400000000001</v>
      </c>
      <c r="AI18" s="250">
        <v>384</v>
      </c>
      <c r="AJ18" s="248"/>
      <c r="AK18" s="248"/>
      <c r="AL18" s="251"/>
      <c r="AM18" s="250"/>
      <c r="AN18" s="251"/>
      <c r="AO18" s="251"/>
      <c r="AP18" s="251"/>
      <c r="AQ18" s="251"/>
      <c r="AR18" s="287">
        <v>43942</v>
      </c>
      <c r="BL18" s="117">
        <f>IF(Y18/Y17&gt;1,Y18*1.005,Y18/1.004)</f>
        <v>26.969521912350597</v>
      </c>
      <c r="BM18" s="117">
        <f>(BL18+V18)/2</f>
        <v>27.023460956175299</v>
      </c>
      <c r="BN18" s="110">
        <f>AH18-0.5</f>
        <v>26.577400000000001</v>
      </c>
      <c r="BO18" s="110">
        <v>0.5</v>
      </c>
      <c r="BP18" s="110">
        <v>0.5</v>
      </c>
    </row>
    <row r="19" spans="3:68" hidden="1" x14ac:dyDescent="0.35">
      <c r="H19" t="e">
        <f>G14*H14</f>
        <v>#REF!</v>
      </c>
      <c r="Q19" s="115"/>
      <c r="T19" s="113"/>
      <c r="U19" s="287">
        <v>43943</v>
      </c>
      <c r="V19" s="288">
        <v>27.081499999999998</v>
      </c>
      <c r="W19" s="288"/>
      <c r="X19" s="288"/>
      <c r="Y19" s="291">
        <f t="shared" si="1"/>
        <v>27.081499999999998</v>
      </c>
      <c r="Z19" s="291">
        <f>IF(Y19/Y18&gt;1,Y19*1.005,Y19/1.004)</f>
        <v>27.216907499999994</v>
      </c>
      <c r="AA19" s="291"/>
      <c r="AB19" s="288"/>
      <c r="AC19" s="288"/>
      <c r="AD19" s="288"/>
      <c r="AE19" s="288"/>
      <c r="AF19" s="288"/>
      <c r="AG19" s="288"/>
      <c r="AH19" s="288">
        <f t="shared" si="0"/>
        <v>27.081499999999998</v>
      </c>
      <c r="AI19" s="250">
        <v>384</v>
      </c>
      <c r="AJ19" s="248"/>
      <c r="AK19" s="248"/>
      <c r="AL19" s="251"/>
      <c r="AM19" s="250"/>
      <c r="AN19" s="251"/>
      <c r="AO19" s="251">
        <v>16.100178890876567</v>
      </c>
      <c r="AP19" s="251">
        <f>AO19*0.33</f>
        <v>5.3130590339892674</v>
      </c>
      <c r="AQ19" s="251"/>
      <c r="AR19" s="287">
        <v>43943</v>
      </c>
    </row>
    <row r="20" spans="3:68" hidden="1" x14ac:dyDescent="0.35">
      <c r="Q20" s="115"/>
      <c r="T20" s="113"/>
      <c r="U20" s="287">
        <v>43944</v>
      </c>
      <c r="V20" s="288">
        <v>27.053599999999999</v>
      </c>
      <c r="W20" s="288"/>
      <c r="X20" s="288"/>
      <c r="Y20" s="291">
        <f t="shared" si="1"/>
        <v>27.053599999999999</v>
      </c>
      <c r="Z20" s="291">
        <f t="shared" ref="Z20:Z40" si="2">IF(Y20/Y19&gt;1,Y20*1.005,Y20/1.004)</f>
        <v>26.94581673306773</v>
      </c>
      <c r="AA20" s="291"/>
      <c r="AB20" s="288"/>
      <c r="AC20" s="288"/>
      <c r="AD20" s="288"/>
      <c r="AE20" s="288"/>
      <c r="AF20" s="288"/>
      <c r="AG20" s="288"/>
      <c r="AH20" s="288">
        <f t="shared" si="0"/>
        <v>27.053599999999999</v>
      </c>
      <c r="AI20" s="250">
        <v>384</v>
      </c>
      <c r="AJ20" s="248"/>
      <c r="AK20" s="248"/>
      <c r="AL20" s="251"/>
      <c r="AM20" s="250"/>
      <c r="AN20" s="251"/>
      <c r="AO20" s="251"/>
      <c r="AP20" s="251"/>
      <c r="AQ20" s="251"/>
      <c r="AR20" s="287">
        <v>43944</v>
      </c>
    </row>
    <row r="21" spans="3:68" hidden="1" x14ac:dyDescent="0.35">
      <c r="Q21" s="115"/>
      <c r="T21" s="113"/>
      <c r="U21" s="287">
        <v>43945</v>
      </c>
      <c r="V21" s="288">
        <v>27.0137</v>
      </c>
      <c r="W21" s="288"/>
      <c r="X21" s="288"/>
      <c r="Y21" s="291">
        <f t="shared" si="1"/>
        <v>27.0137</v>
      </c>
      <c r="Z21" s="291">
        <f t="shared" si="2"/>
        <v>26.906075697211154</v>
      </c>
      <c r="AA21" s="291"/>
      <c r="AB21" s="288"/>
      <c r="AC21" s="288"/>
      <c r="AD21" s="288"/>
      <c r="AE21" s="288"/>
      <c r="AF21" s="288"/>
      <c r="AG21" s="288"/>
      <c r="AH21" s="288">
        <f t="shared" si="0"/>
        <v>27.0137</v>
      </c>
      <c r="AI21" s="250">
        <v>384</v>
      </c>
      <c r="AJ21" s="248">
        <f>AJ16</f>
        <v>104087</v>
      </c>
      <c r="AK21" s="292">
        <f>AJ21/V21</f>
        <v>3853.1189729655694</v>
      </c>
      <c r="AL21" s="251"/>
      <c r="AM21" s="250"/>
      <c r="AN21" s="251"/>
      <c r="AO21" s="251">
        <v>2.1466905187835419</v>
      </c>
      <c r="AP21" s="251">
        <f>AO21*0.33</f>
        <v>0.70840787119856885</v>
      </c>
      <c r="AQ21" s="251"/>
      <c r="AR21" s="287">
        <v>43945</v>
      </c>
    </row>
    <row r="22" spans="3:68" hidden="1" x14ac:dyDescent="0.35">
      <c r="Q22" s="115"/>
      <c r="T22" s="113"/>
      <c r="U22" s="287">
        <v>43948</v>
      </c>
      <c r="V22" s="288">
        <v>27.144100000000002</v>
      </c>
      <c r="W22" s="288"/>
      <c r="X22" s="288"/>
      <c r="Y22" s="291">
        <f t="shared" si="1"/>
        <v>27.144100000000002</v>
      </c>
      <c r="Z22" s="291">
        <f t="shared" si="2"/>
        <v>27.2798205</v>
      </c>
      <c r="AA22" s="291"/>
      <c r="AB22" s="288"/>
      <c r="AC22" s="288"/>
      <c r="AD22" s="288"/>
      <c r="AE22" s="288"/>
      <c r="AF22" s="288"/>
      <c r="AG22" s="288"/>
      <c r="AH22" s="288">
        <f t="shared" si="0"/>
        <v>27.144100000000002</v>
      </c>
      <c r="AI22" s="250">
        <v>384</v>
      </c>
      <c r="AJ22" s="248"/>
      <c r="AK22" s="248"/>
      <c r="AL22" s="251">
        <f>AK21*0.02</f>
        <v>77.062379459311387</v>
      </c>
      <c r="AM22" s="250"/>
      <c r="AN22" s="251"/>
      <c r="AO22" s="251"/>
      <c r="AP22" s="251"/>
      <c r="AQ22" s="251"/>
      <c r="AR22" s="287">
        <v>43948</v>
      </c>
    </row>
    <row r="23" spans="3:68" hidden="1" x14ac:dyDescent="0.35">
      <c r="Q23" s="115"/>
      <c r="T23" s="113"/>
      <c r="U23" s="287">
        <v>43949</v>
      </c>
      <c r="V23" s="288">
        <v>27.102499999999999</v>
      </c>
      <c r="W23" s="288"/>
      <c r="X23" s="288"/>
      <c r="Y23" s="291">
        <f t="shared" si="1"/>
        <v>27.102499999999999</v>
      </c>
      <c r="Z23" s="291">
        <f t="shared" si="2"/>
        <v>26.994521912350596</v>
      </c>
      <c r="AA23" s="291"/>
      <c r="AB23" s="288"/>
      <c r="AC23" s="288"/>
      <c r="AD23" s="288"/>
      <c r="AE23" s="288"/>
      <c r="AF23" s="288"/>
      <c r="AG23" s="288"/>
      <c r="AH23" s="288">
        <f t="shared" si="0"/>
        <v>27.102499999999999</v>
      </c>
      <c r="AI23" s="250">
        <v>384</v>
      </c>
      <c r="AJ23" s="248"/>
      <c r="AK23" s="248"/>
      <c r="AL23" s="251"/>
      <c r="AM23" s="250"/>
      <c r="AN23" s="251"/>
      <c r="AO23" s="251"/>
      <c r="AP23" s="251"/>
      <c r="AQ23" s="251"/>
      <c r="AR23" s="287">
        <v>43949</v>
      </c>
    </row>
    <row r="24" spans="3:68" hidden="1" x14ac:dyDescent="0.35">
      <c r="Q24" s="115"/>
      <c r="T24" s="113"/>
      <c r="U24" s="287">
        <v>43950</v>
      </c>
      <c r="V24" s="288">
        <v>27.048500000000001</v>
      </c>
      <c r="W24" s="288"/>
      <c r="X24" s="288"/>
      <c r="Y24" s="291">
        <f t="shared" si="1"/>
        <v>27.048500000000001</v>
      </c>
      <c r="Z24" s="291">
        <f t="shared" si="2"/>
        <v>26.94073705179283</v>
      </c>
      <c r="AA24" s="291"/>
      <c r="AB24" s="288"/>
      <c r="AC24" s="288"/>
      <c r="AD24" s="288"/>
      <c r="AE24" s="288"/>
      <c r="AF24" s="288"/>
      <c r="AG24" s="288"/>
      <c r="AH24" s="288">
        <f t="shared" si="0"/>
        <v>27.048500000000001</v>
      </c>
      <c r="AI24" s="250">
        <v>384</v>
      </c>
      <c r="AJ24" s="248"/>
      <c r="AK24" s="248"/>
      <c r="AL24" s="251"/>
      <c r="AM24" s="250"/>
      <c r="AN24" s="251"/>
      <c r="AO24" s="251">
        <v>31.6500711237553</v>
      </c>
      <c r="AP24" s="251">
        <f>AO24*0.33</f>
        <v>10.444523470839249</v>
      </c>
      <c r="AQ24" s="251"/>
      <c r="AR24" s="287">
        <v>43950</v>
      </c>
    </row>
    <row r="25" spans="3:68" hidden="1" x14ac:dyDescent="0.35">
      <c r="Q25" s="115"/>
      <c r="T25" s="113"/>
      <c r="U25" s="287">
        <v>43951</v>
      </c>
      <c r="V25" s="288">
        <v>26.971399999999999</v>
      </c>
      <c r="W25" s="288"/>
      <c r="X25" s="288"/>
      <c r="Y25" s="291">
        <f t="shared" si="1"/>
        <v>26.971399999999999</v>
      </c>
      <c r="Z25" s="291">
        <f t="shared" si="2"/>
        <v>26.86394422310757</v>
      </c>
      <c r="AA25" s="291"/>
      <c r="AB25" s="288"/>
      <c r="AC25" s="288"/>
      <c r="AD25" s="288"/>
      <c r="AE25" s="288"/>
      <c r="AF25" s="288"/>
      <c r="AG25" s="288"/>
      <c r="AH25" s="288">
        <f t="shared" si="0"/>
        <v>26.971399999999999</v>
      </c>
      <c r="AI25" s="250">
        <v>384</v>
      </c>
      <c r="AJ25" s="248"/>
      <c r="AK25" s="248"/>
      <c r="AL25" s="251"/>
      <c r="AM25" s="251">
        <v>29.8401420959147</v>
      </c>
      <c r="AN25" s="251"/>
      <c r="AO25" s="251">
        <v>0</v>
      </c>
      <c r="AP25" s="251"/>
      <c r="AQ25" s="251"/>
      <c r="AR25" s="287">
        <v>43951</v>
      </c>
    </row>
    <row r="26" spans="3:68" hidden="1" x14ac:dyDescent="0.35">
      <c r="Q26" s="115"/>
      <c r="T26" s="113"/>
      <c r="U26" s="287">
        <v>43952</v>
      </c>
      <c r="V26" s="288">
        <v>26.971399999999999</v>
      </c>
      <c r="W26" s="288"/>
      <c r="X26" s="288"/>
      <c r="Y26" s="291">
        <f t="shared" si="1"/>
        <v>27.014444472674416</v>
      </c>
      <c r="Z26" s="291">
        <f>IF(Y26/Y25&gt;1,Y26*1.005,Y26/1.004)</f>
        <v>27.149516695037786</v>
      </c>
      <c r="AA26" s="291"/>
      <c r="AB26" s="288"/>
      <c r="AC26" s="288"/>
      <c r="AD26" s="288"/>
      <c r="AE26" s="288"/>
      <c r="AF26" s="288"/>
      <c r="AG26" s="288"/>
      <c r="AH26" s="288">
        <f t="shared" si="0"/>
        <v>26.971399999999999</v>
      </c>
      <c r="AI26" s="250">
        <v>344</v>
      </c>
      <c r="AJ26" s="248">
        <f>AJ21</f>
        <v>104087</v>
      </c>
      <c r="AK26" s="292">
        <f>AJ26/V26</f>
        <v>3859.1619270783126</v>
      </c>
      <c r="AL26" s="251"/>
      <c r="AM26" s="250">
        <v>59.7</v>
      </c>
      <c r="AN26" s="250">
        <v>78</v>
      </c>
      <c r="AO26" s="250"/>
      <c r="AP26" s="251"/>
      <c r="AQ26" s="251">
        <f>-AM26+AN26+(AP26*3)</f>
        <v>18.299999999999997</v>
      </c>
      <c r="AR26" s="287">
        <v>43952</v>
      </c>
    </row>
    <row r="27" spans="3:68" hidden="1" x14ac:dyDescent="0.35">
      <c r="Q27" s="115"/>
      <c r="S27" s="273"/>
      <c r="T27" s="113"/>
      <c r="U27" s="287">
        <v>43955</v>
      </c>
      <c r="V27" s="288">
        <v>26.959199999999999</v>
      </c>
      <c r="W27" s="288"/>
      <c r="X27" s="288"/>
      <c r="Y27" s="291">
        <f t="shared" si="1"/>
        <v>26.959199999999999</v>
      </c>
      <c r="Z27" s="291">
        <f t="shared" si="2"/>
        <v>26.851792828685259</v>
      </c>
      <c r="AA27" s="291"/>
      <c r="AB27" s="288"/>
      <c r="AC27" s="288"/>
      <c r="AD27" s="288"/>
      <c r="AE27" s="288"/>
      <c r="AF27" s="288"/>
      <c r="AG27" s="288"/>
      <c r="AH27" s="288">
        <f t="shared" si="0"/>
        <v>26.959199999999999</v>
      </c>
      <c r="AI27" s="250">
        <v>344</v>
      </c>
      <c r="AJ27" s="248"/>
      <c r="AK27" s="292"/>
      <c r="AL27" s="251">
        <f>AK26*0.02</f>
        <v>77.183238541566254</v>
      </c>
      <c r="AM27" s="250"/>
      <c r="AN27" s="250"/>
      <c r="AO27" s="251"/>
      <c r="AP27" s="251"/>
      <c r="AQ27" s="251">
        <f t="shared" ref="AQ27:AQ58" si="3">-AM27+AN27+(AP27*3)</f>
        <v>0</v>
      </c>
      <c r="AR27" s="287">
        <v>43955</v>
      </c>
    </row>
    <row r="28" spans="3:68" hidden="1" x14ac:dyDescent="0.35">
      <c r="S28" s="273"/>
      <c r="T28" s="113"/>
      <c r="U28" s="287">
        <v>43956</v>
      </c>
      <c r="V28" s="288">
        <v>26.974900000000002</v>
      </c>
      <c r="W28" s="288"/>
      <c r="X28" s="288"/>
      <c r="Y28" s="291">
        <f t="shared" si="1"/>
        <v>26.974900000000002</v>
      </c>
      <c r="Z28" s="291">
        <f t="shared" si="2"/>
        <v>27.1097745</v>
      </c>
      <c r="AA28" s="291"/>
      <c r="AB28" s="288"/>
      <c r="AC28" s="288"/>
      <c r="AD28" s="288"/>
      <c r="AE28" s="288"/>
      <c r="AF28" s="288"/>
      <c r="AG28" s="288"/>
      <c r="AH28" s="288">
        <f t="shared" si="0"/>
        <v>26.974900000000002</v>
      </c>
      <c r="AI28" s="250">
        <v>344</v>
      </c>
      <c r="AJ28" s="248"/>
      <c r="AK28" s="292"/>
      <c r="AL28" s="251"/>
      <c r="AM28" s="250"/>
      <c r="AN28" s="250"/>
      <c r="AO28" s="251"/>
      <c r="AP28" s="251"/>
      <c r="AQ28" s="251">
        <f t="shared" si="3"/>
        <v>0</v>
      </c>
      <c r="AR28" s="287">
        <v>43956</v>
      </c>
    </row>
    <row r="29" spans="3:68" hidden="1" x14ac:dyDescent="0.35">
      <c r="S29" s="274"/>
      <c r="T29" s="113"/>
      <c r="U29" s="287">
        <v>43957</v>
      </c>
      <c r="V29" s="288">
        <v>26.977399999999999</v>
      </c>
      <c r="W29" s="288"/>
      <c r="X29" s="288"/>
      <c r="Y29" s="291">
        <f t="shared" si="1"/>
        <v>27.105683803010894</v>
      </c>
      <c r="Z29" s="291">
        <f t="shared" si="2"/>
        <v>27.241212222025947</v>
      </c>
      <c r="AA29" s="291"/>
      <c r="AB29" s="288"/>
      <c r="AC29" s="288"/>
      <c r="AD29" s="288"/>
      <c r="AE29" s="288"/>
      <c r="AF29" s="288"/>
      <c r="AG29" s="288"/>
      <c r="AH29" s="288">
        <f t="shared" si="0"/>
        <v>26.977399999999999</v>
      </c>
      <c r="AI29" s="250">
        <v>344</v>
      </c>
      <c r="AJ29" s="248"/>
      <c r="AK29" s="292"/>
      <c r="AL29" s="251"/>
      <c r="AM29" s="250"/>
      <c r="AN29" s="250"/>
      <c r="AO29" s="293">
        <v>55.077437727272724</v>
      </c>
      <c r="AP29" s="251">
        <f>AO29*0.33</f>
        <v>18.17555445</v>
      </c>
      <c r="AQ29" s="251">
        <f t="shared" si="3"/>
        <v>54.52666335</v>
      </c>
      <c r="AR29" s="287">
        <v>43957</v>
      </c>
    </row>
    <row r="30" spans="3:68" hidden="1" x14ac:dyDescent="0.35">
      <c r="S30" s="274"/>
      <c r="T30" s="113"/>
      <c r="U30" s="287">
        <v>43958</v>
      </c>
      <c r="V30" s="288">
        <v>26.932300000000001</v>
      </c>
      <c r="W30" s="288"/>
      <c r="X30" s="288"/>
      <c r="Y30" s="291">
        <f t="shared" si="1"/>
        <v>26.932300000000001</v>
      </c>
      <c r="Z30" s="291">
        <f t="shared" si="2"/>
        <v>26.825000000000003</v>
      </c>
      <c r="AA30" s="291"/>
      <c r="AB30" s="288"/>
      <c r="AC30" s="288"/>
      <c r="AD30" s="288"/>
      <c r="AE30" s="288"/>
      <c r="AF30" s="288"/>
      <c r="AG30" s="288"/>
      <c r="AH30" s="288">
        <f t="shared" si="0"/>
        <v>26.932300000000001</v>
      </c>
      <c r="AI30" s="250">
        <v>344</v>
      </c>
      <c r="AJ30" s="248"/>
      <c r="AK30" s="292"/>
      <c r="AL30" s="251"/>
      <c r="AM30" s="250"/>
      <c r="AN30" s="250"/>
      <c r="AO30" s="293"/>
      <c r="AP30" s="251"/>
      <c r="AQ30" s="251">
        <f t="shared" si="3"/>
        <v>0</v>
      </c>
      <c r="AR30" s="287">
        <v>43958</v>
      </c>
    </row>
    <row r="31" spans="3:68" hidden="1" x14ac:dyDescent="0.35">
      <c r="S31" s="274"/>
      <c r="T31" s="113"/>
      <c r="U31" s="287">
        <v>43959</v>
      </c>
      <c r="V31" s="288">
        <v>26.8185</v>
      </c>
      <c r="W31" s="288"/>
      <c r="X31" s="288"/>
      <c r="Y31" s="291">
        <f t="shared" si="1"/>
        <v>26.835602640806684</v>
      </c>
      <c r="Z31" s="291">
        <f t="shared" si="2"/>
        <v>26.728687889249684</v>
      </c>
      <c r="AA31" s="291"/>
      <c r="AB31" s="288"/>
      <c r="AC31" s="288"/>
      <c r="AD31" s="288"/>
      <c r="AE31" s="288"/>
      <c r="AF31" s="288"/>
      <c r="AG31" s="288"/>
      <c r="AH31" s="288">
        <f t="shared" si="0"/>
        <v>26.8185</v>
      </c>
      <c r="AI31" s="250">
        <v>344</v>
      </c>
      <c r="AJ31" s="248">
        <f>AJ26</f>
        <v>104087</v>
      </c>
      <c r="AK31" s="292">
        <f>AJ31/V31</f>
        <v>3881.1641217816059</v>
      </c>
      <c r="AL31" s="251"/>
      <c r="AM31" s="250"/>
      <c r="AN31" s="250"/>
      <c r="AO31" s="293">
        <v>7.3863636363636367</v>
      </c>
      <c r="AP31" s="251">
        <f>AO31*0.33</f>
        <v>2.4375</v>
      </c>
      <c r="AQ31" s="251">
        <f t="shared" si="3"/>
        <v>7.3125</v>
      </c>
      <c r="AR31" s="287">
        <v>43959</v>
      </c>
    </row>
    <row r="32" spans="3:68" hidden="1" x14ac:dyDescent="0.35">
      <c r="S32" s="274"/>
      <c r="T32" s="113"/>
      <c r="U32" s="287">
        <v>43962</v>
      </c>
      <c r="V32" s="288">
        <v>26.8185</v>
      </c>
      <c r="W32" s="288"/>
      <c r="X32" s="288"/>
      <c r="Y32" s="291">
        <f t="shared" si="1"/>
        <v>27.344098222891677</v>
      </c>
      <c r="Z32" s="291">
        <f>IF(Y32/Y31&gt;1,Y32*1.005,Y32/1.004)</f>
        <v>27.480818714006134</v>
      </c>
      <c r="AA32" s="291"/>
      <c r="AB32" s="288"/>
      <c r="AC32" s="288"/>
      <c r="AD32" s="288"/>
      <c r="AE32" s="288"/>
      <c r="AF32" s="288"/>
      <c r="AG32" s="288"/>
      <c r="AH32" s="288">
        <f t="shared" si="0"/>
        <v>26.8185</v>
      </c>
      <c r="AI32" s="250">
        <v>344</v>
      </c>
      <c r="AJ32" s="248"/>
      <c r="AK32" s="292"/>
      <c r="AL32" s="251">
        <f>AK31*0.02</f>
        <v>77.62328243563212</v>
      </c>
      <c r="AM32" s="250"/>
      <c r="AN32" s="250"/>
      <c r="AO32" s="293">
        <v>226.997669236364</v>
      </c>
      <c r="AP32" s="251">
        <f>AO32*0.33</f>
        <v>74.909230848000121</v>
      </c>
      <c r="AQ32" s="251">
        <f t="shared" si="3"/>
        <v>224.72769254400038</v>
      </c>
      <c r="AR32" s="287">
        <v>43962</v>
      </c>
    </row>
    <row r="33" spans="19:44" hidden="1" x14ac:dyDescent="0.35">
      <c r="S33" s="274"/>
      <c r="T33" s="113"/>
      <c r="U33" s="287">
        <v>43963</v>
      </c>
      <c r="V33" s="288">
        <v>26.819600000000001</v>
      </c>
      <c r="W33" s="288"/>
      <c r="X33" s="288"/>
      <c r="Y33" s="291">
        <f t="shared" si="1"/>
        <v>26.819600000000001</v>
      </c>
      <c r="Z33" s="291">
        <f t="shared" si="2"/>
        <v>26.712749003984065</v>
      </c>
      <c r="AA33" s="291"/>
      <c r="AB33" s="288"/>
      <c r="AC33" s="288"/>
      <c r="AD33" s="288"/>
      <c r="AE33" s="288"/>
      <c r="AF33" s="288"/>
      <c r="AG33" s="288"/>
      <c r="AH33" s="288">
        <f t="shared" si="0"/>
        <v>26.819600000000001</v>
      </c>
      <c r="AI33" s="250">
        <v>344</v>
      </c>
      <c r="AJ33" s="248"/>
      <c r="AK33" s="292"/>
      <c r="AL33" s="251"/>
      <c r="AM33" s="250"/>
      <c r="AN33" s="250"/>
      <c r="AO33" s="293"/>
      <c r="AP33" s="251"/>
      <c r="AQ33" s="251">
        <f t="shared" si="3"/>
        <v>0</v>
      </c>
      <c r="AR33" s="287">
        <v>43963</v>
      </c>
    </row>
    <row r="34" spans="19:44" hidden="1" x14ac:dyDescent="0.35">
      <c r="S34" s="274"/>
      <c r="T34" s="113"/>
      <c r="U34" s="287">
        <v>43964</v>
      </c>
      <c r="V34" s="288">
        <v>26.794699999999999</v>
      </c>
      <c r="W34" s="288"/>
      <c r="X34" s="288"/>
      <c r="Y34" s="291">
        <f t="shared" si="1"/>
        <v>26.090259094654289</v>
      </c>
      <c r="Z34" s="291">
        <f t="shared" si="2"/>
        <v>25.9863138392971</v>
      </c>
      <c r="AA34" s="291"/>
      <c r="AB34" s="288"/>
      <c r="AC34" s="288"/>
      <c r="AD34" s="288"/>
      <c r="AE34" s="288"/>
      <c r="AF34" s="288"/>
      <c r="AG34" s="288"/>
      <c r="AH34" s="288">
        <f t="shared" si="0"/>
        <v>26.794699999999999</v>
      </c>
      <c r="AI34" s="250">
        <v>344</v>
      </c>
      <c r="AJ34" s="248"/>
      <c r="AK34" s="292"/>
      <c r="AL34" s="251"/>
      <c r="AM34" s="294">
        <v>334.3569</v>
      </c>
      <c r="AN34" s="250"/>
      <c r="AO34" s="293">
        <v>33.226975818181813</v>
      </c>
      <c r="AP34" s="251">
        <f>AO34*0.33</f>
        <v>10.964902019999998</v>
      </c>
      <c r="AQ34" s="251">
        <f t="shared" si="3"/>
        <v>-301.46219394000002</v>
      </c>
      <c r="AR34" s="287">
        <v>43964</v>
      </c>
    </row>
    <row r="35" spans="19:44" hidden="1" x14ac:dyDescent="0.35">
      <c r="S35" s="274"/>
      <c r="T35" s="113"/>
      <c r="U35" s="287">
        <v>43965</v>
      </c>
      <c r="V35" s="288">
        <v>26.689699999999998</v>
      </c>
      <c r="W35" s="288"/>
      <c r="X35" s="288"/>
      <c r="Y35" s="291">
        <f t="shared" si="1"/>
        <v>26.689699999999998</v>
      </c>
      <c r="Z35" s="291">
        <f t="shared" si="2"/>
        <v>26.823148499999995</v>
      </c>
      <c r="AA35" s="291"/>
      <c r="AB35" s="288"/>
      <c r="AC35" s="288"/>
      <c r="AD35" s="288"/>
      <c r="AE35" s="288"/>
      <c r="AF35" s="288"/>
      <c r="AG35" s="288"/>
      <c r="AH35" s="288">
        <f t="shared" si="0"/>
        <v>26.689699999999998</v>
      </c>
      <c r="AI35" s="250">
        <v>344</v>
      </c>
      <c r="AJ35" s="248"/>
      <c r="AK35" s="292"/>
      <c r="AL35" s="251"/>
      <c r="AM35" s="250"/>
      <c r="AN35" s="250"/>
      <c r="AO35" s="293"/>
      <c r="AP35" s="251"/>
      <c r="AQ35" s="251">
        <f t="shared" si="3"/>
        <v>0</v>
      </c>
      <c r="AR35" s="287">
        <v>43965</v>
      </c>
    </row>
    <row r="36" spans="19:44" hidden="1" x14ac:dyDescent="0.35">
      <c r="S36" s="274"/>
      <c r="T36" s="113"/>
      <c r="U36" s="287">
        <v>43966</v>
      </c>
      <c r="V36" s="288">
        <v>26.679200000000002</v>
      </c>
      <c r="W36" s="288"/>
      <c r="X36" s="288"/>
      <c r="Y36" s="291">
        <f t="shared" si="1"/>
        <v>26.679200000000002</v>
      </c>
      <c r="Z36" s="291">
        <f t="shared" si="2"/>
        <v>26.572908366533866</v>
      </c>
      <c r="AA36" s="291"/>
      <c r="AB36" s="288"/>
      <c r="AC36" s="288"/>
      <c r="AD36" s="288"/>
      <c r="AE36" s="288"/>
      <c r="AF36" s="288"/>
      <c r="AG36" s="288"/>
      <c r="AH36" s="288">
        <f t="shared" si="0"/>
        <v>26.679200000000002</v>
      </c>
      <c r="AI36" s="250">
        <v>344</v>
      </c>
      <c r="AJ36" s="248">
        <f>AJ31</f>
        <v>104087</v>
      </c>
      <c r="AK36" s="292">
        <f>AJ36/V36</f>
        <v>3901.4288284506279</v>
      </c>
      <c r="AL36" s="251"/>
      <c r="AM36" s="250"/>
      <c r="AN36" s="250"/>
      <c r="AO36" s="293"/>
      <c r="AP36" s="251"/>
      <c r="AQ36" s="251">
        <f t="shared" si="3"/>
        <v>0</v>
      </c>
      <c r="AR36" s="287">
        <v>43966</v>
      </c>
    </row>
    <row r="37" spans="19:44" hidden="1" x14ac:dyDescent="0.35">
      <c r="S37" s="274"/>
      <c r="T37" s="113"/>
      <c r="U37" s="287">
        <v>43969</v>
      </c>
      <c r="V37" s="288">
        <v>26.638000000000002</v>
      </c>
      <c r="W37" s="288"/>
      <c r="X37" s="288"/>
      <c r="Y37" s="291">
        <f t="shared" si="1"/>
        <v>26.685924704569768</v>
      </c>
      <c r="Z37" s="291">
        <f>IF(Y37/Y36&gt;1,Y37*1.005,Y37/1.004)</f>
        <v>26.819354328092615</v>
      </c>
      <c r="AA37" s="291"/>
      <c r="AB37" s="288"/>
      <c r="AC37" s="288"/>
      <c r="AD37" s="288"/>
      <c r="AE37" s="288"/>
      <c r="AF37" s="288"/>
      <c r="AG37" s="288"/>
      <c r="AH37" s="288">
        <f t="shared" si="0"/>
        <v>26.638000000000002</v>
      </c>
      <c r="AI37" s="250">
        <v>344</v>
      </c>
      <c r="AJ37" s="248"/>
      <c r="AK37" s="292"/>
      <c r="AL37" s="251"/>
      <c r="AM37" s="250"/>
      <c r="AN37" s="250"/>
      <c r="AO37" s="293">
        <f>5.13636363636364+15.7018181818182</f>
        <v>20.838181818181841</v>
      </c>
      <c r="AP37" s="251">
        <f>AO37*0.33</f>
        <v>6.8766000000000078</v>
      </c>
      <c r="AQ37" s="251">
        <f t="shared" si="3"/>
        <v>20.629800000000024</v>
      </c>
      <c r="AR37" s="287">
        <v>43969</v>
      </c>
    </row>
    <row r="38" spans="19:44" hidden="1" x14ac:dyDescent="0.35">
      <c r="S38" s="274"/>
      <c r="T38" s="113"/>
      <c r="U38" s="287">
        <v>43970</v>
      </c>
      <c r="V38" s="288">
        <v>26.571000000000002</v>
      </c>
      <c r="W38" s="288"/>
      <c r="X38" s="288"/>
      <c r="Y38" s="291">
        <f t="shared" si="1"/>
        <v>26.571000000000002</v>
      </c>
      <c r="Z38" s="291">
        <f t="shared" si="2"/>
        <v>26.465139442231077</v>
      </c>
      <c r="AA38" s="291"/>
      <c r="AB38" s="288"/>
      <c r="AC38" s="288"/>
      <c r="AD38" s="288"/>
      <c r="AE38" s="288"/>
      <c r="AF38" s="288"/>
      <c r="AG38" s="288"/>
      <c r="AH38" s="288">
        <f t="shared" si="0"/>
        <v>26.571000000000002</v>
      </c>
      <c r="AI38" s="250">
        <v>344</v>
      </c>
      <c r="AJ38" s="248"/>
      <c r="AK38" s="292"/>
      <c r="AL38" s="251"/>
      <c r="AM38" s="250"/>
      <c r="AN38" s="250"/>
      <c r="AO38" s="293"/>
      <c r="AP38" s="251"/>
      <c r="AQ38" s="251">
        <f t="shared" si="3"/>
        <v>0</v>
      </c>
      <c r="AR38" s="287">
        <v>43970</v>
      </c>
    </row>
    <row r="39" spans="19:44" hidden="1" x14ac:dyDescent="0.35">
      <c r="S39" s="274"/>
      <c r="T39" s="113"/>
      <c r="U39" s="287">
        <v>43971</v>
      </c>
      <c r="V39" s="288">
        <v>26.515899999999998</v>
      </c>
      <c r="W39" s="288"/>
      <c r="X39" s="288"/>
      <c r="Y39" s="291">
        <f t="shared" si="1"/>
        <v>26.62051295674096</v>
      </c>
      <c r="Z39" s="291">
        <f t="shared" si="2"/>
        <v>26.753615521524662</v>
      </c>
      <c r="AA39" s="291"/>
      <c r="AB39" s="288"/>
      <c r="AC39" s="288"/>
      <c r="AD39" s="288"/>
      <c r="AE39" s="288"/>
      <c r="AF39" s="288"/>
      <c r="AG39" s="288"/>
      <c r="AH39" s="288">
        <f t="shared" si="0"/>
        <v>26.515899999999998</v>
      </c>
      <c r="AI39" s="250">
        <v>344</v>
      </c>
      <c r="AJ39" s="248"/>
      <c r="AK39" s="292"/>
      <c r="AL39" s="251"/>
      <c r="AM39" s="250"/>
      <c r="AN39" s="250"/>
      <c r="AO39" s="293">
        <v>45.696306399999997</v>
      </c>
      <c r="AP39" s="251">
        <f>AO39*0.33</f>
        <v>15.079781111999999</v>
      </c>
      <c r="AQ39" s="251">
        <f t="shared" si="3"/>
        <v>45.239343335999997</v>
      </c>
      <c r="AR39" s="287">
        <v>43971</v>
      </c>
    </row>
    <row r="40" spans="19:44" hidden="1" x14ac:dyDescent="0.35">
      <c r="S40" s="274"/>
      <c r="T40" s="113"/>
      <c r="U40" s="287">
        <v>43972</v>
      </c>
      <c r="V40" s="288">
        <v>26.5854</v>
      </c>
      <c r="W40" s="288"/>
      <c r="X40" s="288"/>
      <c r="Y40" s="291">
        <f t="shared" si="1"/>
        <v>26.601725908660466</v>
      </c>
      <c r="Z40" s="291">
        <f t="shared" si="2"/>
        <v>26.495742936912816</v>
      </c>
      <c r="AA40" s="291"/>
      <c r="AB40" s="288"/>
      <c r="AC40" s="288"/>
      <c r="AD40" s="288"/>
      <c r="AE40" s="288"/>
      <c r="AF40" s="288"/>
      <c r="AG40" s="288"/>
      <c r="AH40" s="288">
        <f t="shared" si="0"/>
        <v>26.5854</v>
      </c>
      <c r="AI40" s="250">
        <v>344</v>
      </c>
      <c r="AJ40" s="246"/>
      <c r="AK40" s="292"/>
      <c r="AL40" s="251">
        <f>AK36*0.02</f>
        <v>78.028576569012557</v>
      </c>
      <c r="AM40" s="250"/>
      <c r="AN40" s="250"/>
      <c r="AO40" s="293">
        <v>7.1127272727272723</v>
      </c>
      <c r="AP40" s="251">
        <f>AO40*0.33</f>
        <v>2.3472</v>
      </c>
      <c r="AQ40" s="251">
        <f t="shared" si="3"/>
        <v>7.0415999999999999</v>
      </c>
      <c r="AR40" s="287">
        <v>43972</v>
      </c>
    </row>
    <row r="41" spans="19:44" hidden="1" x14ac:dyDescent="0.35">
      <c r="S41" s="274"/>
      <c r="T41" s="113"/>
      <c r="U41" s="287">
        <v>43973</v>
      </c>
      <c r="V41" s="288">
        <v>26.7699</v>
      </c>
      <c r="W41" s="288"/>
      <c r="X41" s="288"/>
      <c r="Y41" s="291">
        <f t="shared" si="1"/>
        <v>26.7699</v>
      </c>
      <c r="Z41" s="291">
        <f t="shared" ref="Z41:Z47" si="4">IF(Y41/Y40&gt;1,Y41*1.005,Y41/1.004)</f>
        <v>26.903749499999996</v>
      </c>
      <c r="AA41" s="291"/>
      <c r="AB41" s="288"/>
      <c r="AC41" s="288"/>
      <c r="AD41" s="288"/>
      <c r="AE41" s="288"/>
      <c r="AF41" s="288"/>
      <c r="AG41" s="288"/>
      <c r="AH41" s="288">
        <f t="shared" si="0"/>
        <v>26.7699</v>
      </c>
      <c r="AI41" s="250">
        <v>344</v>
      </c>
      <c r="AJ41" s="246"/>
      <c r="AK41" s="292"/>
      <c r="AL41" s="251"/>
      <c r="AM41" s="250"/>
      <c r="AN41" s="250"/>
      <c r="AO41" s="293"/>
      <c r="AP41" s="251"/>
      <c r="AQ41" s="251">
        <f t="shared" si="3"/>
        <v>0</v>
      </c>
      <c r="AR41" s="287">
        <v>43973</v>
      </c>
    </row>
    <row r="42" spans="19:44" hidden="1" x14ac:dyDescent="0.35">
      <c r="S42" s="273"/>
      <c r="T42" s="113"/>
      <c r="U42" s="287">
        <v>43974</v>
      </c>
      <c r="V42" s="288">
        <v>26.7699</v>
      </c>
      <c r="W42" s="288"/>
      <c r="X42" s="288"/>
      <c r="Y42" s="291">
        <f t="shared" si="1"/>
        <v>26.789898516050584</v>
      </c>
      <c r="Z42" s="291">
        <f t="shared" si="4"/>
        <v>26.923848008630834</v>
      </c>
      <c r="AA42" s="291"/>
      <c r="AB42" s="288"/>
      <c r="AC42" s="288"/>
      <c r="AD42" s="288"/>
      <c r="AE42" s="288"/>
      <c r="AF42" s="288"/>
      <c r="AG42" s="288"/>
      <c r="AH42" s="288">
        <f t="shared" si="0"/>
        <v>26.7699</v>
      </c>
      <c r="AI42" s="250">
        <v>344</v>
      </c>
      <c r="AJ42" s="246"/>
      <c r="AK42" s="248"/>
      <c r="AL42" s="251"/>
      <c r="AM42" s="250"/>
      <c r="AN42" s="250"/>
      <c r="AO42" s="293">
        <v>8.6527272727272724</v>
      </c>
      <c r="AP42" s="251">
        <f>AO42*0.33</f>
        <v>2.8553999999999999</v>
      </c>
      <c r="AQ42" s="251">
        <f t="shared" si="3"/>
        <v>8.5662000000000003</v>
      </c>
      <c r="AR42" s="287">
        <v>43974</v>
      </c>
    </row>
    <row r="43" spans="19:44" hidden="1" x14ac:dyDescent="0.35">
      <c r="S43" s="273"/>
      <c r="T43" s="113"/>
      <c r="U43" s="287">
        <v>43975</v>
      </c>
      <c r="V43" s="288">
        <v>26.7699</v>
      </c>
      <c r="W43" s="288"/>
      <c r="X43" s="288"/>
      <c r="Y43" s="291">
        <f t="shared" si="1"/>
        <v>26.7699</v>
      </c>
      <c r="Z43" s="291">
        <f t="shared" si="4"/>
        <v>26.66324701195219</v>
      </c>
      <c r="AA43" s="291"/>
      <c r="AB43" s="288"/>
      <c r="AC43" s="288"/>
      <c r="AD43" s="288"/>
      <c r="AE43" s="288"/>
      <c r="AF43" s="288"/>
      <c r="AG43" s="288"/>
      <c r="AH43" s="288">
        <f t="shared" si="0"/>
        <v>26.7699</v>
      </c>
      <c r="AI43" s="250">
        <v>344</v>
      </c>
      <c r="AJ43" s="248">
        <f>AJ36</f>
        <v>104087</v>
      </c>
      <c r="AK43" s="248">
        <f>AJ43/V43</f>
        <v>3888.2102660077176</v>
      </c>
      <c r="AL43" s="251"/>
      <c r="AM43" s="250"/>
      <c r="AN43" s="250"/>
      <c r="AO43" s="293"/>
      <c r="AP43" s="251"/>
      <c r="AQ43" s="251">
        <f t="shared" si="3"/>
        <v>0</v>
      </c>
      <c r="AR43" s="287">
        <v>43975</v>
      </c>
    </row>
    <row r="44" spans="19:44" hidden="1" x14ac:dyDescent="0.35">
      <c r="S44" s="273"/>
      <c r="T44" s="113"/>
      <c r="U44" s="287">
        <v>43978</v>
      </c>
      <c r="V44" s="288">
        <v>26.902899999999999</v>
      </c>
      <c r="W44" s="288"/>
      <c r="X44" s="288"/>
      <c r="Y44" s="291">
        <f t="shared" si="1"/>
        <v>27.079404453825326</v>
      </c>
      <c r="Z44" s="291">
        <f t="shared" si="4"/>
        <v>27.214801476094451</v>
      </c>
      <c r="AA44" s="291"/>
      <c r="AB44" s="288"/>
      <c r="AC44" s="288"/>
      <c r="AD44" s="288"/>
      <c r="AE44" s="288"/>
      <c r="AF44" s="288"/>
      <c r="AG44" s="288"/>
      <c r="AH44" s="288">
        <f t="shared" si="0"/>
        <v>26.902899999999999</v>
      </c>
      <c r="AI44" s="250">
        <v>344</v>
      </c>
      <c r="AJ44" s="246"/>
      <c r="AK44" s="248"/>
      <c r="AL44" s="251">
        <f>AK43*0.02</f>
        <v>77.764205320154346</v>
      </c>
      <c r="AM44" s="250"/>
      <c r="AN44" s="250"/>
      <c r="AO44" s="293">
        <v>75.990370952727275</v>
      </c>
      <c r="AP44" s="251">
        <f>AO44*0.33</f>
        <v>25.076822414400002</v>
      </c>
      <c r="AQ44" s="251">
        <f t="shared" si="3"/>
        <v>75.23046724320001</v>
      </c>
      <c r="AR44" s="287">
        <v>43978</v>
      </c>
    </row>
    <row r="45" spans="19:44" hidden="1" x14ac:dyDescent="0.35">
      <c r="S45" s="273"/>
      <c r="T45" s="113"/>
      <c r="U45" s="287">
        <v>43979</v>
      </c>
      <c r="V45" s="288">
        <v>27.0002</v>
      </c>
      <c r="W45" s="288"/>
      <c r="X45" s="288"/>
      <c r="Y45" s="291">
        <f t="shared" si="1"/>
        <v>27.043117275750554</v>
      </c>
      <c r="Z45" s="291">
        <f t="shared" si="4"/>
        <v>26.935375772659913</v>
      </c>
      <c r="AA45" s="291"/>
      <c r="AB45" s="288"/>
      <c r="AC45" s="288"/>
      <c r="AD45" s="288"/>
      <c r="AE45" s="288"/>
      <c r="AF45" s="288"/>
      <c r="AG45" s="288"/>
      <c r="AH45" s="288">
        <f t="shared" si="0"/>
        <v>27.0002</v>
      </c>
      <c r="AI45" s="250">
        <v>344</v>
      </c>
      <c r="AJ45" s="246"/>
      <c r="AK45" s="248"/>
      <c r="AL45" s="250"/>
      <c r="AM45" s="250"/>
      <c r="AN45" s="250"/>
      <c r="AO45" s="293">
        <v>18.410566778181817</v>
      </c>
      <c r="AP45" s="251">
        <f>AO45*0.33</f>
        <v>6.0754870368000002</v>
      </c>
      <c r="AQ45" s="251">
        <f t="shared" si="3"/>
        <v>18.226461110400002</v>
      </c>
      <c r="AR45" s="287">
        <v>43979</v>
      </c>
    </row>
    <row r="46" spans="19:44" hidden="1" x14ac:dyDescent="0.35">
      <c r="S46" s="273"/>
      <c r="T46" s="113"/>
      <c r="U46" s="287">
        <v>43980</v>
      </c>
      <c r="V46" s="288">
        <v>26.905899999999999</v>
      </c>
      <c r="W46" s="288"/>
      <c r="X46" s="288"/>
      <c r="Y46" s="291">
        <f t="shared" si="1"/>
        <v>29.295244588904151</v>
      </c>
      <c r="Z46" s="291">
        <f t="shared" si="4"/>
        <v>29.441720811848668</v>
      </c>
      <c r="AA46" s="291"/>
      <c r="AB46" s="288"/>
      <c r="AC46" s="288"/>
      <c r="AD46" s="288"/>
      <c r="AE46" s="288"/>
      <c r="AF46" s="288"/>
      <c r="AG46" s="288"/>
      <c r="AH46" s="288">
        <f t="shared" si="0"/>
        <v>26.905899999999999</v>
      </c>
      <c r="AI46" s="250">
        <v>344</v>
      </c>
      <c r="AJ46" s="246"/>
      <c r="AK46" s="248"/>
      <c r="AL46" s="250"/>
      <c r="AM46" s="250"/>
      <c r="AN46" s="251">
        <v>1009.235</v>
      </c>
      <c r="AO46" s="293">
        <v>9.1392956945454564</v>
      </c>
      <c r="AP46" s="251">
        <f>AO46*0.33</f>
        <v>3.0159675792000007</v>
      </c>
      <c r="AQ46" s="251">
        <f t="shared" si="3"/>
        <v>1018.2829027376</v>
      </c>
      <c r="AR46" s="287">
        <v>43980</v>
      </c>
    </row>
    <row r="47" spans="19:44" hidden="1" x14ac:dyDescent="0.35">
      <c r="S47" s="273"/>
      <c r="T47" s="113"/>
      <c r="U47" s="287">
        <v>43981</v>
      </c>
      <c r="V47" s="288">
        <v>26.905899999999999</v>
      </c>
      <c r="W47" s="288"/>
      <c r="X47" s="288"/>
      <c r="Y47" s="291">
        <f t="shared" si="1"/>
        <v>26.92664499166834</v>
      </c>
      <c r="Z47" s="291">
        <f t="shared" si="4"/>
        <v>26.819367521582013</v>
      </c>
      <c r="AA47" s="291"/>
      <c r="AB47" s="288"/>
      <c r="AC47" s="288"/>
      <c r="AD47" s="288"/>
      <c r="AE47" s="288"/>
      <c r="AF47" s="288"/>
      <c r="AG47" s="288"/>
      <c r="AH47" s="288">
        <f t="shared" si="0"/>
        <v>26.905899999999999</v>
      </c>
      <c r="AI47" s="250">
        <v>344</v>
      </c>
      <c r="AJ47" s="246"/>
      <c r="AK47" s="248"/>
      <c r="AL47" s="250"/>
      <c r="AM47" s="250"/>
      <c r="AN47" s="250"/>
      <c r="AO47" s="293">
        <v>8.9303346618181827</v>
      </c>
      <c r="AP47" s="251">
        <f>AO47*0.33</f>
        <v>2.9470104384000004</v>
      </c>
      <c r="AQ47" s="251">
        <f t="shared" si="3"/>
        <v>8.8410313152000022</v>
      </c>
      <c r="AR47" s="287">
        <v>43981</v>
      </c>
    </row>
    <row r="48" spans="19:44" hidden="1" x14ac:dyDescent="0.35">
      <c r="S48" s="273"/>
      <c r="T48" s="113"/>
      <c r="U48" s="281">
        <v>43983</v>
      </c>
      <c r="V48" s="276">
        <v>26.868500000000001</v>
      </c>
      <c r="W48" s="276"/>
      <c r="X48" s="276"/>
      <c r="Y48" s="277">
        <f t="shared" si="1"/>
        <v>26.868500000000001</v>
      </c>
      <c r="Z48" s="277">
        <v>26.868500000000001</v>
      </c>
      <c r="AA48" s="278"/>
      <c r="AB48" s="276">
        <f>V78-0.15</f>
        <v>26.517600000000002</v>
      </c>
      <c r="AC48" s="276">
        <v>0.15</v>
      </c>
      <c r="AD48" s="276"/>
      <c r="AE48" s="276"/>
      <c r="AF48" s="276"/>
      <c r="AG48" s="276">
        <v>0.15</v>
      </c>
      <c r="AH48" s="288">
        <f t="shared" si="0"/>
        <v>26.868500000000001</v>
      </c>
      <c r="AI48" s="122">
        <v>344</v>
      </c>
      <c r="AJ48" s="121"/>
      <c r="AK48" s="279"/>
      <c r="AL48" s="122"/>
      <c r="AM48" s="295"/>
      <c r="AN48" s="295"/>
      <c r="AO48" s="280"/>
      <c r="AP48" s="122"/>
      <c r="AQ48" s="280">
        <f t="shared" si="3"/>
        <v>0</v>
      </c>
      <c r="AR48" s="281">
        <v>43983</v>
      </c>
    </row>
    <row r="49" spans="19:44" hidden="1" x14ac:dyDescent="0.35">
      <c r="S49" s="273"/>
      <c r="U49" s="281">
        <v>43984</v>
      </c>
      <c r="V49" s="276">
        <v>26.818100000000001</v>
      </c>
      <c r="W49" s="276"/>
      <c r="X49" s="276"/>
      <c r="Y49" s="277">
        <f t="shared" ref="Y49:Y76" si="5">V49*(((AQ49/AI49)*0.03)+1)</f>
        <v>26.818100000000001</v>
      </c>
      <c r="Z49" s="277">
        <v>26.818100000000001</v>
      </c>
      <c r="AA49" s="282">
        <f>Z49-Z48</f>
        <v>-5.0399999999999778E-2</v>
      </c>
      <c r="AB49" s="276">
        <f t="shared" ref="AB49:AB77" si="6">V79-0.15</f>
        <v>26.62</v>
      </c>
      <c r="AC49" s="276">
        <v>0.15</v>
      </c>
      <c r="AD49" s="276"/>
      <c r="AE49" s="276"/>
      <c r="AF49" s="276"/>
      <c r="AG49" s="276">
        <v>0.15</v>
      </c>
      <c r="AH49" s="288">
        <f t="shared" si="0"/>
        <v>26.818100000000001</v>
      </c>
      <c r="AI49" s="122">
        <v>344</v>
      </c>
      <c r="AJ49" s="121"/>
      <c r="AK49" s="279"/>
      <c r="AL49" s="122"/>
      <c r="AM49" s="295"/>
      <c r="AN49" s="295"/>
      <c r="AO49" s="122"/>
      <c r="AP49" s="122"/>
      <c r="AQ49" s="280">
        <f t="shared" si="3"/>
        <v>0</v>
      </c>
      <c r="AR49" s="281">
        <v>43984</v>
      </c>
    </row>
    <row r="50" spans="19:44" hidden="1" x14ac:dyDescent="0.35">
      <c r="U50" s="281">
        <v>43985</v>
      </c>
      <c r="V50" s="276">
        <v>26.795500000000001</v>
      </c>
      <c r="W50" s="276"/>
      <c r="X50" s="276"/>
      <c r="Y50" s="277">
        <f>V50*(((AQ50/AI50)*0.03)+1)</f>
        <v>26.920262561207689</v>
      </c>
      <c r="Z50" s="277">
        <v>26.795500000000001</v>
      </c>
      <c r="AA50" s="282">
        <f t="shared" ref="AA50:AA77" si="7">Z50-Z49</f>
        <v>-2.260000000000062E-2</v>
      </c>
      <c r="AB50" s="276">
        <f t="shared" si="6"/>
        <v>27.030100000000001</v>
      </c>
      <c r="AC50" s="276">
        <v>0.15</v>
      </c>
      <c r="AD50" s="276"/>
      <c r="AE50" s="276"/>
      <c r="AF50" s="276"/>
      <c r="AG50" s="276">
        <v>0.15</v>
      </c>
      <c r="AH50" s="288">
        <f t="shared" si="0"/>
        <v>26.795500000000001</v>
      </c>
      <c r="AI50" s="122">
        <v>344</v>
      </c>
      <c r="AJ50" s="121"/>
      <c r="AK50" s="283"/>
      <c r="AL50" s="121"/>
      <c r="AM50" s="295"/>
      <c r="AN50" s="295"/>
      <c r="AO50" s="284">
        <f>((0.692863578+0.07125+0.09+0.07068+0.07092+0.189483392+0.12+0.145499952)*1000)/26.9</f>
        <v>53.929253605947956</v>
      </c>
      <c r="AP50" s="284">
        <f>AO50*0.33</f>
        <v>17.796653689962827</v>
      </c>
      <c r="AQ50" s="280">
        <f t="shared" si="3"/>
        <v>53.389961069888486</v>
      </c>
      <c r="AR50" s="281">
        <v>43985</v>
      </c>
    </row>
    <row r="51" spans="19:44" hidden="1" x14ac:dyDescent="0.35">
      <c r="U51" s="281">
        <v>43986</v>
      </c>
      <c r="V51" s="276">
        <v>26.7544</v>
      </c>
      <c r="W51" s="276"/>
      <c r="X51" s="276"/>
      <c r="Y51" s="277">
        <f t="shared" si="5"/>
        <v>26.720381469302328</v>
      </c>
      <c r="Z51" s="277">
        <v>26.7544</v>
      </c>
      <c r="AA51" s="282">
        <f t="shared" si="7"/>
        <v>-4.1100000000000136E-2</v>
      </c>
      <c r="AB51" s="276">
        <f t="shared" si="6"/>
        <v>27</v>
      </c>
      <c r="AC51" s="276">
        <v>0.15</v>
      </c>
      <c r="AD51" s="276"/>
      <c r="AE51" s="276"/>
      <c r="AF51" s="276"/>
      <c r="AG51" s="276">
        <v>0.15</v>
      </c>
      <c r="AH51" s="288">
        <f t="shared" si="0"/>
        <v>26.7544</v>
      </c>
      <c r="AI51" s="122">
        <v>344</v>
      </c>
      <c r="AJ51" s="121"/>
      <c r="AK51" s="283"/>
      <c r="AL51" s="121"/>
      <c r="AM51" s="296">
        <v>14.58</v>
      </c>
      <c r="AN51" s="295"/>
      <c r="AO51" s="280"/>
      <c r="AP51" s="285"/>
      <c r="AQ51" s="280">
        <f t="shared" si="3"/>
        <v>-14.58</v>
      </c>
      <c r="AR51" s="281">
        <v>43986</v>
      </c>
    </row>
    <row r="52" spans="19:44" hidden="1" x14ac:dyDescent="0.35">
      <c r="U52" s="281">
        <v>43987</v>
      </c>
      <c r="V52" s="276">
        <v>26.6953</v>
      </c>
      <c r="W52" s="276"/>
      <c r="X52" s="276"/>
      <c r="Y52" s="277">
        <f t="shared" si="5"/>
        <v>26.6953</v>
      </c>
      <c r="Z52" s="277">
        <v>26.6953</v>
      </c>
      <c r="AA52" s="282">
        <f t="shared" si="7"/>
        <v>-5.9100000000000819E-2</v>
      </c>
      <c r="AB52" s="276">
        <f t="shared" si="6"/>
        <v>26.970000000000002</v>
      </c>
      <c r="AC52" s="276">
        <v>0.15</v>
      </c>
      <c r="AD52" s="276"/>
      <c r="AE52" s="276"/>
      <c r="AF52" s="276"/>
      <c r="AG52" s="276">
        <v>0.15</v>
      </c>
      <c r="AH52" s="288">
        <f t="shared" si="0"/>
        <v>26.6953</v>
      </c>
      <c r="AI52" s="122">
        <v>344</v>
      </c>
      <c r="AJ52" s="121"/>
      <c r="AK52" s="121"/>
      <c r="AL52" s="121"/>
      <c r="AM52" s="295"/>
      <c r="AN52" s="295"/>
      <c r="AO52" s="280"/>
      <c r="AP52" s="285"/>
      <c r="AQ52" s="280">
        <f t="shared" si="3"/>
        <v>0</v>
      </c>
      <c r="AR52" s="281">
        <v>43987</v>
      </c>
    </row>
    <row r="53" spans="19:44" hidden="1" x14ac:dyDescent="0.35">
      <c r="T53" s="275">
        <v>1</v>
      </c>
      <c r="U53" s="281">
        <v>43988</v>
      </c>
      <c r="V53" s="286">
        <v>26.6953</v>
      </c>
      <c r="W53" s="286"/>
      <c r="X53" s="286"/>
      <c r="Y53" s="277">
        <f t="shared" si="5"/>
        <v>26.6953</v>
      </c>
      <c r="Z53" s="277">
        <v>26.6953</v>
      </c>
      <c r="AA53" s="282">
        <f t="shared" si="7"/>
        <v>0</v>
      </c>
      <c r="AB53" s="276">
        <f t="shared" si="6"/>
        <v>26.93</v>
      </c>
      <c r="AC53" s="276">
        <v>0.15</v>
      </c>
      <c r="AD53" s="276"/>
      <c r="AE53" s="276"/>
      <c r="AF53" s="276"/>
      <c r="AG53" s="276">
        <v>0.15</v>
      </c>
      <c r="AH53" s="288">
        <f t="shared" si="0"/>
        <v>26.6953</v>
      </c>
      <c r="AI53" s="122">
        <v>344</v>
      </c>
      <c r="AJ53" s="121"/>
      <c r="AK53" s="121"/>
      <c r="AL53" s="121"/>
      <c r="AM53" s="295"/>
      <c r="AN53" s="295"/>
      <c r="AO53" s="280"/>
      <c r="AP53" s="285"/>
      <c r="AQ53" s="280">
        <f t="shared" si="3"/>
        <v>0</v>
      </c>
      <c r="AR53" s="281">
        <v>43988</v>
      </c>
    </row>
    <row r="54" spans="19:44" hidden="1" x14ac:dyDescent="0.35">
      <c r="T54" s="275">
        <v>2</v>
      </c>
      <c r="U54" s="281">
        <v>43989</v>
      </c>
      <c r="V54" s="286">
        <v>26.6953</v>
      </c>
      <c r="W54" s="286"/>
      <c r="X54" s="286"/>
      <c r="Y54" s="277">
        <f t="shared" si="5"/>
        <v>26.6953</v>
      </c>
      <c r="Z54" s="277">
        <v>26.6953</v>
      </c>
      <c r="AA54" s="282">
        <f t="shared" si="7"/>
        <v>0</v>
      </c>
      <c r="AB54" s="276">
        <f t="shared" si="6"/>
        <v>26.880000000000003</v>
      </c>
      <c r="AC54" s="276">
        <v>0.15</v>
      </c>
      <c r="AD54" s="276"/>
      <c r="AE54" s="276"/>
      <c r="AF54" s="276"/>
      <c r="AG54" s="276">
        <v>0.15</v>
      </c>
      <c r="AH54" s="288">
        <f t="shared" si="0"/>
        <v>26.6953</v>
      </c>
      <c r="AI54" s="122">
        <v>344</v>
      </c>
      <c r="AJ54" s="121"/>
      <c r="AK54" s="121"/>
      <c r="AL54" s="121"/>
      <c r="AM54" s="295"/>
      <c r="AN54" s="295"/>
      <c r="AO54" s="280"/>
      <c r="AP54" s="285"/>
      <c r="AQ54" s="280">
        <f t="shared" si="3"/>
        <v>0</v>
      </c>
      <c r="AR54" s="281">
        <v>43989</v>
      </c>
    </row>
    <row r="55" spans="19:44" hidden="1" x14ac:dyDescent="0.35">
      <c r="T55" s="275">
        <v>3</v>
      </c>
      <c r="U55" s="281">
        <v>43990</v>
      </c>
      <c r="V55" s="286">
        <v>26.6953</v>
      </c>
      <c r="W55" s="286"/>
      <c r="X55" s="286"/>
      <c r="Y55" s="277">
        <f>V55*(((AQ55/AI55)*0.03)+1)</f>
        <v>26.6953</v>
      </c>
      <c r="Z55" s="277">
        <v>26.6953</v>
      </c>
      <c r="AA55" s="282">
        <f t="shared" si="7"/>
        <v>0</v>
      </c>
      <c r="AB55" s="276">
        <f t="shared" si="6"/>
        <v>26.8</v>
      </c>
      <c r="AC55" s="276">
        <v>0.15</v>
      </c>
      <c r="AD55" s="276"/>
      <c r="AE55" s="276"/>
      <c r="AF55" s="276"/>
      <c r="AG55" s="276">
        <v>0.15</v>
      </c>
      <c r="AH55" s="288">
        <f t="shared" si="0"/>
        <v>26.6953</v>
      </c>
      <c r="AI55" s="122">
        <v>344</v>
      </c>
      <c r="AJ55" s="121"/>
      <c r="AK55" s="121"/>
      <c r="AL55" s="121"/>
      <c r="AM55" s="295"/>
      <c r="AN55" s="295"/>
      <c r="AO55" s="280"/>
      <c r="AP55" s="285"/>
      <c r="AQ55" s="280">
        <f t="shared" si="3"/>
        <v>0</v>
      </c>
      <c r="AR55" s="281">
        <v>43990</v>
      </c>
    </row>
    <row r="56" spans="19:44" hidden="1" x14ac:dyDescent="0.35">
      <c r="T56" s="275">
        <v>4</v>
      </c>
      <c r="U56" s="281">
        <v>43991</v>
      </c>
      <c r="V56" s="286">
        <v>26.6005</v>
      </c>
      <c r="W56" s="286"/>
      <c r="X56" s="286"/>
      <c r="Y56" s="277">
        <f t="shared" si="5"/>
        <v>26.6005</v>
      </c>
      <c r="Z56" s="277">
        <v>26.6005</v>
      </c>
      <c r="AA56" s="282">
        <f t="shared" si="7"/>
        <v>-9.4799999999999329E-2</v>
      </c>
      <c r="AB56" s="276">
        <f t="shared" si="6"/>
        <v>26.75</v>
      </c>
      <c r="AC56" s="276">
        <v>0.15</v>
      </c>
      <c r="AD56" s="276"/>
      <c r="AE56" s="276"/>
      <c r="AF56" s="276"/>
      <c r="AG56" s="276">
        <v>0.15</v>
      </c>
      <c r="AH56" s="288">
        <f t="shared" si="0"/>
        <v>26.6005</v>
      </c>
      <c r="AI56" s="122">
        <v>344</v>
      </c>
      <c r="AJ56" s="121"/>
      <c r="AK56" s="121"/>
      <c r="AL56" s="121"/>
      <c r="AM56" s="295"/>
      <c r="AN56" s="295"/>
      <c r="AO56" s="280"/>
      <c r="AP56" s="285"/>
      <c r="AQ56" s="280">
        <f t="shared" si="3"/>
        <v>0</v>
      </c>
      <c r="AR56" s="281">
        <v>43991</v>
      </c>
    </row>
    <row r="57" spans="19:44" hidden="1" x14ac:dyDescent="0.35">
      <c r="T57" s="275">
        <v>5</v>
      </c>
      <c r="U57" s="281">
        <v>43992</v>
      </c>
      <c r="V57" s="286">
        <v>26.641200000000001</v>
      </c>
      <c r="W57" s="286"/>
      <c r="X57" s="286"/>
      <c r="Y57" s="277">
        <f t="shared" si="5"/>
        <v>26.647292954822124</v>
      </c>
      <c r="Z57" s="277">
        <v>26.641200000000001</v>
      </c>
      <c r="AA57" s="282">
        <f t="shared" si="7"/>
        <v>4.0700000000001069E-2</v>
      </c>
      <c r="AB57" s="276">
        <f t="shared" si="6"/>
        <v>26.7835</v>
      </c>
      <c r="AC57" s="276">
        <v>0.15</v>
      </c>
      <c r="AD57" s="276"/>
      <c r="AE57" s="276"/>
      <c r="AF57" s="276"/>
      <c r="AG57" s="276">
        <v>0.15</v>
      </c>
      <c r="AH57" s="288">
        <f t="shared" si="0"/>
        <v>26.641200000000001</v>
      </c>
      <c r="AI57" s="122">
        <v>344</v>
      </c>
      <c r="AJ57" s="121"/>
      <c r="AK57" s="121"/>
      <c r="AL57" s="121"/>
      <c r="AM57" s="295"/>
      <c r="AN57" s="295"/>
      <c r="AO57" s="284">
        <f>((0.00000715+0.07125)*1000)/26.9</f>
        <v>2.64896468401487</v>
      </c>
      <c r="AP57" s="284">
        <f>AO57*0.33</f>
        <v>0.87415834572490714</v>
      </c>
      <c r="AQ57" s="280">
        <f t="shared" si="3"/>
        <v>2.6224750371747216</v>
      </c>
      <c r="AR57" s="281">
        <v>43992</v>
      </c>
    </row>
    <row r="58" spans="19:44" hidden="1" x14ac:dyDescent="0.35">
      <c r="T58" s="275">
        <v>6</v>
      </c>
      <c r="U58" s="281">
        <v>43993</v>
      </c>
      <c r="V58" s="286">
        <v>26.636700000000001</v>
      </c>
      <c r="W58" s="286"/>
      <c r="X58" s="286"/>
      <c r="Y58" s="277">
        <f t="shared" si="5"/>
        <v>26.636700000000001</v>
      </c>
      <c r="Z58" s="277">
        <v>26.636700000000001</v>
      </c>
      <c r="AA58" s="282">
        <f t="shared" si="7"/>
        <v>-4.5000000000001705E-3</v>
      </c>
      <c r="AB58" s="276">
        <f t="shared" si="6"/>
        <v>26.7835</v>
      </c>
      <c r="AC58" s="276">
        <v>0.15</v>
      </c>
      <c r="AD58" s="276"/>
      <c r="AE58" s="276"/>
      <c r="AF58" s="276"/>
      <c r="AG58" s="276">
        <v>0.15</v>
      </c>
      <c r="AH58" s="288">
        <f t="shared" si="0"/>
        <v>26.636700000000001</v>
      </c>
      <c r="AI58" s="122">
        <v>344</v>
      </c>
      <c r="AJ58" s="121"/>
      <c r="AK58" s="121"/>
      <c r="AL58" s="121"/>
      <c r="AM58" s="295"/>
      <c r="AN58" s="295"/>
      <c r="AO58" s="280"/>
      <c r="AP58" s="285"/>
      <c r="AQ58" s="280">
        <f t="shared" si="3"/>
        <v>0</v>
      </c>
      <c r="AR58" s="281">
        <v>43993</v>
      </c>
    </row>
    <row r="59" spans="19:44" hidden="1" x14ac:dyDescent="0.35">
      <c r="T59" s="275">
        <v>7</v>
      </c>
      <c r="U59" s="281">
        <v>43994</v>
      </c>
      <c r="V59" s="286">
        <v>26.599900000000002</v>
      </c>
      <c r="W59" s="286"/>
      <c r="X59" s="286"/>
      <c r="Y59" s="277">
        <f t="shared" si="5"/>
        <v>26.48391206395349</v>
      </c>
      <c r="Z59" s="277">
        <v>26.599900000000002</v>
      </c>
      <c r="AA59" s="282">
        <f t="shared" si="7"/>
        <v>-3.67999999999995E-2</v>
      </c>
      <c r="AB59" s="276">
        <f t="shared" si="6"/>
        <v>26.7835</v>
      </c>
      <c r="AC59" s="276">
        <v>0.15</v>
      </c>
      <c r="AD59" s="276"/>
      <c r="AE59" s="276"/>
      <c r="AF59" s="276"/>
      <c r="AG59" s="276">
        <v>0.15</v>
      </c>
      <c r="AH59" s="288">
        <f t="shared" si="0"/>
        <v>26.599900000000002</v>
      </c>
      <c r="AI59" s="122">
        <v>344</v>
      </c>
      <c r="AJ59" s="121"/>
      <c r="AK59" s="121"/>
      <c r="AL59" s="121"/>
      <c r="AM59" s="295"/>
      <c r="AN59" s="295">
        <v>1750</v>
      </c>
      <c r="AO59" s="280"/>
      <c r="AP59" s="285"/>
      <c r="AQ59" s="280">
        <v>-50</v>
      </c>
      <c r="AR59" s="281">
        <v>43994</v>
      </c>
    </row>
    <row r="60" spans="19:44" hidden="1" x14ac:dyDescent="0.35">
      <c r="T60" s="275">
        <v>8</v>
      </c>
      <c r="U60" s="281">
        <v>43995</v>
      </c>
      <c r="V60" s="286">
        <v>26.599900000000002</v>
      </c>
      <c r="W60" s="286"/>
      <c r="X60" s="286"/>
      <c r="Y60" s="277">
        <f t="shared" si="5"/>
        <v>26.48391206395349</v>
      </c>
      <c r="Z60" s="277">
        <v>26.599900000000002</v>
      </c>
      <c r="AA60" s="282">
        <f t="shared" si="7"/>
        <v>0</v>
      </c>
      <c r="AB60" s="276">
        <f t="shared" si="6"/>
        <v>26.800500000000003</v>
      </c>
      <c r="AC60" s="276">
        <v>0.15</v>
      </c>
      <c r="AD60" s="276"/>
      <c r="AE60" s="276"/>
      <c r="AF60" s="276"/>
      <c r="AG60" s="276">
        <v>0.15</v>
      </c>
      <c r="AH60" s="288">
        <f t="shared" si="0"/>
        <v>26.599900000000002</v>
      </c>
      <c r="AI60" s="122">
        <v>344</v>
      </c>
      <c r="AJ60" s="121"/>
      <c r="AK60" s="121"/>
      <c r="AL60" s="121"/>
      <c r="AM60" s="295"/>
      <c r="AN60" s="295"/>
      <c r="AO60" s="280"/>
      <c r="AP60" s="285"/>
      <c r="AQ60" s="280">
        <v>-50</v>
      </c>
      <c r="AR60" s="281">
        <v>43995</v>
      </c>
    </row>
    <row r="61" spans="19:44" hidden="1" x14ac:dyDescent="0.35">
      <c r="T61" s="275">
        <v>9</v>
      </c>
      <c r="U61" s="281">
        <v>43996</v>
      </c>
      <c r="V61" s="286">
        <v>26.599900000000002</v>
      </c>
      <c r="W61" s="286"/>
      <c r="X61" s="286"/>
      <c r="Y61" s="277">
        <f t="shared" si="5"/>
        <v>26.48391206395349</v>
      </c>
      <c r="Z61" s="277">
        <v>26.599900000000002</v>
      </c>
      <c r="AA61" s="282">
        <f t="shared" si="7"/>
        <v>0</v>
      </c>
      <c r="AB61" s="276">
        <f t="shared" si="6"/>
        <v>26.938300000000002</v>
      </c>
      <c r="AC61" s="276">
        <v>0.15</v>
      </c>
      <c r="AD61" s="276"/>
      <c r="AE61" s="276"/>
      <c r="AF61" s="276"/>
      <c r="AG61" s="276">
        <v>0.15</v>
      </c>
      <c r="AH61" s="288">
        <f t="shared" si="0"/>
        <v>26.599900000000002</v>
      </c>
      <c r="AI61" s="122">
        <v>344</v>
      </c>
      <c r="AJ61" s="121"/>
      <c r="AK61" s="121"/>
      <c r="AL61" s="121"/>
      <c r="AM61" s="295"/>
      <c r="AN61" s="295"/>
      <c r="AO61" s="280"/>
      <c r="AP61" s="285"/>
      <c r="AQ61" s="280">
        <v>-50</v>
      </c>
      <c r="AR61" s="281">
        <v>43996</v>
      </c>
    </row>
    <row r="62" spans="19:44" hidden="1" x14ac:dyDescent="0.35">
      <c r="T62" s="275">
        <v>10</v>
      </c>
      <c r="U62" s="281">
        <v>43997</v>
      </c>
      <c r="V62" s="286">
        <v>26.7303</v>
      </c>
      <c r="W62" s="286"/>
      <c r="X62" s="286"/>
      <c r="Y62" s="277">
        <f t="shared" si="5"/>
        <v>26.613743459302324</v>
      </c>
      <c r="Z62" s="277">
        <v>26.7303</v>
      </c>
      <c r="AA62" s="282">
        <f t="shared" si="7"/>
        <v>0.13039999999999807</v>
      </c>
      <c r="AB62" s="276">
        <f t="shared" si="6"/>
        <v>26.993600000000001</v>
      </c>
      <c r="AC62" s="276">
        <v>0.15</v>
      </c>
      <c r="AD62" s="276"/>
      <c r="AE62" s="276"/>
      <c r="AF62" s="276"/>
      <c r="AG62" s="276">
        <v>0.15</v>
      </c>
      <c r="AH62" s="288">
        <f t="shared" si="0"/>
        <v>26.7303</v>
      </c>
      <c r="AI62" s="122">
        <v>344</v>
      </c>
      <c r="AJ62" s="121"/>
      <c r="AK62" s="121"/>
      <c r="AL62" s="121"/>
      <c r="AM62" s="295"/>
      <c r="AN62" s="295"/>
      <c r="AO62" s="280"/>
      <c r="AP62" s="285"/>
      <c r="AQ62" s="280">
        <v>-50</v>
      </c>
      <c r="AR62" s="281">
        <v>43997</v>
      </c>
    </row>
    <row r="63" spans="19:44" hidden="1" x14ac:dyDescent="0.35">
      <c r="T63" s="275">
        <v>11</v>
      </c>
      <c r="U63" s="281">
        <v>43998</v>
      </c>
      <c r="V63" s="286">
        <v>26.844000000000001</v>
      </c>
      <c r="W63" s="286"/>
      <c r="X63" s="286"/>
      <c r="Y63" s="277">
        <f t="shared" si="5"/>
        <v>26.844000000000001</v>
      </c>
      <c r="Z63" s="277">
        <v>26.844000000000001</v>
      </c>
      <c r="AA63" s="282">
        <f t="shared" si="7"/>
        <v>0.11370000000000147</v>
      </c>
      <c r="AB63" s="276">
        <f t="shared" si="6"/>
        <v>26.969000000000001</v>
      </c>
      <c r="AC63" s="276">
        <v>0.15</v>
      </c>
      <c r="AD63" s="276"/>
      <c r="AE63" s="276"/>
      <c r="AF63" s="276"/>
      <c r="AG63" s="276">
        <v>0.15</v>
      </c>
      <c r="AH63" s="288">
        <f t="shared" si="0"/>
        <v>26.844000000000001</v>
      </c>
      <c r="AI63" s="122">
        <v>344</v>
      </c>
      <c r="AJ63" s="121"/>
      <c r="AK63" s="121"/>
      <c r="AL63" s="121"/>
      <c r="AM63" s="295"/>
      <c r="AN63" s="295"/>
      <c r="AO63" s="280"/>
      <c r="AP63" s="285"/>
      <c r="AQ63" s="280">
        <f t="shared" ref="AQ63:AQ122" si="8">-AM63+AN63+(AP63*3)</f>
        <v>0</v>
      </c>
      <c r="AR63" s="281">
        <v>43998</v>
      </c>
    </row>
    <row r="64" spans="19:44" hidden="1" x14ac:dyDescent="0.35">
      <c r="T64" s="275">
        <v>12</v>
      </c>
      <c r="U64" s="281">
        <v>43999</v>
      </c>
      <c r="V64" s="286">
        <v>26.7424</v>
      </c>
      <c r="W64" s="286"/>
      <c r="X64" s="286"/>
      <c r="Y64" s="277">
        <f t="shared" si="5"/>
        <v>26.765865475790008</v>
      </c>
      <c r="Z64" s="277">
        <v>26.7424</v>
      </c>
      <c r="AA64" s="282">
        <f t="shared" si="7"/>
        <v>-0.10160000000000124</v>
      </c>
      <c r="AB64" s="276">
        <f t="shared" si="6"/>
        <v>27.123800000000003</v>
      </c>
      <c r="AC64" s="276">
        <v>0.15</v>
      </c>
      <c r="AD64" s="276"/>
      <c r="AE64" s="276"/>
      <c r="AF64" s="276"/>
      <c r="AG64" s="276">
        <v>0.15</v>
      </c>
      <c r="AH64" s="288">
        <f t="shared" si="0"/>
        <v>26.7424</v>
      </c>
      <c r="AI64" s="122">
        <v>344</v>
      </c>
      <c r="AJ64" s="121"/>
      <c r="AK64" s="121"/>
      <c r="AL64" s="121"/>
      <c r="AM64" s="295"/>
      <c r="AN64" s="295"/>
      <c r="AO64" s="284">
        <f>((0.273390398)*1000)/26.9</f>
        <v>10.163211821561339</v>
      </c>
      <c r="AP64" s="284">
        <f>AO64*0.33</f>
        <v>3.3538599011152419</v>
      </c>
      <c r="AQ64" s="280">
        <f t="shared" si="8"/>
        <v>10.061579703345725</v>
      </c>
      <c r="AR64" s="281">
        <v>43999</v>
      </c>
    </row>
    <row r="65" spans="20:44" hidden="1" x14ac:dyDescent="0.35">
      <c r="T65" s="275">
        <v>13</v>
      </c>
      <c r="U65" s="281">
        <v>44000</v>
      </c>
      <c r="V65" s="286">
        <v>26.776</v>
      </c>
      <c r="W65" s="286"/>
      <c r="X65" s="286"/>
      <c r="Y65" s="277">
        <f t="shared" si="5"/>
        <v>26.542488372093022</v>
      </c>
      <c r="Z65" s="277">
        <v>26.776</v>
      </c>
      <c r="AA65" s="282">
        <f t="shared" si="7"/>
        <v>3.3599999999999852E-2</v>
      </c>
      <c r="AB65" s="276">
        <f t="shared" si="6"/>
        <v>27.123800000000003</v>
      </c>
      <c r="AC65" s="276">
        <v>0.15</v>
      </c>
      <c r="AD65" s="276"/>
      <c r="AE65" s="276"/>
      <c r="AF65" s="276"/>
      <c r="AG65" s="276">
        <v>0.15</v>
      </c>
      <c r="AH65" s="288">
        <f t="shared" si="0"/>
        <v>26.776</v>
      </c>
      <c r="AI65" s="122">
        <v>344</v>
      </c>
      <c r="AJ65" s="121"/>
      <c r="AK65" s="121"/>
      <c r="AL65" s="121"/>
      <c r="AM65" s="296">
        <f>8.73+807.1</f>
        <v>815.83</v>
      </c>
      <c r="AN65" s="295"/>
      <c r="AO65" s="280"/>
      <c r="AP65" s="285"/>
      <c r="AQ65" s="280">
        <v>-100</v>
      </c>
      <c r="AR65" s="281">
        <v>44000</v>
      </c>
    </row>
    <row r="66" spans="20:44" hidden="1" x14ac:dyDescent="0.35">
      <c r="T66" s="275">
        <v>14</v>
      </c>
      <c r="U66" s="281">
        <v>44001</v>
      </c>
      <c r="V66" s="286">
        <v>26.763300000000001</v>
      </c>
      <c r="W66" s="286"/>
      <c r="X66" s="286"/>
      <c r="Y66" s="277">
        <f t="shared" si="5"/>
        <v>26.763300000000001</v>
      </c>
      <c r="Z66" s="277">
        <v>26.763300000000001</v>
      </c>
      <c r="AA66" s="282">
        <f t="shared" si="7"/>
        <v>-1.2699999999998823E-2</v>
      </c>
      <c r="AB66" s="276">
        <f t="shared" si="6"/>
        <v>27.123800000000003</v>
      </c>
      <c r="AC66" s="276">
        <v>0.15</v>
      </c>
      <c r="AD66" s="276"/>
      <c r="AE66" s="276"/>
      <c r="AF66" s="276"/>
      <c r="AG66" s="276">
        <v>0.15</v>
      </c>
      <c r="AH66" s="288">
        <f t="shared" si="0"/>
        <v>26.763300000000001</v>
      </c>
      <c r="AI66" s="122">
        <v>344</v>
      </c>
      <c r="AJ66" s="121"/>
      <c r="AK66" s="121"/>
      <c r="AL66" s="121"/>
      <c r="AM66" s="295"/>
      <c r="AN66" s="295"/>
      <c r="AO66" s="280"/>
      <c r="AP66" s="280"/>
      <c r="AQ66" s="280">
        <f t="shared" si="8"/>
        <v>0</v>
      </c>
      <c r="AR66" s="281">
        <v>44001</v>
      </c>
    </row>
    <row r="67" spans="20:44" hidden="1" x14ac:dyDescent="0.35">
      <c r="T67" s="275">
        <v>15</v>
      </c>
      <c r="U67" s="281">
        <v>44002</v>
      </c>
      <c r="V67" s="286">
        <v>26.763300000000001</v>
      </c>
      <c r="W67" s="286"/>
      <c r="X67" s="286"/>
      <c r="Y67" s="277">
        <f t="shared" si="5"/>
        <v>26.93660014752907</v>
      </c>
      <c r="Z67" s="277">
        <v>26.763300000000001</v>
      </c>
      <c r="AA67" s="282">
        <f t="shared" si="7"/>
        <v>0</v>
      </c>
      <c r="AB67" s="276">
        <f t="shared" si="6"/>
        <v>27.210600000000003</v>
      </c>
      <c r="AC67" s="276">
        <v>0.15</v>
      </c>
      <c r="AD67" s="276"/>
      <c r="AE67" s="276"/>
      <c r="AF67" s="276"/>
      <c r="AG67" s="276">
        <v>0.15</v>
      </c>
      <c r="AH67" s="288">
        <f t="shared" si="0"/>
        <v>26.763300000000001</v>
      </c>
      <c r="AI67" s="122">
        <v>344</v>
      </c>
      <c r="AJ67" s="121"/>
      <c r="AK67" s="121"/>
      <c r="AL67" s="121"/>
      <c r="AM67" s="295"/>
      <c r="AN67" s="296">
        <v>74.25</v>
      </c>
      <c r="AO67" s="280"/>
      <c r="AP67" s="280"/>
      <c r="AQ67" s="280">
        <f t="shared" si="8"/>
        <v>74.25</v>
      </c>
      <c r="AR67" s="281">
        <v>44002</v>
      </c>
    </row>
    <row r="68" spans="20:44" hidden="1" x14ac:dyDescent="0.35">
      <c r="T68" s="275">
        <v>16</v>
      </c>
      <c r="U68" s="281">
        <v>44003</v>
      </c>
      <c r="V68" s="286">
        <v>26.763300000000001</v>
      </c>
      <c r="W68" s="286"/>
      <c r="X68" s="286"/>
      <c r="Y68" s="277">
        <f t="shared" si="5"/>
        <v>26.763300000000001</v>
      </c>
      <c r="Z68" s="277">
        <v>26.763300000000001</v>
      </c>
      <c r="AA68" s="282">
        <f t="shared" si="7"/>
        <v>0</v>
      </c>
      <c r="AB68" s="276">
        <f t="shared" si="6"/>
        <v>27.4511</v>
      </c>
      <c r="AC68" s="276">
        <v>0.15</v>
      </c>
      <c r="AD68" s="276"/>
      <c r="AE68" s="276"/>
      <c r="AF68" s="276"/>
      <c r="AG68" s="276">
        <v>0.15</v>
      </c>
      <c r="AH68" s="288">
        <f t="shared" si="0"/>
        <v>26.763300000000001</v>
      </c>
      <c r="AI68" s="122">
        <v>344</v>
      </c>
      <c r="AJ68" s="121"/>
      <c r="AK68" s="121"/>
      <c r="AL68" s="121"/>
      <c r="AM68" s="295"/>
      <c r="AN68" s="295"/>
      <c r="AO68" s="280"/>
      <c r="AP68" s="280"/>
      <c r="AQ68" s="280">
        <f t="shared" si="8"/>
        <v>0</v>
      </c>
      <c r="AR68" s="281">
        <v>44003</v>
      </c>
    </row>
    <row r="69" spans="20:44" hidden="1" x14ac:dyDescent="0.35">
      <c r="T69" s="275">
        <v>17</v>
      </c>
      <c r="U69" s="281">
        <v>44004</v>
      </c>
      <c r="V69" s="286">
        <v>26.720700000000001</v>
      </c>
      <c r="W69" s="286"/>
      <c r="X69" s="286"/>
      <c r="Y69" s="277">
        <f t="shared" si="5"/>
        <v>26.720700000000001</v>
      </c>
      <c r="Z69" s="277">
        <v>26.720700000000001</v>
      </c>
      <c r="AA69" s="282">
        <f t="shared" si="7"/>
        <v>-4.2600000000000193E-2</v>
      </c>
      <c r="AB69" s="276">
        <f t="shared" si="6"/>
        <v>27.514700000000001</v>
      </c>
      <c r="AC69" s="276">
        <v>0.15</v>
      </c>
      <c r="AD69" s="276"/>
      <c r="AE69" s="276"/>
      <c r="AF69" s="276"/>
      <c r="AG69" s="276">
        <v>0.15</v>
      </c>
      <c r="AH69" s="288">
        <f t="shared" si="0"/>
        <v>26.720700000000001</v>
      </c>
      <c r="AI69" s="122">
        <v>344</v>
      </c>
      <c r="AJ69" s="121"/>
      <c r="AK69" s="121"/>
      <c r="AL69" s="121"/>
      <c r="AM69" s="156"/>
      <c r="AN69" s="156"/>
      <c r="AO69" s="280"/>
      <c r="AP69" s="280"/>
      <c r="AQ69" s="280">
        <f t="shared" si="8"/>
        <v>0</v>
      </c>
      <c r="AR69" s="281">
        <v>44004</v>
      </c>
    </row>
    <row r="70" spans="20:44" hidden="1" x14ac:dyDescent="0.35">
      <c r="T70" s="275">
        <v>18</v>
      </c>
      <c r="U70" s="281">
        <v>44005</v>
      </c>
      <c r="V70" s="286">
        <v>26.669499999999999</v>
      </c>
      <c r="W70" s="286"/>
      <c r="X70" s="286"/>
      <c r="Y70" s="277">
        <f>V70*(((AQ70/AI70)*0.03)+1)</f>
        <v>26.669499999999999</v>
      </c>
      <c r="Z70" s="277">
        <v>26.669499999999999</v>
      </c>
      <c r="AA70" s="282">
        <f t="shared" si="7"/>
        <v>-5.1200000000001467E-2</v>
      </c>
      <c r="AB70" s="276">
        <f t="shared" si="6"/>
        <v>27.629800000000003</v>
      </c>
      <c r="AC70" s="276">
        <v>0.15</v>
      </c>
      <c r="AD70" s="276"/>
      <c r="AE70" s="276"/>
      <c r="AF70" s="276"/>
      <c r="AG70" s="276">
        <v>0.15</v>
      </c>
      <c r="AH70" s="288">
        <f t="shared" si="0"/>
        <v>26.669499999999999</v>
      </c>
      <c r="AI70" s="122">
        <v>344</v>
      </c>
      <c r="AJ70" s="121"/>
      <c r="AK70" s="121"/>
      <c r="AL70" s="121"/>
      <c r="AM70" s="282"/>
      <c r="AN70" s="282"/>
      <c r="AO70" s="280"/>
      <c r="AP70" s="280"/>
      <c r="AQ70" s="280">
        <f t="shared" si="8"/>
        <v>0</v>
      </c>
      <c r="AR70" s="281">
        <v>44005</v>
      </c>
    </row>
    <row r="71" spans="20:44" hidden="1" x14ac:dyDescent="0.35">
      <c r="T71" s="275">
        <v>19</v>
      </c>
      <c r="U71" s="281">
        <v>44006</v>
      </c>
      <c r="V71" s="286">
        <v>26.607800000000001</v>
      </c>
      <c r="W71" s="286"/>
      <c r="X71" s="286"/>
      <c r="Y71" s="277">
        <f t="shared" si="5"/>
        <v>26.607800000000001</v>
      </c>
      <c r="Z71" s="277">
        <v>26.607800000000001</v>
      </c>
      <c r="AA71" s="282">
        <f t="shared" si="7"/>
        <v>-6.1699999999998312E-2</v>
      </c>
      <c r="AB71" s="276">
        <f t="shared" si="6"/>
        <v>27.727900000000002</v>
      </c>
      <c r="AC71" s="276">
        <v>0.15</v>
      </c>
      <c r="AD71" s="276"/>
      <c r="AE71" s="276"/>
      <c r="AF71" s="276"/>
      <c r="AG71" s="276">
        <v>0.15</v>
      </c>
      <c r="AH71" s="288">
        <f t="shared" ref="AH71:AH86" si="9">V71</f>
        <v>26.607800000000001</v>
      </c>
      <c r="AI71" s="122">
        <v>344</v>
      </c>
      <c r="AJ71" s="121"/>
      <c r="AK71" s="121"/>
      <c r="AL71" s="121"/>
      <c r="AM71" s="282"/>
      <c r="AN71" s="282"/>
      <c r="AO71" s="280"/>
      <c r="AP71" s="280"/>
      <c r="AQ71" s="280">
        <f t="shared" si="8"/>
        <v>0</v>
      </c>
      <c r="AR71" s="281">
        <v>44006</v>
      </c>
    </row>
    <row r="72" spans="20:44" hidden="1" x14ac:dyDescent="0.35">
      <c r="T72" s="275">
        <v>20</v>
      </c>
      <c r="U72" s="281">
        <v>44007</v>
      </c>
      <c r="V72" s="286">
        <v>26.6509</v>
      </c>
      <c r="W72" s="286"/>
      <c r="X72" s="286"/>
      <c r="Y72" s="277">
        <f t="shared" si="5"/>
        <v>26.6509</v>
      </c>
      <c r="Z72" s="277">
        <v>26.6509</v>
      </c>
      <c r="AA72" s="282">
        <f t="shared" si="7"/>
        <v>4.3099999999999028E-2</v>
      </c>
      <c r="AB72" s="276">
        <f t="shared" si="6"/>
        <v>27.727900000000002</v>
      </c>
      <c r="AC72" s="276">
        <v>0.15</v>
      </c>
      <c r="AD72" s="276"/>
      <c r="AE72" s="276"/>
      <c r="AF72" s="276"/>
      <c r="AG72" s="276">
        <v>0.15</v>
      </c>
      <c r="AH72" s="288">
        <f t="shared" si="9"/>
        <v>26.6509</v>
      </c>
      <c r="AI72" s="122">
        <v>344</v>
      </c>
      <c r="AJ72" s="121"/>
      <c r="AK72" s="121"/>
      <c r="AL72" s="121"/>
      <c r="AM72" s="282"/>
      <c r="AN72" s="282"/>
      <c r="AO72" s="280"/>
      <c r="AP72" s="280"/>
      <c r="AQ72" s="280">
        <f t="shared" si="8"/>
        <v>0</v>
      </c>
      <c r="AR72" s="281">
        <v>44007</v>
      </c>
    </row>
    <row r="73" spans="20:44" hidden="1" x14ac:dyDescent="0.35">
      <c r="T73" s="275">
        <v>21</v>
      </c>
      <c r="U73" s="281">
        <v>44008</v>
      </c>
      <c r="V73" s="286">
        <v>26.700199999999999</v>
      </c>
      <c r="W73" s="286"/>
      <c r="X73" s="286"/>
      <c r="Y73" s="277">
        <f t="shared" si="5"/>
        <v>26.700199999999999</v>
      </c>
      <c r="Z73" s="277">
        <v>26.700199999999999</v>
      </c>
      <c r="AA73" s="282">
        <f t="shared" si="7"/>
        <v>4.9299999999998789E-2</v>
      </c>
      <c r="AB73" s="276">
        <f t="shared" si="6"/>
        <v>27.727900000000002</v>
      </c>
      <c r="AC73" s="276">
        <v>0.15</v>
      </c>
      <c r="AD73" s="276"/>
      <c r="AE73" s="276"/>
      <c r="AF73" s="276"/>
      <c r="AG73" s="276">
        <v>0.15</v>
      </c>
      <c r="AH73" s="288">
        <f t="shared" si="9"/>
        <v>26.700199999999999</v>
      </c>
      <c r="AI73" s="122">
        <v>344</v>
      </c>
      <c r="AJ73" s="121"/>
      <c r="AK73" s="121"/>
      <c r="AL73" s="121"/>
      <c r="AM73" s="282"/>
      <c r="AN73" s="282"/>
      <c r="AO73" s="280"/>
      <c r="AP73" s="280"/>
      <c r="AQ73" s="280">
        <f t="shared" si="8"/>
        <v>0</v>
      </c>
      <c r="AR73" s="281">
        <v>44008</v>
      </c>
    </row>
    <row r="74" spans="20:44" hidden="1" x14ac:dyDescent="0.35">
      <c r="T74" s="275">
        <v>22</v>
      </c>
      <c r="U74" s="281">
        <v>44009</v>
      </c>
      <c r="V74" s="286">
        <v>26.700199999999999</v>
      </c>
      <c r="W74" s="286"/>
      <c r="X74" s="286"/>
      <c r="Y74" s="277">
        <f t="shared" si="5"/>
        <v>26.700199999999999</v>
      </c>
      <c r="Z74" s="277">
        <v>26.700199999999999</v>
      </c>
      <c r="AA74" s="282">
        <f t="shared" si="7"/>
        <v>0</v>
      </c>
      <c r="AB74" s="276">
        <f t="shared" si="6"/>
        <v>27.605900000000002</v>
      </c>
      <c r="AC74" s="276">
        <v>0.15</v>
      </c>
      <c r="AD74" s="276"/>
      <c r="AE74" s="276"/>
      <c r="AF74" s="276"/>
      <c r="AG74" s="276">
        <v>0.15</v>
      </c>
      <c r="AH74" s="288">
        <f t="shared" si="9"/>
        <v>26.700199999999999</v>
      </c>
      <c r="AI74" s="122">
        <v>344</v>
      </c>
      <c r="AJ74" s="121"/>
      <c r="AK74" s="121"/>
      <c r="AL74" s="121"/>
      <c r="AM74" s="121"/>
      <c r="AN74" s="121"/>
      <c r="AO74" s="280"/>
      <c r="AP74" s="280"/>
      <c r="AQ74" s="280">
        <f t="shared" si="8"/>
        <v>0</v>
      </c>
      <c r="AR74" s="281">
        <v>44009</v>
      </c>
    </row>
    <row r="75" spans="20:44" hidden="1" x14ac:dyDescent="0.35">
      <c r="T75" s="275">
        <v>23</v>
      </c>
      <c r="U75" s="281">
        <v>44010</v>
      </c>
      <c r="V75" s="286">
        <v>26.700199999999999</v>
      </c>
      <c r="W75" s="286"/>
      <c r="X75" s="286"/>
      <c r="Y75" s="277">
        <f t="shared" si="5"/>
        <v>26.700199999999999</v>
      </c>
      <c r="Z75" s="277">
        <v>26.700199999999999</v>
      </c>
      <c r="AA75" s="282">
        <f t="shared" si="7"/>
        <v>0</v>
      </c>
      <c r="AB75" s="276">
        <f t="shared" si="6"/>
        <v>27.607100000000003</v>
      </c>
      <c r="AC75" s="276">
        <v>0.15</v>
      </c>
      <c r="AD75" s="276"/>
      <c r="AE75" s="276"/>
      <c r="AF75" s="276"/>
      <c r="AG75" s="276">
        <v>0.15</v>
      </c>
      <c r="AH75" s="288">
        <f t="shared" si="9"/>
        <v>26.700199999999999</v>
      </c>
      <c r="AI75" s="122">
        <v>344</v>
      </c>
      <c r="AJ75" s="121"/>
      <c r="AK75" s="121"/>
      <c r="AL75" s="121"/>
      <c r="AM75" s="121"/>
      <c r="AN75" s="121"/>
      <c r="AO75" s="280"/>
      <c r="AP75" s="280"/>
      <c r="AQ75" s="280">
        <f t="shared" si="8"/>
        <v>0</v>
      </c>
      <c r="AR75" s="281">
        <v>44010</v>
      </c>
    </row>
    <row r="76" spans="20:44" hidden="1" x14ac:dyDescent="0.35">
      <c r="T76" s="275">
        <v>24</v>
      </c>
      <c r="U76" s="281">
        <v>44011</v>
      </c>
      <c r="V76" s="286">
        <v>26.700199999999999</v>
      </c>
      <c r="W76" s="286"/>
      <c r="X76" s="286"/>
      <c r="Y76" s="277">
        <f t="shared" si="5"/>
        <v>26.700199999999999</v>
      </c>
      <c r="Z76" s="277">
        <v>26.700199999999999</v>
      </c>
      <c r="AA76" s="282">
        <f t="shared" si="7"/>
        <v>0</v>
      </c>
      <c r="AB76" s="276">
        <f t="shared" si="6"/>
        <v>27.5351</v>
      </c>
      <c r="AC76" s="276">
        <v>0.15</v>
      </c>
      <c r="AD76" s="276"/>
      <c r="AE76" s="276"/>
      <c r="AF76" s="276"/>
      <c r="AG76" s="276">
        <v>0.15</v>
      </c>
      <c r="AH76" s="288">
        <f t="shared" si="9"/>
        <v>26.700199999999999</v>
      </c>
      <c r="AI76" s="122">
        <v>344</v>
      </c>
      <c r="AJ76" s="121"/>
      <c r="AK76" s="121"/>
      <c r="AL76" s="121"/>
      <c r="AM76" s="121"/>
      <c r="AN76" s="121"/>
      <c r="AO76" s="280"/>
      <c r="AP76" s="280"/>
      <c r="AQ76" s="280">
        <f t="shared" si="8"/>
        <v>0</v>
      </c>
      <c r="AR76" s="281">
        <v>44011</v>
      </c>
    </row>
    <row r="77" spans="20:44" hidden="1" x14ac:dyDescent="0.35">
      <c r="T77" s="275">
        <v>25</v>
      </c>
      <c r="U77" s="281">
        <v>44012</v>
      </c>
      <c r="V77" s="286">
        <v>26.6922</v>
      </c>
      <c r="W77" s="286"/>
      <c r="X77" s="286"/>
      <c r="Y77" s="277">
        <f>V77*(((AQ77/AI77)*0.06)+1)</f>
        <v>26.6922</v>
      </c>
      <c r="Z77" s="277">
        <v>26.6922</v>
      </c>
      <c r="AA77" s="282">
        <f t="shared" si="7"/>
        <v>-7.9999999999991189E-3</v>
      </c>
      <c r="AB77" s="276">
        <f t="shared" si="6"/>
        <v>27.5367</v>
      </c>
      <c r="AC77" s="276">
        <v>0.15</v>
      </c>
      <c r="AD77" s="276"/>
      <c r="AE77" s="276"/>
      <c r="AF77" s="276"/>
      <c r="AG77" s="276">
        <v>0.15</v>
      </c>
      <c r="AH77" s="288">
        <f t="shared" si="9"/>
        <v>26.6922</v>
      </c>
      <c r="AI77" s="122">
        <v>344</v>
      </c>
      <c r="AJ77" s="121"/>
      <c r="AK77" s="121"/>
      <c r="AL77" s="121"/>
      <c r="AM77" s="121"/>
      <c r="AN77" s="121"/>
      <c r="AO77" s="280"/>
      <c r="AP77" s="280"/>
      <c r="AQ77" s="280">
        <f t="shared" si="8"/>
        <v>0</v>
      </c>
      <c r="AR77" s="281">
        <v>44012</v>
      </c>
    </row>
    <row r="78" spans="20:44" hidden="1" x14ac:dyDescent="0.35">
      <c r="U78" s="281">
        <v>44013</v>
      </c>
      <c r="V78" s="306">
        <v>26.6676</v>
      </c>
      <c r="W78" s="306"/>
      <c r="X78" s="306"/>
      <c r="Y78" s="277">
        <f>V78*(((AQ78/AI78)*0.06)+1)</f>
        <v>26.699268783651767</v>
      </c>
      <c r="Z78" s="277">
        <v>26.6676</v>
      </c>
      <c r="AB78" s="276">
        <f>Z78-0.15</f>
        <v>26.517600000000002</v>
      </c>
      <c r="AC78" s="276">
        <v>0.15</v>
      </c>
      <c r="AD78" s="276"/>
      <c r="AE78" s="276"/>
      <c r="AF78" s="276"/>
      <c r="AG78" s="276">
        <v>0.15</v>
      </c>
      <c r="AH78" s="288">
        <f t="shared" si="9"/>
        <v>26.6676</v>
      </c>
      <c r="AI78" s="122">
        <v>344</v>
      </c>
      <c r="AO78" s="301">
        <f>(0.0087+0.1763)*1000/26.9</f>
        <v>6.87732342007435</v>
      </c>
      <c r="AP78" s="284">
        <f>AO78*0.33</f>
        <v>2.2695167286245357</v>
      </c>
      <c r="AQ78" s="280">
        <f t="shared" si="8"/>
        <v>6.8085501858736066</v>
      </c>
      <c r="AR78" s="281">
        <v>44013</v>
      </c>
    </row>
    <row r="79" spans="20:44" hidden="1" x14ac:dyDescent="0.35">
      <c r="U79" s="281">
        <v>44014</v>
      </c>
      <c r="V79" s="306">
        <v>26.77</v>
      </c>
      <c r="W79" s="306"/>
      <c r="X79" s="306"/>
      <c r="Y79" s="277">
        <f t="shared" ref="Y79:Y107" si="10">V79*(((AQ79/AI79)*0.06)+1)</f>
        <v>26.77</v>
      </c>
      <c r="Z79" s="277">
        <v>26.77</v>
      </c>
      <c r="AB79" s="276">
        <f t="shared" ref="AB79:AB142" si="11">Z79-0.15</f>
        <v>26.62</v>
      </c>
      <c r="AC79" s="276">
        <v>0.15</v>
      </c>
      <c r="AD79" s="276"/>
      <c r="AE79" s="276"/>
      <c r="AF79" s="276"/>
      <c r="AG79" s="276">
        <v>0.15</v>
      </c>
      <c r="AH79" s="288">
        <f t="shared" si="9"/>
        <v>26.77</v>
      </c>
      <c r="AI79" s="122">
        <v>344</v>
      </c>
      <c r="AO79" s="114"/>
      <c r="AQ79" s="280">
        <f t="shared" si="8"/>
        <v>0</v>
      </c>
      <c r="AR79" s="281">
        <v>44014</v>
      </c>
    </row>
    <row r="80" spans="20:44" hidden="1" x14ac:dyDescent="0.35">
      <c r="T80" s="113"/>
      <c r="U80" s="281">
        <v>44015</v>
      </c>
      <c r="V80" s="306">
        <v>27.180099999999999</v>
      </c>
      <c r="W80" s="306"/>
      <c r="X80" s="306"/>
      <c r="Y80" s="277">
        <f t="shared" si="10"/>
        <v>27.180099999999999</v>
      </c>
      <c r="Z80" s="277">
        <v>27.180099999999999</v>
      </c>
      <c r="AB80" s="276">
        <f t="shared" si="11"/>
        <v>27.030100000000001</v>
      </c>
      <c r="AC80" s="276">
        <v>0.15</v>
      </c>
      <c r="AD80" s="276"/>
      <c r="AE80" s="276"/>
      <c r="AF80" s="276"/>
      <c r="AG80" s="276">
        <v>0.15</v>
      </c>
      <c r="AH80" s="288">
        <f t="shared" si="9"/>
        <v>27.180099999999999</v>
      </c>
      <c r="AI80" s="122">
        <v>344</v>
      </c>
      <c r="AM80" s="238"/>
      <c r="AN80" s="238"/>
      <c r="AO80" s="114"/>
      <c r="AQ80" s="280">
        <f t="shared" si="8"/>
        <v>0</v>
      </c>
      <c r="AR80" s="281">
        <v>44015</v>
      </c>
    </row>
    <row r="81" spans="20:44" hidden="1" x14ac:dyDescent="0.35">
      <c r="U81" s="281">
        <v>44016</v>
      </c>
      <c r="V81" s="306">
        <v>27.15</v>
      </c>
      <c r="W81" s="306"/>
      <c r="X81" s="306"/>
      <c r="Y81" s="277">
        <f t="shared" si="10"/>
        <v>27.15</v>
      </c>
      <c r="Z81" s="277">
        <f t="shared" ref="Z81:Z107" si="12">((IF(Y81/Y80&gt;1,Y81*1.005,Y81/1.004))*2+V81)/3</f>
        <v>27.077888446215137</v>
      </c>
      <c r="AB81" s="276">
        <f t="shared" si="11"/>
        <v>26.927888446215139</v>
      </c>
      <c r="AC81" s="276">
        <v>0.15</v>
      </c>
      <c r="AD81" s="276"/>
      <c r="AE81" s="276"/>
      <c r="AF81" s="276"/>
      <c r="AG81" s="276">
        <v>0.15</v>
      </c>
      <c r="AH81" s="288">
        <f t="shared" si="9"/>
        <v>27.15</v>
      </c>
      <c r="AI81" s="122">
        <v>344</v>
      </c>
      <c r="AM81" s="238"/>
      <c r="AN81" s="238"/>
      <c r="AO81" s="114"/>
      <c r="AQ81" s="280">
        <f t="shared" si="8"/>
        <v>0</v>
      </c>
      <c r="AR81" s="281">
        <v>44016</v>
      </c>
    </row>
    <row r="82" spans="20:44" hidden="1" x14ac:dyDescent="0.35">
      <c r="U82" s="281">
        <v>44017</v>
      </c>
      <c r="V82" s="306">
        <v>27.12</v>
      </c>
      <c r="W82" s="306"/>
      <c r="X82" s="306"/>
      <c r="Y82" s="277">
        <f t="shared" si="10"/>
        <v>27.12</v>
      </c>
      <c r="Z82" s="277">
        <f t="shared" si="12"/>
        <v>27.047968127490041</v>
      </c>
      <c r="AB82" s="276">
        <f t="shared" si="11"/>
        <v>26.897968127490042</v>
      </c>
      <c r="AC82" s="276">
        <v>0.15</v>
      </c>
      <c r="AD82" s="276"/>
      <c r="AE82" s="276"/>
      <c r="AF82" s="276"/>
      <c r="AG82" s="276">
        <v>0.15</v>
      </c>
      <c r="AH82" s="288">
        <f t="shared" si="9"/>
        <v>27.12</v>
      </c>
      <c r="AI82" s="122">
        <v>344</v>
      </c>
      <c r="AM82" s="238"/>
      <c r="AN82" s="238"/>
      <c r="AO82" s="114"/>
      <c r="AQ82" s="280">
        <f t="shared" si="8"/>
        <v>0</v>
      </c>
      <c r="AR82" s="281">
        <v>44017</v>
      </c>
    </row>
    <row r="83" spans="20:44" hidden="1" x14ac:dyDescent="0.35">
      <c r="U83" s="281">
        <v>44018</v>
      </c>
      <c r="V83" s="306">
        <v>27.08</v>
      </c>
      <c r="W83" s="306"/>
      <c r="X83" s="306"/>
      <c r="Y83" s="277">
        <f t="shared" si="10"/>
        <v>27.08</v>
      </c>
      <c r="Z83" s="277">
        <f t="shared" si="12"/>
        <v>27.008074369189909</v>
      </c>
      <c r="AB83" s="276">
        <f t="shared" si="11"/>
        <v>26.858074369189911</v>
      </c>
      <c r="AC83" s="276">
        <v>0.15</v>
      </c>
      <c r="AD83" s="276"/>
      <c r="AE83" s="276"/>
      <c r="AF83" s="276"/>
      <c r="AG83" s="276">
        <v>0.15</v>
      </c>
      <c r="AH83" s="288">
        <f t="shared" si="9"/>
        <v>27.08</v>
      </c>
      <c r="AI83" s="122">
        <v>344</v>
      </c>
      <c r="AM83" s="238"/>
      <c r="AN83" s="238"/>
      <c r="AO83" s="114"/>
      <c r="AQ83" s="280">
        <f t="shared" si="8"/>
        <v>0</v>
      </c>
      <c r="AR83" s="281">
        <v>44018</v>
      </c>
    </row>
    <row r="84" spans="20:44" hidden="1" x14ac:dyDescent="0.35">
      <c r="U84" s="281">
        <v>44019</v>
      </c>
      <c r="V84" s="306">
        <v>27.03</v>
      </c>
      <c r="W84" s="306"/>
      <c r="X84" s="306"/>
      <c r="Y84" s="277">
        <f t="shared" si="10"/>
        <v>27.03</v>
      </c>
      <c r="Z84" s="277">
        <f t="shared" si="12"/>
        <v>26.95820717131474</v>
      </c>
      <c r="AB84" s="276">
        <f t="shared" si="11"/>
        <v>26.808207171314741</v>
      </c>
      <c r="AC84" s="276">
        <v>0.15</v>
      </c>
      <c r="AD84" s="276"/>
      <c r="AE84" s="276"/>
      <c r="AF84" s="276"/>
      <c r="AG84" s="276">
        <v>0.15</v>
      </c>
      <c r="AH84" s="288">
        <f t="shared" si="9"/>
        <v>27.03</v>
      </c>
      <c r="AI84" s="122">
        <v>344</v>
      </c>
      <c r="AM84" s="238"/>
      <c r="AN84" s="238"/>
      <c r="AO84" s="114"/>
      <c r="AQ84" s="280">
        <f t="shared" si="8"/>
        <v>0</v>
      </c>
      <c r="AR84" s="281">
        <v>44019</v>
      </c>
    </row>
    <row r="85" spans="20:44" hidden="1" x14ac:dyDescent="0.35">
      <c r="U85" s="281">
        <v>44020</v>
      </c>
      <c r="V85" s="306">
        <v>26.95</v>
      </c>
      <c r="W85" s="306"/>
      <c r="X85" s="306"/>
      <c r="Y85" s="277">
        <f t="shared" si="10"/>
        <v>28.20682869726377</v>
      </c>
      <c r="Z85" s="277">
        <v>27.3</v>
      </c>
      <c r="AB85" s="276">
        <f t="shared" si="11"/>
        <v>27.150000000000002</v>
      </c>
      <c r="AC85" s="276">
        <v>0.15</v>
      </c>
      <c r="AD85" s="276"/>
      <c r="AE85" s="276"/>
      <c r="AF85" s="276"/>
      <c r="AG85" s="276">
        <v>0.15</v>
      </c>
      <c r="AH85" s="288">
        <f t="shared" si="9"/>
        <v>26.95</v>
      </c>
      <c r="AI85" s="122">
        <v>344</v>
      </c>
      <c r="AM85" s="238"/>
      <c r="AN85" s="238"/>
      <c r="AO85" s="114">
        <f>(6.7659+0.4992)*1000/26.9</f>
        <v>270.07806691449815</v>
      </c>
      <c r="AP85" s="284">
        <f>AO85*0.33</f>
        <v>89.125762081784387</v>
      </c>
      <c r="AQ85" s="280">
        <f t="shared" si="8"/>
        <v>267.37728624535316</v>
      </c>
      <c r="AR85" s="281">
        <v>44020</v>
      </c>
    </row>
    <row r="86" spans="20:44" hidden="1" x14ac:dyDescent="0.35">
      <c r="U86" s="281">
        <v>44021</v>
      </c>
      <c r="V86" s="306">
        <v>26.9</v>
      </c>
      <c r="W86" s="306"/>
      <c r="X86" s="306"/>
      <c r="Y86" s="277">
        <f t="shared" si="10"/>
        <v>23.748946511627903</v>
      </c>
      <c r="Z86" s="277">
        <v>27.15</v>
      </c>
      <c r="AB86" s="276">
        <f t="shared" si="11"/>
        <v>27</v>
      </c>
      <c r="AC86" s="276">
        <v>0.15</v>
      </c>
      <c r="AD86" s="276"/>
      <c r="AE86" s="276"/>
      <c r="AF86" s="276"/>
      <c r="AG86" s="276">
        <v>0.15</v>
      </c>
      <c r="AH86" s="288">
        <f t="shared" si="9"/>
        <v>26.9</v>
      </c>
      <c r="AI86" s="122">
        <v>344</v>
      </c>
      <c r="AM86" s="238">
        <f>0.6716*1000</f>
        <v>671.6</v>
      </c>
      <c r="AN86" s="238"/>
      <c r="AO86" s="114"/>
      <c r="AQ86" s="280">
        <f t="shared" si="8"/>
        <v>-671.6</v>
      </c>
      <c r="AR86" s="281">
        <v>44021</v>
      </c>
    </row>
    <row r="87" spans="20:44" ht="18.75" hidden="1" x14ac:dyDescent="0.35">
      <c r="T87" s="113">
        <v>1</v>
      </c>
      <c r="U87" s="281">
        <v>44022</v>
      </c>
      <c r="V87" s="337">
        <v>26.933499999999999</v>
      </c>
      <c r="W87" s="337"/>
      <c r="X87" s="337"/>
      <c r="Y87" s="277">
        <f>V87*(((AQ87/AI87)*0.06)+1)</f>
        <v>26.933499999999999</v>
      </c>
      <c r="Z87" s="277">
        <f t="shared" si="12"/>
        <v>27.023278333333327</v>
      </c>
      <c r="AB87" s="276">
        <f t="shared" si="11"/>
        <v>26.873278333333328</v>
      </c>
      <c r="AC87" s="276">
        <v>0.15</v>
      </c>
      <c r="AD87" s="276"/>
      <c r="AE87" s="276"/>
      <c r="AF87" s="276"/>
      <c r="AG87" s="276">
        <v>0.15</v>
      </c>
      <c r="AH87" s="309">
        <f>Z87</f>
        <v>27.023278333333327</v>
      </c>
      <c r="AI87" s="122">
        <v>344</v>
      </c>
      <c r="AM87" s="238"/>
      <c r="AN87" s="238"/>
      <c r="AO87" s="114"/>
      <c r="AQ87" s="280">
        <f t="shared" si="8"/>
        <v>0</v>
      </c>
      <c r="AR87" s="281">
        <v>44022</v>
      </c>
    </row>
    <row r="88" spans="20:44" ht="18.75" hidden="1" x14ac:dyDescent="0.35">
      <c r="T88" s="113">
        <v>2</v>
      </c>
      <c r="U88" s="281">
        <v>44023</v>
      </c>
      <c r="V88" s="337">
        <v>26.933499999999999</v>
      </c>
      <c r="W88" s="337"/>
      <c r="X88" s="337"/>
      <c r="Y88" s="277">
        <f>V88*(((AQ88/AI88)*0.06)+1)</f>
        <v>26.933499999999999</v>
      </c>
      <c r="Z88" s="277">
        <f t="shared" si="12"/>
        <v>26.861963479415667</v>
      </c>
      <c r="AB88" s="276">
        <f t="shared" si="11"/>
        <v>26.711963479415669</v>
      </c>
      <c r="AC88" s="276">
        <v>0.15</v>
      </c>
      <c r="AD88" s="276"/>
      <c r="AE88" s="276"/>
      <c r="AF88" s="276"/>
      <c r="AG88" s="276">
        <v>0.15</v>
      </c>
      <c r="AH88" s="309">
        <f t="shared" ref="AH88:AH108" si="13">Z88</f>
        <v>26.861963479415667</v>
      </c>
      <c r="AI88" s="122">
        <v>344</v>
      </c>
      <c r="AM88" s="238"/>
      <c r="AN88" s="238"/>
      <c r="AO88" s="114"/>
      <c r="AQ88" s="280">
        <f t="shared" si="8"/>
        <v>0</v>
      </c>
      <c r="AR88" s="281">
        <v>44023</v>
      </c>
    </row>
    <row r="89" spans="20:44" hidden="1" x14ac:dyDescent="0.35">
      <c r="T89" s="113">
        <v>3</v>
      </c>
      <c r="U89" s="281">
        <v>44024</v>
      </c>
      <c r="V89" s="306">
        <v>26.933499999999999</v>
      </c>
      <c r="W89" s="306"/>
      <c r="X89" s="306"/>
      <c r="Y89" s="277">
        <f t="shared" si="10"/>
        <v>26.933499999999999</v>
      </c>
      <c r="Z89" s="277">
        <f t="shared" si="12"/>
        <v>26.861963479415667</v>
      </c>
      <c r="AB89" s="276">
        <f t="shared" si="11"/>
        <v>26.711963479415669</v>
      </c>
      <c r="AC89" s="276">
        <v>0.15</v>
      </c>
      <c r="AD89" s="276"/>
      <c r="AE89" s="276"/>
      <c r="AF89" s="276"/>
      <c r="AG89" s="276">
        <v>0.15</v>
      </c>
      <c r="AH89" s="309">
        <f t="shared" si="13"/>
        <v>26.861963479415667</v>
      </c>
      <c r="AI89" s="122">
        <v>344</v>
      </c>
      <c r="AM89" s="238"/>
      <c r="AN89" s="238"/>
      <c r="AO89" s="114"/>
      <c r="AQ89" s="280">
        <f t="shared" si="8"/>
        <v>0</v>
      </c>
      <c r="AR89" s="281">
        <v>44024</v>
      </c>
    </row>
    <row r="90" spans="20:44" hidden="1" x14ac:dyDescent="0.35">
      <c r="T90" s="113">
        <v>4</v>
      </c>
      <c r="U90" s="281">
        <v>44025</v>
      </c>
      <c r="V90" s="306">
        <v>26.950500000000002</v>
      </c>
      <c r="W90" s="306"/>
      <c r="X90" s="306"/>
      <c r="Y90" s="277">
        <f t="shared" si="10"/>
        <v>26.950500000000002</v>
      </c>
      <c r="Z90" s="277">
        <f t="shared" si="12"/>
        <v>27.040334999999999</v>
      </c>
      <c r="AB90" s="276">
        <f t="shared" si="11"/>
        <v>26.890335</v>
      </c>
      <c r="AC90" s="276">
        <v>0.15</v>
      </c>
      <c r="AD90" s="276"/>
      <c r="AE90" s="276"/>
      <c r="AF90" s="276"/>
      <c r="AG90" s="276">
        <v>0.15</v>
      </c>
      <c r="AH90" s="309">
        <f t="shared" si="13"/>
        <v>27.040334999999999</v>
      </c>
      <c r="AI90" s="122">
        <v>344</v>
      </c>
      <c r="AM90" s="238"/>
      <c r="AN90" s="238"/>
      <c r="AO90" s="114"/>
      <c r="AQ90" s="280">
        <f t="shared" si="8"/>
        <v>0</v>
      </c>
      <c r="AR90" s="281">
        <v>44025</v>
      </c>
    </row>
    <row r="91" spans="20:44" hidden="1" x14ac:dyDescent="0.35">
      <c r="T91" s="113">
        <v>5</v>
      </c>
      <c r="U91" s="281">
        <v>44026</v>
      </c>
      <c r="V91" s="306">
        <v>27.0883</v>
      </c>
      <c r="W91" s="306"/>
      <c r="X91" s="306"/>
      <c r="Y91" s="277">
        <f t="shared" si="10"/>
        <v>27.0883</v>
      </c>
      <c r="Z91" s="277">
        <f t="shared" si="12"/>
        <v>27.178594333333333</v>
      </c>
      <c r="AB91" s="276">
        <f t="shared" si="11"/>
        <v>27.028594333333334</v>
      </c>
      <c r="AC91" s="276">
        <v>0.15</v>
      </c>
      <c r="AD91" s="276"/>
      <c r="AE91" s="276"/>
      <c r="AF91" s="276"/>
      <c r="AG91" s="276">
        <v>0.15</v>
      </c>
      <c r="AH91" s="309">
        <f t="shared" si="13"/>
        <v>27.178594333333333</v>
      </c>
      <c r="AI91" s="122">
        <v>344</v>
      </c>
      <c r="AM91" s="238"/>
      <c r="AN91" s="238"/>
      <c r="AO91" s="114"/>
      <c r="AQ91" s="280">
        <f t="shared" si="8"/>
        <v>0</v>
      </c>
      <c r="AR91" s="281">
        <v>44026</v>
      </c>
    </row>
    <row r="92" spans="20:44" hidden="1" x14ac:dyDescent="0.35">
      <c r="T92" s="113">
        <v>6</v>
      </c>
      <c r="U92" s="281">
        <v>44027</v>
      </c>
      <c r="V92" s="306">
        <v>27.143599999999999</v>
      </c>
      <c r="W92" s="306"/>
      <c r="X92" s="306"/>
      <c r="Y92" s="277">
        <f t="shared" si="10"/>
        <v>27.182577066785683</v>
      </c>
      <c r="Z92" s="277">
        <f t="shared" si="12"/>
        <v>27.260193301413072</v>
      </c>
      <c r="AB92" s="276">
        <f t="shared" si="11"/>
        <v>27.110193301413073</v>
      </c>
      <c r="AC92" s="276">
        <v>0.15</v>
      </c>
      <c r="AD92" s="276"/>
      <c r="AE92" s="276"/>
      <c r="AF92" s="276"/>
      <c r="AG92" s="276">
        <v>0.15</v>
      </c>
      <c r="AH92" s="309">
        <f t="shared" si="13"/>
        <v>27.260193301413072</v>
      </c>
      <c r="AI92" s="122">
        <v>344</v>
      </c>
      <c r="AM92" s="238"/>
      <c r="AN92" s="238"/>
      <c r="AO92" s="114">
        <f>(0.1763+0.0474)*1000/26.9</f>
        <v>8.3159851301115246</v>
      </c>
      <c r="AP92" s="284">
        <f>AO92*0.33</f>
        <v>2.7442750929368032</v>
      </c>
      <c r="AQ92" s="280">
        <f t="shared" si="8"/>
        <v>8.2328252788104095</v>
      </c>
      <c r="AR92" s="281">
        <v>44027</v>
      </c>
    </row>
    <row r="93" spans="20:44" hidden="1" x14ac:dyDescent="0.35">
      <c r="T93" s="113">
        <v>7</v>
      </c>
      <c r="U93" s="281">
        <v>44028</v>
      </c>
      <c r="V93" s="306">
        <v>27.119</v>
      </c>
      <c r="W93" s="306"/>
      <c r="X93" s="306"/>
      <c r="Y93" s="277">
        <f t="shared" si="10"/>
        <v>27.119</v>
      </c>
      <c r="Z93" s="277">
        <f t="shared" si="12"/>
        <v>27.046970783532533</v>
      </c>
      <c r="AB93" s="276">
        <f t="shared" si="11"/>
        <v>26.896970783532534</v>
      </c>
      <c r="AC93" s="276">
        <v>0.15</v>
      </c>
      <c r="AD93" s="276"/>
      <c r="AE93" s="276"/>
      <c r="AF93" s="276"/>
      <c r="AG93" s="276">
        <v>0.15</v>
      </c>
      <c r="AH93" s="309">
        <f t="shared" si="13"/>
        <v>27.046970783532533</v>
      </c>
      <c r="AI93" s="122">
        <v>344</v>
      </c>
      <c r="AM93" s="238"/>
      <c r="AN93" s="238"/>
      <c r="AO93" s="114"/>
      <c r="AQ93" s="280">
        <f t="shared" si="8"/>
        <v>0</v>
      </c>
      <c r="AR93" s="281">
        <v>44028</v>
      </c>
    </row>
    <row r="94" spans="20:44" hidden="1" x14ac:dyDescent="0.35">
      <c r="T94" s="113">
        <v>8</v>
      </c>
      <c r="U94" s="281">
        <v>44029</v>
      </c>
      <c r="V94" s="306">
        <v>27.273800000000001</v>
      </c>
      <c r="W94" s="306"/>
      <c r="X94" s="306"/>
      <c r="Y94" s="277">
        <f t="shared" si="10"/>
        <v>27.273800000000001</v>
      </c>
      <c r="Z94" s="277">
        <f t="shared" si="12"/>
        <v>27.364712666666666</v>
      </c>
      <c r="AB94" s="276">
        <f t="shared" si="11"/>
        <v>27.214712666666667</v>
      </c>
      <c r="AC94" s="276">
        <v>0.15</v>
      </c>
      <c r="AD94" s="276"/>
      <c r="AE94" s="276"/>
      <c r="AF94" s="276"/>
      <c r="AG94" s="276">
        <v>0.15</v>
      </c>
      <c r="AH94" s="309">
        <f t="shared" si="13"/>
        <v>27.364712666666666</v>
      </c>
      <c r="AI94" s="122">
        <v>344</v>
      </c>
      <c r="AM94" s="238"/>
      <c r="AN94" s="238"/>
      <c r="AO94" s="114"/>
      <c r="AQ94" s="280">
        <f t="shared" si="8"/>
        <v>0</v>
      </c>
      <c r="AR94" s="281">
        <v>44029</v>
      </c>
    </row>
    <row r="95" spans="20:44" hidden="1" x14ac:dyDescent="0.35">
      <c r="T95" s="113">
        <v>9</v>
      </c>
      <c r="U95" s="281">
        <v>44030</v>
      </c>
      <c r="V95" s="306">
        <v>27.273800000000001</v>
      </c>
      <c r="W95" s="306"/>
      <c r="X95" s="306"/>
      <c r="Y95" s="277">
        <f t="shared" si="10"/>
        <v>27.273800000000001</v>
      </c>
      <c r="Z95" s="277">
        <f t="shared" si="12"/>
        <v>27.201359628154052</v>
      </c>
      <c r="AB95" s="276">
        <f t="shared" si="11"/>
        <v>27.051359628154053</v>
      </c>
      <c r="AC95" s="276">
        <v>0.15</v>
      </c>
      <c r="AD95" s="276"/>
      <c r="AE95" s="276"/>
      <c r="AF95" s="276"/>
      <c r="AG95" s="276">
        <v>0.15</v>
      </c>
      <c r="AH95" s="309">
        <f t="shared" si="13"/>
        <v>27.201359628154052</v>
      </c>
      <c r="AI95" s="122">
        <v>344</v>
      </c>
      <c r="AM95" s="238"/>
      <c r="AN95" s="238"/>
      <c r="AO95" s="114"/>
      <c r="AQ95" s="280">
        <f t="shared" si="8"/>
        <v>0</v>
      </c>
      <c r="AR95" s="281">
        <v>44030</v>
      </c>
    </row>
    <row r="96" spans="20:44" hidden="1" x14ac:dyDescent="0.35">
      <c r="T96" s="113">
        <v>10</v>
      </c>
      <c r="U96" s="281">
        <v>44031</v>
      </c>
      <c r="V96" s="306">
        <v>27.273800000000001</v>
      </c>
      <c r="W96" s="306"/>
      <c r="X96" s="306"/>
      <c r="Y96" s="277">
        <f t="shared" si="10"/>
        <v>27.273800000000001</v>
      </c>
      <c r="Z96" s="277">
        <f t="shared" si="12"/>
        <v>27.201359628154052</v>
      </c>
      <c r="AB96" s="276">
        <f t="shared" si="11"/>
        <v>27.051359628154053</v>
      </c>
      <c r="AC96" s="276">
        <v>0.15</v>
      </c>
      <c r="AD96" s="276"/>
      <c r="AE96" s="276"/>
      <c r="AF96" s="276"/>
      <c r="AG96" s="276">
        <v>0.15</v>
      </c>
      <c r="AH96" s="309">
        <f t="shared" si="13"/>
        <v>27.201359628154052</v>
      </c>
      <c r="AI96" s="122">
        <v>344</v>
      </c>
      <c r="AM96" s="238"/>
      <c r="AN96" s="238"/>
      <c r="AO96" s="114"/>
      <c r="AQ96" s="280">
        <f t="shared" si="8"/>
        <v>0</v>
      </c>
      <c r="AR96" s="281">
        <v>44031</v>
      </c>
    </row>
    <row r="97" spans="20:47" hidden="1" x14ac:dyDescent="0.35">
      <c r="T97" s="113">
        <v>11</v>
      </c>
      <c r="U97" s="281">
        <v>44032</v>
      </c>
      <c r="V97" s="306">
        <v>27.360600000000002</v>
      </c>
      <c r="W97" s="306"/>
      <c r="X97" s="306"/>
      <c r="Y97" s="277">
        <f t="shared" si="10"/>
        <v>27.360600000000002</v>
      </c>
      <c r="Z97" s="277">
        <f t="shared" si="12"/>
        <v>27.451802000000001</v>
      </c>
      <c r="AB97" s="276">
        <f t="shared" si="11"/>
        <v>27.301802000000002</v>
      </c>
      <c r="AC97" s="276">
        <v>0.15</v>
      </c>
      <c r="AD97" s="276"/>
      <c r="AE97" s="276"/>
      <c r="AF97" s="276"/>
      <c r="AG97" s="276">
        <v>0.15</v>
      </c>
      <c r="AH97" s="309">
        <f t="shared" si="13"/>
        <v>27.451802000000001</v>
      </c>
      <c r="AI97" s="122">
        <v>344</v>
      </c>
      <c r="AM97" s="238"/>
      <c r="AN97" s="238"/>
      <c r="AO97" s="114"/>
      <c r="AQ97" s="280">
        <f t="shared" si="8"/>
        <v>0</v>
      </c>
      <c r="AR97" s="281">
        <v>44032</v>
      </c>
    </row>
    <row r="98" spans="20:47" hidden="1" x14ac:dyDescent="0.35">
      <c r="T98" s="113">
        <v>12</v>
      </c>
      <c r="U98" s="281">
        <v>44033</v>
      </c>
      <c r="V98" s="306">
        <v>27.601099999999999</v>
      </c>
      <c r="W98" s="306"/>
      <c r="X98" s="306"/>
      <c r="Y98" s="277">
        <f t="shared" si="10"/>
        <v>27.601099999999999</v>
      </c>
      <c r="Z98" s="277">
        <f t="shared" si="12"/>
        <v>27.693103666666662</v>
      </c>
      <c r="AB98" s="276">
        <f t="shared" si="11"/>
        <v>27.543103666666664</v>
      </c>
      <c r="AC98" s="276">
        <v>0.15</v>
      </c>
      <c r="AD98" s="276"/>
      <c r="AE98" s="276"/>
      <c r="AF98" s="276"/>
      <c r="AG98" s="276">
        <v>0.15</v>
      </c>
      <c r="AH98" s="309">
        <f t="shared" si="13"/>
        <v>27.693103666666662</v>
      </c>
      <c r="AI98" s="122">
        <v>344</v>
      </c>
      <c r="AM98" s="238"/>
      <c r="AN98" s="238"/>
      <c r="AO98" s="114"/>
      <c r="AQ98" s="280">
        <f t="shared" si="8"/>
        <v>0</v>
      </c>
      <c r="AR98" s="281">
        <v>44033</v>
      </c>
    </row>
    <row r="99" spans="20:47" hidden="1" x14ac:dyDescent="0.35">
      <c r="T99" s="113">
        <v>13</v>
      </c>
      <c r="U99" s="281">
        <v>44034</v>
      </c>
      <c r="V99" s="306">
        <v>27.6647</v>
      </c>
      <c r="W99" s="306"/>
      <c r="X99" s="306"/>
      <c r="Y99" s="277">
        <f t="shared" si="10"/>
        <v>27.450922567412036</v>
      </c>
      <c r="Z99" s="277">
        <f t="shared" si="12"/>
        <v>27.449270894695903</v>
      </c>
      <c r="AB99" s="276">
        <f t="shared" si="11"/>
        <v>27.299270894695905</v>
      </c>
      <c r="AC99" s="276">
        <v>0.15</v>
      </c>
      <c r="AD99" s="276"/>
      <c r="AE99" s="276"/>
      <c r="AF99" s="276"/>
      <c r="AG99" s="276">
        <v>0.15</v>
      </c>
      <c r="AH99" s="309">
        <v>26.6</v>
      </c>
      <c r="AI99" s="122">
        <v>344</v>
      </c>
      <c r="AM99" s="238">
        <f>0.0857*1000</f>
        <v>85.7</v>
      </c>
      <c r="AN99" s="238"/>
      <c r="AO99" s="114">
        <f>(0.5847+0.0778+0.1763+0.1563+0.0301+0.0996)*1000/26.9</f>
        <v>41.814126394052039</v>
      </c>
      <c r="AP99" s="284">
        <f>AO99*0.33</f>
        <v>13.798661710037173</v>
      </c>
      <c r="AQ99" s="280">
        <f t="shared" si="8"/>
        <v>-44.304014869888483</v>
      </c>
      <c r="AR99" s="281">
        <v>44034</v>
      </c>
    </row>
    <row r="100" spans="20:47" hidden="1" x14ac:dyDescent="0.35">
      <c r="T100" s="113">
        <v>14</v>
      </c>
      <c r="U100" s="281">
        <v>44035</v>
      </c>
      <c r="V100" s="306">
        <v>27.779800000000002</v>
      </c>
      <c r="W100" s="306"/>
      <c r="X100" s="306"/>
      <c r="Y100" s="277">
        <f t="shared" si="10"/>
        <v>27.779800000000002</v>
      </c>
      <c r="Z100" s="277">
        <f t="shared" si="12"/>
        <v>27.872399333333334</v>
      </c>
      <c r="AB100" s="276">
        <f t="shared" si="11"/>
        <v>27.722399333333335</v>
      </c>
      <c r="AC100" s="276">
        <v>0.15</v>
      </c>
      <c r="AD100" s="276"/>
      <c r="AE100" s="276"/>
      <c r="AF100" s="276"/>
      <c r="AG100" s="276">
        <v>0.15</v>
      </c>
      <c r="AH100" s="309">
        <f t="shared" si="13"/>
        <v>27.872399333333334</v>
      </c>
      <c r="AI100" s="122">
        <v>344</v>
      </c>
      <c r="AM100" s="238"/>
      <c r="AN100" s="238"/>
      <c r="AO100" s="114"/>
      <c r="AQ100" s="280">
        <f t="shared" si="8"/>
        <v>0</v>
      </c>
      <c r="AR100" s="281">
        <v>44035</v>
      </c>
    </row>
    <row r="101" spans="20:47" hidden="1" x14ac:dyDescent="0.35">
      <c r="T101" s="113">
        <v>15</v>
      </c>
      <c r="U101" s="281">
        <v>44036</v>
      </c>
      <c r="V101" s="306">
        <v>27.8779</v>
      </c>
      <c r="W101" s="306"/>
      <c r="X101" s="306"/>
      <c r="Y101" s="277">
        <f t="shared" si="10"/>
        <v>27.8779</v>
      </c>
      <c r="Z101" s="277">
        <f t="shared" si="12"/>
        <v>27.970826333333331</v>
      </c>
      <c r="AB101" s="276">
        <f t="shared" si="11"/>
        <v>27.820826333333333</v>
      </c>
      <c r="AC101" s="276">
        <v>0.15</v>
      </c>
      <c r="AD101" s="276"/>
      <c r="AE101" s="276"/>
      <c r="AF101" s="276"/>
      <c r="AG101" s="276">
        <v>0.15</v>
      </c>
      <c r="AH101" s="309">
        <f t="shared" si="13"/>
        <v>27.970826333333331</v>
      </c>
      <c r="AI101" s="122">
        <v>344</v>
      </c>
      <c r="AM101" s="238"/>
      <c r="AN101" s="238"/>
      <c r="AO101" s="114"/>
      <c r="AQ101" s="280">
        <f t="shared" si="8"/>
        <v>0</v>
      </c>
      <c r="AR101" s="281">
        <v>44036</v>
      </c>
    </row>
    <row r="102" spans="20:47" hidden="1" x14ac:dyDescent="0.35">
      <c r="T102" s="113">
        <v>16</v>
      </c>
      <c r="U102" s="281">
        <v>44037</v>
      </c>
      <c r="V102" s="306">
        <v>27.8779</v>
      </c>
      <c r="W102" s="306"/>
      <c r="X102" s="306"/>
      <c r="Y102" s="277">
        <f t="shared" si="10"/>
        <v>27.8779</v>
      </c>
      <c r="Z102" s="277">
        <f t="shared" si="12"/>
        <v>27.803855112881806</v>
      </c>
      <c r="AB102" s="276">
        <f t="shared" si="11"/>
        <v>27.653855112881807</v>
      </c>
      <c r="AC102" s="276">
        <v>0.15</v>
      </c>
      <c r="AD102" s="276"/>
      <c r="AE102" s="276"/>
      <c r="AF102" s="276"/>
      <c r="AG102" s="276">
        <v>0.15</v>
      </c>
      <c r="AH102" s="309">
        <f t="shared" si="13"/>
        <v>27.803855112881806</v>
      </c>
      <c r="AI102" s="122">
        <v>344</v>
      </c>
      <c r="AM102" s="238"/>
      <c r="AN102" s="238"/>
      <c r="AO102" s="114"/>
      <c r="AQ102" s="280">
        <f t="shared" si="8"/>
        <v>0</v>
      </c>
      <c r="AR102" s="281">
        <v>44037</v>
      </c>
    </row>
    <row r="103" spans="20:47" hidden="1" x14ac:dyDescent="0.35">
      <c r="T103" s="113">
        <v>17</v>
      </c>
      <c r="U103" s="281">
        <v>44038</v>
      </c>
      <c r="V103" s="306">
        <v>27.8779</v>
      </c>
      <c r="W103" s="306"/>
      <c r="X103" s="306"/>
      <c r="Y103" s="277">
        <f t="shared" si="10"/>
        <v>27.8779</v>
      </c>
      <c r="Z103" s="277">
        <f t="shared" si="12"/>
        <v>27.803855112881806</v>
      </c>
      <c r="AB103" s="276">
        <f t="shared" si="11"/>
        <v>27.653855112881807</v>
      </c>
      <c r="AC103" s="276">
        <v>0.15</v>
      </c>
      <c r="AD103" s="276"/>
      <c r="AE103" s="276"/>
      <c r="AF103" s="276"/>
      <c r="AG103" s="276">
        <v>0.15</v>
      </c>
      <c r="AH103" s="309">
        <v>26.6</v>
      </c>
      <c r="AI103" s="122">
        <v>344</v>
      </c>
      <c r="AM103" s="238"/>
      <c r="AN103" s="238"/>
      <c r="AO103" s="114"/>
      <c r="AQ103" s="280">
        <f t="shared" si="8"/>
        <v>0</v>
      </c>
      <c r="AR103" s="281">
        <v>44038</v>
      </c>
    </row>
    <row r="104" spans="20:47" hidden="1" x14ac:dyDescent="0.35">
      <c r="T104" s="113">
        <v>18</v>
      </c>
      <c r="U104" s="281">
        <v>44039</v>
      </c>
      <c r="V104" s="306">
        <v>27.7559</v>
      </c>
      <c r="W104" s="306"/>
      <c r="X104" s="306"/>
      <c r="Y104" s="277">
        <f t="shared" si="10"/>
        <v>27.7559</v>
      </c>
      <c r="Z104" s="277">
        <f t="shared" si="12"/>
        <v>27.682179150066403</v>
      </c>
      <c r="AB104" s="276">
        <f t="shared" si="11"/>
        <v>27.532179150066405</v>
      </c>
      <c r="AC104" s="276">
        <v>0.15</v>
      </c>
      <c r="AD104" s="276"/>
      <c r="AE104" s="276"/>
      <c r="AF104" s="276"/>
      <c r="AG104" s="276">
        <v>0.15</v>
      </c>
      <c r="AH104" s="309">
        <f t="shared" si="13"/>
        <v>27.682179150066403</v>
      </c>
      <c r="AI104" s="122">
        <v>344</v>
      </c>
      <c r="AM104" s="238"/>
      <c r="AN104" s="238"/>
      <c r="AO104" s="114"/>
      <c r="AQ104" s="280">
        <f t="shared" si="8"/>
        <v>0</v>
      </c>
      <c r="AR104" s="281">
        <v>44039</v>
      </c>
    </row>
    <row r="105" spans="20:47" hidden="1" x14ac:dyDescent="0.35">
      <c r="T105" s="113">
        <v>19</v>
      </c>
      <c r="U105" s="281">
        <v>44040</v>
      </c>
      <c r="V105" s="306">
        <v>27.757100000000001</v>
      </c>
      <c r="W105" s="306"/>
      <c r="X105" s="306"/>
      <c r="Y105" s="277">
        <f t="shared" si="10"/>
        <v>27.757100000000001</v>
      </c>
      <c r="Z105" s="277">
        <f t="shared" si="12"/>
        <v>27.849623666666663</v>
      </c>
      <c r="AB105" s="276">
        <f t="shared" si="11"/>
        <v>27.699623666666664</v>
      </c>
      <c r="AC105" s="276">
        <v>0.15</v>
      </c>
      <c r="AD105" s="276"/>
      <c r="AE105" s="276"/>
      <c r="AF105" s="276"/>
      <c r="AG105" s="276">
        <v>0.15</v>
      </c>
      <c r="AH105" s="309">
        <f t="shared" si="13"/>
        <v>27.849623666666663</v>
      </c>
      <c r="AI105" s="122">
        <v>344</v>
      </c>
      <c r="AM105" s="238"/>
      <c r="AN105" s="238"/>
      <c r="AO105" s="114"/>
      <c r="AQ105" s="280">
        <f t="shared" si="8"/>
        <v>0</v>
      </c>
      <c r="AR105" s="281">
        <v>44040</v>
      </c>
    </row>
    <row r="106" spans="20:47" hidden="1" x14ac:dyDescent="0.35">
      <c r="T106" s="113">
        <v>20</v>
      </c>
      <c r="U106" s="281">
        <v>44041</v>
      </c>
      <c r="V106" s="306">
        <v>27.685099999999998</v>
      </c>
      <c r="W106" s="306"/>
      <c r="X106" s="306"/>
      <c r="Y106" s="277">
        <f t="shared" si="10"/>
        <v>30.191490419543747</v>
      </c>
      <c r="Z106" s="277">
        <v>28</v>
      </c>
      <c r="AB106" s="276">
        <f t="shared" si="11"/>
        <v>27.85</v>
      </c>
      <c r="AC106" s="276">
        <v>0.15</v>
      </c>
      <c r="AD106" s="276"/>
      <c r="AE106" s="276"/>
      <c r="AF106" s="276"/>
      <c r="AG106" s="276">
        <v>0.15</v>
      </c>
      <c r="AH106" s="309">
        <f t="shared" si="13"/>
        <v>28</v>
      </c>
      <c r="AI106" s="122">
        <v>344</v>
      </c>
      <c r="AM106" s="238"/>
      <c r="AN106" s="238"/>
      <c r="AO106" s="114">
        <f>(13.3779+0.0837+0.1763+0.1663+0.0878+0.2115)*1000/26.9</f>
        <v>524.29368029739771</v>
      </c>
      <c r="AP106" s="284">
        <f>AO106*0.33</f>
        <v>173.01691449814126</v>
      </c>
      <c r="AQ106" s="280">
        <f t="shared" si="8"/>
        <v>519.05074349442384</v>
      </c>
      <c r="AR106" s="281">
        <v>44041</v>
      </c>
    </row>
    <row r="107" spans="20:47" hidden="1" x14ac:dyDescent="0.35">
      <c r="T107" s="113">
        <v>21</v>
      </c>
      <c r="U107" s="281">
        <v>44042</v>
      </c>
      <c r="V107" s="306">
        <v>27.686699999999998</v>
      </c>
      <c r="W107" s="306"/>
      <c r="X107" s="306"/>
      <c r="Y107" s="277">
        <f t="shared" si="10"/>
        <v>27.640340874418605</v>
      </c>
      <c r="Z107" s="277">
        <f t="shared" si="12"/>
        <v>27.582379996293895</v>
      </c>
      <c r="AB107" s="276">
        <f t="shared" si="11"/>
        <v>27.432379996293896</v>
      </c>
      <c r="AC107" s="276">
        <v>0.15</v>
      </c>
      <c r="AD107" s="276"/>
      <c r="AE107" s="276"/>
      <c r="AF107" s="276"/>
      <c r="AG107" s="276">
        <v>0.15</v>
      </c>
      <c r="AH107" s="309">
        <f t="shared" si="13"/>
        <v>27.582379996293895</v>
      </c>
      <c r="AI107" s="122">
        <v>344</v>
      </c>
      <c r="AM107" s="238">
        <f>0.0096*1000</f>
        <v>9.6</v>
      </c>
      <c r="AN107" s="238"/>
      <c r="AO107" s="114"/>
      <c r="AQ107" s="280">
        <f t="shared" si="8"/>
        <v>-9.6</v>
      </c>
      <c r="AR107" s="281">
        <v>44042</v>
      </c>
    </row>
    <row r="108" spans="20:47" hidden="1" x14ac:dyDescent="0.35">
      <c r="U108" s="281">
        <v>44043</v>
      </c>
      <c r="V108" s="306">
        <v>27.691299999999998</v>
      </c>
      <c r="W108" s="306"/>
      <c r="X108" s="306"/>
      <c r="Y108" s="277">
        <f>V108*(((AQ108/AI108)*0.06)+1)</f>
        <v>27.691299999999998</v>
      </c>
      <c r="Z108" s="277">
        <f>((IF(Y108/Y107&gt;1,Y108*1.005,Y108/1.004))*2+V108)/3</f>
        <v>27.783604333333329</v>
      </c>
      <c r="AA108" s="300"/>
      <c r="AB108" s="276">
        <f t="shared" si="11"/>
        <v>27.633604333333331</v>
      </c>
      <c r="AC108" s="276">
        <v>0.15</v>
      </c>
      <c r="AD108" s="276"/>
      <c r="AE108" s="276"/>
      <c r="AF108" s="276"/>
      <c r="AG108" s="276">
        <v>0.15</v>
      </c>
      <c r="AH108" s="309">
        <f t="shared" si="13"/>
        <v>27.783604333333329</v>
      </c>
      <c r="AI108" s="122">
        <v>320</v>
      </c>
      <c r="AJ108" s="300"/>
      <c r="AK108" s="300"/>
      <c r="AL108" s="300"/>
      <c r="AM108" s="303"/>
      <c r="AN108" s="303"/>
      <c r="AO108" s="302"/>
      <c r="AP108" s="300"/>
      <c r="AQ108" s="280">
        <f t="shared" si="8"/>
        <v>0</v>
      </c>
      <c r="AR108" s="281">
        <v>44043</v>
      </c>
    </row>
    <row r="109" spans="20:47" x14ac:dyDescent="0.35">
      <c r="U109" s="641">
        <v>44044</v>
      </c>
      <c r="V109" s="306">
        <v>27.691299999999998</v>
      </c>
      <c r="W109" s="306"/>
      <c r="X109" s="306"/>
      <c r="Y109" s="277"/>
      <c r="Z109" s="277"/>
      <c r="AB109" s="276">
        <f t="shared" si="11"/>
        <v>-0.15</v>
      </c>
      <c r="AC109" s="276">
        <v>0.15</v>
      </c>
      <c r="AD109" s="276"/>
      <c r="AE109" s="276"/>
      <c r="AF109" s="276"/>
      <c r="AG109" s="276">
        <v>0.15</v>
      </c>
      <c r="AI109" s="122">
        <v>320</v>
      </c>
      <c r="AM109" s="238"/>
      <c r="AN109" s="238">
        <f>33.7275+37.7696</f>
        <v>71.497099999999989</v>
      </c>
      <c r="AO109" s="114"/>
      <c r="AQ109" s="280">
        <f t="shared" si="8"/>
        <v>71.497099999999989</v>
      </c>
      <c r="AR109" s="299">
        <v>44044</v>
      </c>
      <c r="AS109" s="345">
        <f t="shared" ref="AS109:AS119" si="14">AS110-AT109+AU109</f>
        <v>2670.0971000000004</v>
      </c>
      <c r="AU109" s="69">
        <f t="shared" ref="AU109:AU123" si="15">AN109+IF(AM109&gt;0,AM109,0)</f>
        <v>71.497099999999989</v>
      </c>
    </row>
    <row r="110" spans="20:47" x14ac:dyDescent="0.35">
      <c r="U110" s="281">
        <v>44045</v>
      </c>
      <c r="V110" s="286">
        <v>27.6798</v>
      </c>
      <c r="W110" s="661"/>
      <c r="X110" s="661"/>
      <c r="Y110" s="639"/>
      <c r="Z110" s="277"/>
      <c r="AB110" s="276">
        <f t="shared" si="11"/>
        <v>-0.15</v>
      </c>
      <c r="AC110" s="276">
        <v>0.15</v>
      </c>
      <c r="AD110" s="276"/>
      <c r="AE110" s="276"/>
      <c r="AF110" s="276"/>
      <c r="AG110" s="276">
        <v>0.15</v>
      </c>
      <c r="AI110" s="122">
        <v>320</v>
      </c>
      <c r="AM110" s="238"/>
      <c r="AN110" s="238"/>
      <c r="AO110" s="114"/>
      <c r="AQ110" s="280">
        <f t="shared" si="8"/>
        <v>0</v>
      </c>
      <c r="AR110" s="281">
        <v>44045</v>
      </c>
      <c r="AS110" s="345">
        <f t="shared" si="14"/>
        <v>2598.6000000000004</v>
      </c>
      <c r="AU110" s="69">
        <f t="shared" si="15"/>
        <v>0</v>
      </c>
    </row>
    <row r="111" spans="20:47" x14ac:dyDescent="0.35">
      <c r="U111" s="281">
        <v>44046</v>
      </c>
      <c r="V111" s="286">
        <v>27.736499999999999</v>
      </c>
      <c r="W111" s="661"/>
      <c r="X111" s="661"/>
      <c r="Y111" s="639"/>
      <c r="Z111" s="277"/>
      <c r="AB111" s="276">
        <f t="shared" si="11"/>
        <v>-0.15</v>
      </c>
      <c r="AC111" s="276">
        <v>0.15</v>
      </c>
      <c r="AD111" s="276"/>
      <c r="AE111" s="276"/>
      <c r="AF111" s="276"/>
      <c r="AG111" s="276">
        <v>0.15</v>
      </c>
      <c r="AI111" s="122">
        <v>320</v>
      </c>
      <c r="AM111" s="238"/>
      <c r="AN111" s="238"/>
      <c r="AO111" s="114"/>
      <c r="AQ111" s="280">
        <f t="shared" si="8"/>
        <v>0</v>
      </c>
      <c r="AR111" s="281">
        <v>44046</v>
      </c>
      <c r="AS111" s="345">
        <f t="shared" si="14"/>
        <v>2598.6000000000004</v>
      </c>
      <c r="AU111" s="69">
        <f t="shared" si="15"/>
        <v>0</v>
      </c>
    </row>
    <row r="112" spans="20:47" x14ac:dyDescent="0.35">
      <c r="U112" s="281">
        <v>44047</v>
      </c>
      <c r="V112" s="286">
        <v>27.822500000000002</v>
      </c>
      <c r="W112" s="661"/>
      <c r="X112" s="661"/>
      <c r="Y112" s="639"/>
      <c r="Z112" s="277"/>
      <c r="AB112" s="276">
        <f t="shared" si="11"/>
        <v>-0.15</v>
      </c>
      <c r="AC112" s="276">
        <v>0.15</v>
      </c>
      <c r="AD112" s="276"/>
      <c r="AE112" s="276"/>
      <c r="AF112" s="276"/>
      <c r="AG112" s="276">
        <v>0.15</v>
      </c>
      <c r="AI112" s="122">
        <v>320</v>
      </c>
      <c r="AM112" s="238"/>
      <c r="AN112" s="238">
        <f>98.5</f>
        <v>98.5</v>
      </c>
      <c r="AO112" s="114"/>
      <c r="AQ112" s="280">
        <f t="shared" si="8"/>
        <v>98.5</v>
      </c>
      <c r="AR112" s="281">
        <v>44047</v>
      </c>
      <c r="AS112" s="345">
        <f t="shared" si="14"/>
        <v>2598.6000000000004</v>
      </c>
      <c r="AU112" s="69">
        <f t="shared" si="15"/>
        <v>98.5</v>
      </c>
    </row>
    <row r="113" spans="20:47" x14ac:dyDescent="0.35">
      <c r="U113" s="281">
        <v>44048</v>
      </c>
      <c r="V113" s="286">
        <v>27.7028</v>
      </c>
      <c r="W113" s="661"/>
      <c r="X113" s="661"/>
      <c r="Y113" s="639"/>
      <c r="Z113" s="277"/>
      <c r="AB113" s="276">
        <f t="shared" si="11"/>
        <v>-0.15</v>
      </c>
      <c r="AC113" s="276">
        <v>0.15</v>
      </c>
      <c r="AD113" s="276"/>
      <c r="AE113" s="276"/>
      <c r="AF113" s="276"/>
      <c r="AG113" s="276">
        <v>0.15</v>
      </c>
      <c r="AI113" s="122">
        <v>320</v>
      </c>
      <c r="AM113" s="238"/>
      <c r="AN113" s="238"/>
      <c r="AO113" s="114">
        <f>(15.8359+0.6096+0.1663+0.0325+0.0879+0.1039+0.147+0.1952)*1000/26.9</f>
        <v>638.59851301115225</v>
      </c>
      <c r="AP113" s="284">
        <f>AO113*$BA$4</f>
        <v>96.667643641768464</v>
      </c>
      <c r="AQ113" s="280">
        <f t="shared" si="8"/>
        <v>290.00293092530541</v>
      </c>
      <c r="AR113" s="281">
        <v>44048</v>
      </c>
      <c r="AS113" s="345">
        <f t="shared" si="14"/>
        <v>2500.1000000000004</v>
      </c>
      <c r="AU113" s="69">
        <f t="shared" si="15"/>
        <v>0</v>
      </c>
    </row>
    <row r="114" spans="20:47" x14ac:dyDescent="0.35">
      <c r="U114" s="281">
        <v>44049</v>
      </c>
      <c r="V114" s="286">
        <v>27.679300000000001</v>
      </c>
      <c r="W114" s="661"/>
      <c r="X114" s="661"/>
      <c r="Y114" s="639"/>
      <c r="Z114" s="277"/>
      <c r="AB114" s="276">
        <f t="shared" si="11"/>
        <v>-0.15</v>
      </c>
      <c r="AC114" s="276">
        <v>0.15</v>
      </c>
      <c r="AD114" s="276"/>
      <c r="AE114" s="276"/>
      <c r="AF114" s="276"/>
      <c r="AG114" s="276">
        <v>0.15</v>
      </c>
      <c r="AI114" s="122">
        <v>320</v>
      </c>
      <c r="AM114" s="238">
        <f>0.1488*1000</f>
        <v>148.79999999999998</v>
      </c>
      <c r="AN114" s="238"/>
      <c r="AO114" s="114"/>
      <c r="AQ114" s="280">
        <f t="shared" si="8"/>
        <v>-148.79999999999998</v>
      </c>
      <c r="AR114" s="281">
        <v>44049</v>
      </c>
      <c r="AS114" s="345">
        <f t="shared" si="14"/>
        <v>2500.1000000000004</v>
      </c>
      <c r="AU114" s="69">
        <f t="shared" si="15"/>
        <v>148.79999999999998</v>
      </c>
    </row>
    <row r="115" spans="20:47" x14ac:dyDescent="0.35">
      <c r="T115" s="113"/>
      <c r="U115" s="281">
        <v>44050</v>
      </c>
      <c r="V115" s="286">
        <v>27.648599999999998</v>
      </c>
      <c r="W115" s="661"/>
      <c r="X115" s="661"/>
      <c r="Y115" s="639"/>
      <c r="Z115" s="277"/>
      <c r="AB115" s="276">
        <f t="shared" si="11"/>
        <v>-0.15</v>
      </c>
      <c r="AC115" s="276">
        <v>0.15</v>
      </c>
      <c r="AD115" s="276"/>
      <c r="AE115" s="276"/>
      <c r="AF115" s="276"/>
      <c r="AG115" s="276">
        <v>0.15</v>
      </c>
      <c r="AI115" s="122">
        <v>320</v>
      </c>
      <c r="AM115" s="238"/>
      <c r="AN115" s="238"/>
      <c r="AO115" s="114"/>
      <c r="AQ115" s="280">
        <f t="shared" si="8"/>
        <v>0</v>
      </c>
      <c r="AR115" s="281">
        <v>44050</v>
      </c>
      <c r="AS115" s="345">
        <f t="shared" si="14"/>
        <v>2351.3000000000002</v>
      </c>
      <c r="AU115" s="69">
        <f t="shared" si="15"/>
        <v>0</v>
      </c>
    </row>
    <row r="116" spans="20:47" x14ac:dyDescent="0.35">
      <c r="T116" s="113"/>
      <c r="U116" s="281">
        <v>44053</v>
      </c>
      <c r="V116" s="286">
        <v>27.6007</v>
      </c>
      <c r="W116" s="661"/>
      <c r="X116" s="661"/>
      <c r="Y116" s="639"/>
      <c r="Z116" s="277"/>
      <c r="AB116" s="276">
        <f t="shared" si="11"/>
        <v>-0.15</v>
      </c>
      <c r="AC116" s="276">
        <v>0.15</v>
      </c>
      <c r="AD116" s="276"/>
      <c r="AE116" s="276"/>
      <c r="AF116" s="276"/>
      <c r="AG116" s="276">
        <v>0.15</v>
      </c>
      <c r="AI116" s="122">
        <v>320</v>
      </c>
      <c r="AM116" s="238"/>
      <c r="AN116" s="238"/>
      <c r="AO116" s="114"/>
      <c r="AQ116" s="280">
        <f t="shared" si="8"/>
        <v>0</v>
      </c>
      <c r="AR116" s="281">
        <v>44053</v>
      </c>
      <c r="AS116" s="345">
        <f t="shared" si="14"/>
        <v>2351.3000000000002</v>
      </c>
      <c r="AU116" s="69">
        <f t="shared" si="15"/>
        <v>0</v>
      </c>
    </row>
    <row r="117" spans="20:47" x14ac:dyDescent="0.35">
      <c r="T117" s="113"/>
      <c r="U117" s="281">
        <v>44054</v>
      </c>
      <c r="V117" s="286">
        <v>27.598199999999999</v>
      </c>
      <c r="W117" s="661"/>
      <c r="X117" s="661"/>
      <c r="Y117" s="639"/>
      <c r="Z117" s="277"/>
      <c r="AB117" s="276">
        <f t="shared" si="11"/>
        <v>-0.15</v>
      </c>
      <c r="AC117" s="276">
        <v>0.15</v>
      </c>
      <c r="AD117" s="276"/>
      <c r="AE117" s="276"/>
      <c r="AF117" s="276"/>
      <c r="AG117" s="276">
        <v>0.15</v>
      </c>
      <c r="AI117" s="122">
        <v>320</v>
      </c>
      <c r="AM117" s="238"/>
      <c r="AN117" s="238"/>
      <c r="AO117" s="114"/>
      <c r="AQ117" s="280">
        <f t="shared" si="8"/>
        <v>0</v>
      </c>
      <c r="AR117" s="281">
        <v>44054</v>
      </c>
      <c r="AS117" s="345">
        <f t="shared" si="14"/>
        <v>2351.3000000000002</v>
      </c>
      <c r="AT117">
        <v>190</v>
      </c>
      <c r="AU117" s="69">
        <f t="shared" si="15"/>
        <v>0</v>
      </c>
    </row>
    <row r="118" spans="20:47" x14ac:dyDescent="0.35">
      <c r="T118" s="113"/>
      <c r="U118" s="281">
        <v>44055</v>
      </c>
      <c r="V118" s="286">
        <v>27.526599999999998</v>
      </c>
      <c r="W118" s="661"/>
      <c r="X118" s="661"/>
      <c r="Y118" s="639"/>
      <c r="Z118" s="277"/>
      <c r="AB118" s="276">
        <f t="shared" si="11"/>
        <v>-0.15</v>
      </c>
      <c r="AC118" s="276">
        <v>0.15</v>
      </c>
      <c r="AD118" s="276"/>
      <c r="AE118" s="276"/>
      <c r="AF118" s="276"/>
      <c r="AG118" s="276">
        <v>0.15</v>
      </c>
      <c r="AI118" s="122">
        <v>320</v>
      </c>
      <c r="AM118" s="238"/>
      <c r="AN118" s="238"/>
      <c r="AO118" s="114">
        <f>(0.1788+0.7722+0.1563+0.1448+0.147)*1000/26.9</f>
        <v>52.011152416356879</v>
      </c>
      <c r="AP118" s="284">
        <f>AO118*$BA$4</f>
        <v>7.8731713975887194</v>
      </c>
      <c r="AQ118" s="280">
        <f t="shared" si="8"/>
        <v>23.619514192766157</v>
      </c>
      <c r="AR118" s="281">
        <v>44055</v>
      </c>
      <c r="AS118" s="345">
        <f t="shared" si="14"/>
        <v>2541.3000000000002</v>
      </c>
      <c r="AU118" s="69">
        <f t="shared" si="15"/>
        <v>0</v>
      </c>
    </row>
    <row r="119" spans="20:47" x14ac:dyDescent="0.35">
      <c r="T119" s="113"/>
      <c r="U119" s="281">
        <v>44056</v>
      </c>
      <c r="V119" s="286">
        <v>27.408300000000001</v>
      </c>
      <c r="W119" s="661"/>
      <c r="X119" s="661"/>
      <c r="Y119" s="639"/>
      <c r="Z119" s="277"/>
      <c r="AB119" s="276">
        <f t="shared" si="11"/>
        <v>-0.15</v>
      </c>
      <c r="AC119" s="276">
        <v>0.15</v>
      </c>
      <c r="AD119" s="276"/>
      <c r="AE119" s="276"/>
      <c r="AF119" s="276"/>
      <c r="AG119" s="276">
        <v>0.15</v>
      </c>
      <c r="AI119" s="122">
        <v>320</v>
      </c>
      <c r="AM119" s="238">
        <f>(0.1753+0.0034+0.0056)*1000</f>
        <v>184.29999999999998</v>
      </c>
      <c r="AN119" s="238"/>
      <c r="AO119" s="114"/>
      <c r="AQ119" s="280">
        <f t="shared" si="8"/>
        <v>-184.29999999999998</v>
      </c>
      <c r="AR119" s="281">
        <v>44056</v>
      </c>
      <c r="AS119" s="345">
        <f t="shared" si="14"/>
        <v>2541.3000000000002</v>
      </c>
      <c r="AU119" s="69">
        <f t="shared" si="15"/>
        <v>184.29999999999998</v>
      </c>
    </row>
    <row r="120" spans="20:47" x14ac:dyDescent="0.35">
      <c r="T120" s="113"/>
      <c r="U120" s="281">
        <v>44057</v>
      </c>
      <c r="V120" s="286">
        <v>27.408300000000001</v>
      </c>
      <c r="W120" s="661"/>
      <c r="X120" s="661"/>
      <c r="Y120" s="639"/>
      <c r="Z120" s="277"/>
      <c r="AB120" s="276">
        <f t="shared" si="11"/>
        <v>-0.15</v>
      </c>
      <c r="AC120" s="276">
        <v>0.15</v>
      </c>
      <c r="AD120" s="276"/>
      <c r="AE120" s="276"/>
      <c r="AF120" s="276"/>
      <c r="AG120" s="276">
        <v>0.15</v>
      </c>
      <c r="AI120" s="122">
        <v>320</v>
      </c>
      <c r="AM120" s="238"/>
      <c r="AN120" s="238"/>
      <c r="AO120" s="114"/>
      <c r="AQ120" s="280">
        <f t="shared" si="8"/>
        <v>0</v>
      </c>
      <c r="AR120" s="281">
        <v>44057</v>
      </c>
      <c r="AS120" s="345">
        <f>AS121-AT120+AU120</f>
        <v>2357</v>
      </c>
      <c r="AU120" s="69">
        <f t="shared" si="15"/>
        <v>0</v>
      </c>
    </row>
    <row r="121" spans="20:47" x14ac:dyDescent="0.35">
      <c r="T121" s="113"/>
      <c r="U121" s="281">
        <v>44060</v>
      </c>
      <c r="V121" s="286">
        <v>27.408300000000001</v>
      </c>
      <c r="W121" s="661"/>
      <c r="X121" s="661"/>
      <c r="Y121" s="639"/>
      <c r="Z121" s="277"/>
      <c r="AB121" s="276">
        <f t="shared" si="11"/>
        <v>-0.15</v>
      </c>
      <c r="AC121" s="276">
        <v>0.15</v>
      </c>
      <c r="AD121" s="276"/>
      <c r="AE121" s="276"/>
      <c r="AF121" s="276"/>
      <c r="AG121" s="276">
        <v>0.15</v>
      </c>
      <c r="AI121" s="122">
        <v>320</v>
      </c>
      <c r="AM121" s="238"/>
      <c r="AN121" s="238"/>
      <c r="AO121" s="114"/>
      <c r="AQ121" s="280">
        <f t="shared" si="8"/>
        <v>0</v>
      </c>
      <c r="AR121" s="281">
        <v>44060</v>
      </c>
      <c r="AS121" s="275">
        <v>2357</v>
      </c>
      <c r="AU121" s="69">
        <f t="shared" si="15"/>
        <v>0</v>
      </c>
    </row>
    <row r="122" spans="20:47" x14ac:dyDescent="0.35">
      <c r="T122" s="113"/>
      <c r="U122" s="281">
        <v>44061</v>
      </c>
      <c r="V122" s="286">
        <v>27.229700000000001</v>
      </c>
      <c r="W122" s="661"/>
      <c r="X122" s="661"/>
      <c r="Y122" s="639"/>
      <c r="Z122" s="277"/>
      <c r="AB122" s="276">
        <f t="shared" si="11"/>
        <v>-0.15</v>
      </c>
      <c r="AC122" s="276">
        <v>0.15</v>
      </c>
      <c r="AD122" s="276"/>
      <c r="AE122" s="276"/>
      <c r="AF122" s="276"/>
      <c r="AG122" s="276">
        <v>0.15</v>
      </c>
      <c r="AI122" s="122">
        <v>320</v>
      </c>
      <c r="AM122" s="238">
        <v>-50</v>
      </c>
      <c r="AN122" s="238"/>
      <c r="AO122" s="114"/>
      <c r="AQ122" s="280">
        <f t="shared" si="8"/>
        <v>50</v>
      </c>
      <c r="AR122" s="281">
        <v>44061</v>
      </c>
      <c r="AS122" s="275">
        <f>AS121+AT121-AU121</f>
        <v>2357</v>
      </c>
      <c r="AT122" s="69">
        <v>31</v>
      </c>
      <c r="AU122" s="69">
        <f t="shared" si="15"/>
        <v>0</v>
      </c>
    </row>
    <row r="123" spans="20:47" x14ac:dyDescent="0.35">
      <c r="T123" s="113"/>
      <c r="U123" s="281">
        <v>44062</v>
      </c>
      <c r="V123" s="286">
        <v>27.315999999999999</v>
      </c>
      <c r="W123" s="661"/>
      <c r="X123" s="661"/>
      <c r="Y123" s="639"/>
      <c r="Z123" s="277"/>
      <c r="AB123" s="276">
        <f t="shared" si="11"/>
        <v>-0.15</v>
      </c>
      <c r="AC123" s="276">
        <v>0.15</v>
      </c>
      <c r="AD123" s="276"/>
      <c r="AE123" s="276"/>
      <c r="AF123" s="276"/>
      <c r="AG123" s="276">
        <v>0.15</v>
      </c>
      <c r="AI123" s="122">
        <v>320</v>
      </c>
      <c r="AM123" s="238">
        <v>-50</v>
      </c>
      <c r="AN123" s="238"/>
      <c r="AO123" s="114">
        <f>(7.4332+0.1788+0.046+0.198)*1000/26.9</f>
        <v>292.04460966542757</v>
      </c>
      <c r="AP123" s="284">
        <f>AO123*$BA$4</f>
        <v>44.208158458621249</v>
      </c>
      <c r="AQ123" s="280">
        <f t="shared" ref="AQ123:AQ186" si="16">-AM123+AN123+(AP123*3)</f>
        <v>182.62447537586374</v>
      </c>
      <c r="AR123" s="281">
        <v>44062</v>
      </c>
      <c r="AS123" s="275">
        <f t="shared" ref="AS123:AS153" si="17">AS122+AT122-AU122</f>
        <v>2388</v>
      </c>
      <c r="AU123" s="69">
        <f t="shared" si="15"/>
        <v>0</v>
      </c>
    </row>
    <row r="124" spans="20:47" x14ac:dyDescent="0.35">
      <c r="T124" s="113"/>
      <c r="U124" s="281">
        <v>44063</v>
      </c>
      <c r="V124" s="286">
        <v>27.481200000000001</v>
      </c>
      <c r="W124" s="661"/>
      <c r="X124" s="661"/>
      <c r="Y124" s="639"/>
      <c r="Z124" s="277"/>
      <c r="AB124" s="276">
        <f>Z124-0.15</f>
        <v>-0.15</v>
      </c>
      <c r="AC124" s="276">
        <v>0.15</v>
      </c>
      <c r="AD124" s="276"/>
      <c r="AE124" s="276"/>
      <c r="AF124" s="276"/>
      <c r="AG124" s="276">
        <v>0.15</v>
      </c>
      <c r="AI124" s="122">
        <v>320</v>
      </c>
      <c r="AM124" s="238">
        <f>0.159*1000</f>
        <v>159</v>
      </c>
      <c r="AN124" s="238"/>
      <c r="AO124" s="114"/>
      <c r="AQ124" s="280">
        <f t="shared" si="16"/>
        <v>-159</v>
      </c>
      <c r="AR124" s="281">
        <v>44063</v>
      </c>
      <c r="AS124" s="275">
        <f>AS123+AT123-AU123</f>
        <v>2388</v>
      </c>
      <c r="AU124" s="69">
        <f t="shared" ref="AU124:AU153" si="18">AN124+IF(AM124&gt;0,AM124,0)</f>
        <v>159</v>
      </c>
    </row>
    <row r="125" spans="20:47" x14ac:dyDescent="0.35">
      <c r="T125" s="113"/>
      <c r="U125" s="281">
        <v>44064</v>
      </c>
      <c r="V125" s="286">
        <v>27.481200000000001</v>
      </c>
      <c r="W125" s="661"/>
      <c r="X125" s="661"/>
      <c r="Y125" s="639"/>
      <c r="Z125" s="277"/>
      <c r="AB125" s="276">
        <f t="shared" si="11"/>
        <v>-0.15</v>
      </c>
      <c r="AC125" s="276">
        <v>0.15</v>
      </c>
      <c r="AD125" s="276"/>
      <c r="AE125" s="276"/>
      <c r="AF125" s="276"/>
      <c r="AG125" s="276">
        <v>0.15</v>
      </c>
      <c r="AI125" s="122">
        <v>320</v>
      </c>
      <c r="AM125" s="238"/>
      <c r="AN125" s="238"/>
      <c r="AO125" s="114"/>
      <c r="AQ125" s="280">
        <f t="shared" si="16"/>
        <v>0</v>
      </c>
      <c r="AR125" s="281">
        <v>44064</v>
      </c>
      <c r="AS125" s="275">
        <f t="shared" si="17"/>
        <v>2229</v>
      </c>
      <c r="AU125" s="69">
        <f t="shared" si="18"/>
        <v>0</v>
      </c>
    </row>
    <row r="126" spans="20:47" x14ac:dyDescent="0.35">
      <c r="T126" s="113"/>
      <c r="U126" s="281">
        <v>44067</v>
      </c>
      <c r="V126" s="286">
        <v>27.394200000000001</v>
      </c>
      <c r="W126" s="661"/>
      <c r="X126" s="661"/>
      <c r="Y126" s="639"/>
      <c r="Z126" s="277"/>
      <c r="AB126" s="276">
        <f t="shared" si="11"/>
        <v>-0.15</v>
      </c>
      <c r="AC126" s="276">
        <v>0.15</v>
      </c>
      <c r="AD126" s="276"/>
      <c r="AE126" s="276"/>
      <c r="AF126" s="276"/>
      <c r="AG126" s="276">
        <v>0.15</v>
      </c>
      <c r="AI126" s="122">
        <v>320</v>
      </c>
      <c r="AM126" s="1">
        <v>-50</v>
      </c>
      <c r="AO126" s="114"/>
      <c r="AQ126" s="280">
        <f t="shared" si="16"/>
        <v>50</v>
      </c>
      <c r="AR126" s="281">
        <v>44067</v>
      </c>
      <c r="AS126" s="275">
        <f t="shared" si="17"/>
        <v>2229</v>
      </c>
      <c r="AU126" s="69">
        <f t="shared" si="18"/>
        <v>0</v>
      </c>
    </row>
    <row r="127" spans="20:47" x14ac:dyDescent="0.35">
      <c r="T127" s="113"/>
      <c r="U127" s="281">
        <v>44068</v>
      </c>
      <c r="V127" s="286">
        <v>27.438300000000002</v>
      </c>
      <c r="W127" s="661"/>
      <c r="X127" s="661"/>
      <c r="Y127" s="639"/>
      <c r="Z127" s="277"/>
      <c r="AB127" s="276">
        <f t="shared" si="11"/>
        <v>-0.15</v>
      </c>
      <c r="AC127" s="276">
        <v>0.15</v>
      </c>
      <c r="AD127" s="276"/>
      <c r="AE127" s="276"/>
      <c r="AF127" s="276"/>
      <c r="AG127" s="276">
        <v>0.15</v>
      </c>
      <c r="AI127" s="122">
        <v>320</v>
      </c>
      <c r="AM127" s="321">
        <v>-50</v>
      </c>
      <c r="AO127" s="114"/>
      <c r="AQ127" s="280">
        <f t="shared" si="16"/>
        <v>50</v>
      </c>
      <c r="AR127" s="281">
        <v>44068</v>
      </c>
      <c r="AS127" s="275">
        <f t="shared" si="17"/>
        <v>2229</v>
      </c>
      <c r="AT127" s="69">
        <v>30</v>
      </c>
      <c r="AU127" s="69"/>
    </row>
    <row r="128" spans="20:47" x14ac:dyDescent="0.35">
      <c r="T128" s="113"/>
      <c r="U128" s="281">
        <v>44069</v>
      </c>
      <c r="V128" s="286">
        <v>27.385999999999999</v>
      </c>
      <c r="W128" s="661"/>
      <c r="X128" s="661"/>
      <c r="Y128" s="639"/>
      <c r="Z128" s="277"/>
      <c r="AB128" s="276">
        <f t="shared" si="11"/>
        <v>-0.15</v>
      </c>
      <c r="AC128" s="276">
        <v>0.15</v>
      </c>
      <c r="AD128" s="276"/>
      <c r="AE128" s="276"/>
      <c r="AF128" s="276"/>
      <c r="AG128" s="276">
        <v>0.15</v>
      </c>
      <c r="AI128" s="122">
        <v>320</v>
      </c>
      <c r="AM128" s="238">
        <v>100</v>
      </c>
      <c r="AO128" s="114">
        <f>(0.0715+0.1663+0.5201+0.1563+0.1964)*1000/26.9</f>
        <v>41.286245353159856</v>
      </c>
      <c r="AP128" s="284">
        <f>AO128*$BA$4</f>
        <v>6.2496920550082429</v>
      </c>
      <c r="AQ128" s="280">
        <f t="shared" si="16"/>
        <v>-81.250923834975268</v>
      </c>
      <c r="AR128" s="281">
        <v>44069</v>
      </c>
      <c r="AS128" s="275">
        <f>AS127+AT127-AU127</f>
        <v>2259</v>
      </c>
      <c r="AU128" s="69">
        <f t="shared" si="18"/>
        <v>100</v>
      </c>
    </row>
    <row r="129" spans="17:48" x14ac:dyDescent="0.35">
      <c r="T129" s="113"/>
      <c r="U129" s="281">
        <v>44070</v>
      </c>
      <c r="V129" s="286">
        <v>27.461500000000001</v>
      </c>
      <c r="W129" s="661"/>
      <c r="X129" s="661"/>
      <c r="Y129" s="639"/>
      <c r="Z129" s="277"/>
      <c r="AB129" s="276">
        <f t="shared" si="11"/>
        <v>-0.15</v>
      </c>
      <c r="AC129" s="276">
        <v>0.15</v>
      </c>
      <c r="AD129" s="276"/>
      <c r="AE129" s="276"/>
      <c r="AF129" s="276"/>
      <c r="AG129" s="276">
        <v>0.15</v>
      </c>
      <c r="AI129" s="122">
        <v>320</v>
      </c>
      <c r="AO129" s="114"/>
      <c r="AQ129" s="280">
        <f t="shared" si="16"/>
        <v>0</v>
      </c>
      <c r="AR129" s="281">
        <v>44070</v>
      </c>
      <c r="AS129" s="275">
        <f t="shared" si="17"/>
        <v>2159</v>
      </c>
      <c r="AU129" s="69">
        <f t="shared" si="18"/>
        <v>0</v>
      </c>
    </row>
    <row r="130" spans="17:48" x14ac:dyDescent="0.35">
      <c r="T130" s="113"/>
      <c r="U130" s="281">
        <v>44071</v>
      </c>
      <c r="V130" s="286">
        <v>27.475899999999999</v>
      </c>
      <c r="W130" s="661"/>
      <c r="X130" s="661"/>
      <c r="Y130" s="639"/>
      <c r="Z130" s="277"/>
      <c r="AB130" s="276">
        <f t="shared" si="11"/>
        <v>-0.15</v>
      </c>
      <c r="AC130" s="276">
        <v>0.15</v>
      </c>
      <c r="AD130" s="276"/>
      <c r="AE130" s="276"/>
      <c r="AF130" s="276"/>
      <c r="AG130" s="276">
        <v>0.15</v>
      </c>
      <c r="AI130" s="122">
        <v>320</v>
      </c>
      <c r="AQ130" s="280">
        <f t="shared" si="16"/>
        <v>0</v>
      </c>
      <c r="AR130" s="281">
        <v>44071</v>
      </c>
      <c r="AS130" s="275">
        <f t="shared" si="17"/>
        <v>2159</v>
      </c>
      <c r="AU130" s="69">
        <f t="shared" si="18"/>
        <v>0</v>
      </c>
    </row>
    <row r="131" spans="17:48" x14ac:dyDescent="0.35">
      <c r="T131" s="113"/>
      <c r="U131" s="281">
        <v>44074</v>
      </c>
      <c r="V131" s="286">
        <v>27.561800000000002</v>
      </c>
      <c r="W131" s="661">
        <v>27.561800000000002</v>
      </c>
      <c r="X131" s="661"/>
      <c r="Y131" s="639"/>
      <c r="Z131" s="277"/>
      <c r="AA131" s="300"/>
      <c r="AB131" s="276">
        <f t="shared" si="11"/>
        <v>-0.15</v>
      </c>
      <c r="AC131" s="276">
        <v>0.15</v>
      </c>
      <c r="AD131" s="276"/>
      <c r="AE131" s="276"/>
      <c r="AF131" s="276"/>
      <c r="AG131" s="276">
        <v>0.15</v>
      </c>
      <c r="AH131" s="300"/>
      <c r="AI131" s="122">
        <v>320</v>
      </c>
      <c r="AJ131" s="300"/>
      <c r="AK131" s="300"/>
      <c r="AL131" s="300"/>
      <c r="AM131" s="300">
        <v>-50</v>
      </c>
      <c r="AN131" s="300"/>
      <c r="AO131" s="300"/>
      <c r="AP131" s="300"/>
      <c r="AQ131" s="280">
        <f t="shared" si="16"/>
        <v>50</v>
      </c>
      <c r="AR131" s="281">
        <v>44074</v>
      </c>
      <c r="AS131" s="275">
        <f t="shared" si="17"/>
        <v>2159</v>
      </c>
      <c r="AU131" s="69">
        <f t="shared" si="18"/>
        <v>0</v>
      </c>
      <c r="AV131" s="69">
        <f>AS131-AS109</f>
        <v>-511.09710000000041</v>
      </c>
    </row>
    <row r="132" spans="17:48" x14ac:dyDescent="0.35">
      <c r="T132" s="683" t="str">
        <f>DAY(U132)&amp;MONTH(U132)</f>
        <v>19</v>
      </c>
      <c r="U132" s="281">
        <v>44075</v>
      </c>
      <c r="V132" s="286">
        <v>27.604900000000001</v>
      </c>
      <c r="W132" s="661">
        <v>27.604900000000001</v>
      </c>
      <c r="X132" s="661"/>
      <c r="Y132" s="639"/>
      <c r="Z132" s="277"/>
      <c r="AB132" s="276">
        <f t="shared" si="11"/>
        <v>-0.15</v>
      </c>
      <c r="AC132" s="276">
        <v>0.15</v>
      </c>
      <c r="AD132" s="276"/>
      <c r="AE132" s="276"/>
      <c r="AF132" s="276"/>
      <c r="AG132" s="276">
        <v>0.15</v>
      </c>
      <c r="AI132" s="122">
        <v>450</v>
      </c>
      <c r="AM132">
        <v>-50</v>
      </c>
      <c r="AN132" s="222">
        <v>1752.1762812500001</v>
      </c>
      <c r="AO132" s="222"/>
      <c r="AQ132" s="280">
        <f>-AM132+AN132+(AP132*3)</f>
        <v>1802.1762812500001</v>
      </c>
      <c r="AR132" s="281">
        <v>44075</v>
      </c>
      <c r="AS132" s="275">
        <f t="shared" si="17"/>
        <v>2159</v>
      </c>
      <c r="AU132" s="69">
        <f t="shared" si="18"/>
        <v>1752.1762812500001</v>
      </c>
      <c r="AV132" s="69">
        <f>AV131+461</f>
        <v>-50.09710000000041</v>
      </c>
    </row>
    <row r="133" spans="17:48" x14ac:dyDescent="0.35">
      <c r="T133" s="683" t="str">
        <f t="shared" ref="T133:T196" si="19">DAY(U133)&amp;MONTH(U133)</f>
        <v>29</v>
      </c>
      <c r="U133" s="281">
        <v>44076</v>
      </c>
      <c r="V133" s="286">
        <v>27.642800000000001</v>
      </c>
      <c r="W133" s="661">
        <v>27.642800000000001</v>
      </c>
      <c r="X133" s="661"/>
      <c r="Y133" s="639"/>
      <c r="Z133" s="277"/>
      <c r="AB133" s="276">
        <f t="shared" si="11"/>
        <v>-0.15</v>
      </c>
      <c r="AC133" s="276">
        <v>0.15</v>
      </c>
      <c r="AD133" s="276"/>
      <c r="AE133" s="276"/>
      <c r="AF133" s="276"/>
      <c r="AG133" s="276">
        <v>0.15</v>
      </c>
      <c r="AI133" s="122">
        <v>450</v>
      </c>
      <c r="AM133">
        <v>100</v>
      </c>
      <c r="AO133" s="222">
        <f>(2.6821+0.1256)*1000/27.7</f>
        <v>101.36101083032493</v>
      </c>
      <c r="AP133" s="284">
        <f>AO133*$BA$4</f>
        <v>15.343490275155354</v>
      </c>
      <c r="AQ133" s="280">
        <f t="shared" si="16"/>
        <v>-53.969529174533939</v>
      </c>
      <c r="AR133" s="281">
        <v>44076</v>
      </c>
      <c r="AS133" s="275">
        <f t="shared" si="17"/>
        <v>406.8237187499999</v>
      </c>
      <c r="AU133" s="69">
        <f t="shared" si="18"/>
        <v>100</v>
      </c>
      <c r="AV133" s="437">
        <f>AV132+28802</f>
        <v>28751.902900000001</v>
      </c>
    </row>
    <row r="134" spans="17:48" x14ac:dyDescent="0.35">
      <c r="T134" s="683" t="str">
        <f t="shared" si="19"/>
        <v>39</v>
      </c>
      <c r="U134" s="281">
        <v>44077</v>
      </c>
      <c r="V134" s="286">
        <v>27.690799999999999</v>
      </c>
      <c r="W134" s="661">
        <v>27.690799999999999</v>
      </c>
      <c r="X134" s="661"/>
      <c r="Y134" s="639"/>
      <c r="Z134" s="277"/>
      <c r="AB134" s="276">
        <f t="shared" si="11"/>
        <v>-0.15</v>
      </c>
      <c r="AC134" s="276">
        <v>0.15</v>
      </c>
      <c r="AD134" s="276"/>
      <c r="AE134" s="276"/>
      <c r="AF134" s="276"/>
      <c r="AG134" s="276">
        <v>0.15</v>
      </c>
      <c r="AI134" s="122">
        <v>450</v>
      </c>
      <c r="AO134" s="222"/>
      <c r="AQ134" s="280">
        <f t="shared" si="16"/>
        <v>0</v>
      </c>
      <c r="AR134" s="281">
        <v>44077</v>
      </c>
      <c r="AS134" s="275">
        <f t="shared" si="17"/>
        <v>306.8237187499999</v>
      </c>
      <c r="AU134" s="69">
        <f t="shared" si="18"/>
        <v>0</v>
      </c>
    </row>
    <row r="135" spans="17:48" x14ac:dyDescent="0.35">
      <c r="T135" s="683" t="str">
        <f t="shared" si="19"/>
        <v>49</v>
      </c>
      <c r="U135" s="281">
        <v>44078</v>
      </c>
      <c r="V135" s="286">
        <v>27.732500000000002</v>
      </c>
      <c r="W135" s="661">
        <v>27.732500000000002</v>
      </c>
      <c r="X135" s="661"/>
      <c r="Y135" s="639"/>
      <c r="Z135" s="277"/>
      <c r="AB135" s="276">
        <f t="shared" si="11"/>
        <v>-0.15</v>
      </c>
      <c r="AC135" s="276">
        <v>0.15</v>
      </c>
      <c r="AD135" s="276"/>
      <c r="AE135" s="276"/>
      <c r="AF135" s="276"/>
      <c r="AG135" s="276">
        <v>0.15</v>
      </c>
      <c r="AI135" s="122">
        <v>450</v>
      </c>
      <c r="AO135" s="222">
        <f>0.135*1000/27.7</f>
        <v>4.8736462093862816</v>
      </c>
      <c r="AP135" s="284">
        <f>AO135*$BA$4</f>
        <v>0.73774662077357711</v>
      </c>
      <c r="AQ135" s="280">
        <f t="shared" si="16"/>
        <v>2.2132398623207314</v>
      </c>
      <c r="AR135" s="281">
        <v>44078</v>
      </c>
      <c r="AS135" s="275">
        <f t="shared" si="17"/>
        <v>306.8237187499999</v>
      </c>
      <c r="AU135" s="69">
        <f t="shared" si="18"/>
        <v>0</v>
      </c>
    </row>
    <row r="136" spans="17:48" x14ac:dyDescent="0.35">
      <c r="T136" s="683" t="str">
        <f t="shared" si="19"/>
        <v>79</v>
      </c>
      <c r="U136" s="281">
        <v>44081</v>
      </c>
      <c r="V136" s="642">
        <v>27.750900000000001</v>
      </c>
      <c r="W136" s="661">
        <v>27.750900000000001</v>
      </c>
      <c r="X136" s="661"/>
      <c r="Y136" s="639"/>
      <c r="Z136" s="277"/>
      <c r="AB136" s="276">
        <f t="shared" si="11"/>
        <v>-0.15</v>
      </c>
      <c r="AC136" s="276">
        <v>0.15</v>
      </c>
      <c r="AD136" s="276"/>
      <c r="AE136" s="276"/>
      <c r="AF136" s="276"/>
      <c r="AG136" s="276">
        <v>0.15</v>
      </c>
      <c r="AI136" s="122">
        <v>450</v>
      </c>
      <c r="AM136">
        <v>-50</v>
      </c>
      <c r="AO136" s="222"/>
      <c r="AQ136" s="280">
        <f t="shared" si="16"/>
        <v>50</v>
      </c>
      <c r="AR136" s="281">
        <v>44081</v>
      </c>
      <c r="AS136" s="275">
        <f t="shared" si="17"/>
        <v>306.8237187499999</v>
      </c>
      <c r="AU136" s="69">
        <f t="shared" si="18"/>
        <v>0</v>
      </c>
    </row>
    <row r="137" spans="17:48" x14ac:dyDescent="0.35">
      <c r="T137" s="683" t="str">
        <f t="shared" si="19"/>
        <v>89</v>
      </c>
      <c r="U137" s="281">
        <v>44082</v>
      </c>
      <c r="V137" s="642">
        <v>27.8032</v>
      </c>
      <c r="W137" s="661">
        <v>27.8032</v>
      </c>
      <c r="X137" s="661"/>
      <c r="Y137" s="639"/>
      <c r="Z137" s="277"/>
      <c r="AB137" s="276">
        <f t="shared" si="11"/>
        <v>-0.15</v>
      </c>
      <c r="AC137" s="276">
        <v>0.15</v>
      </c>
      <c r="AD137" s="276"/>
      <c r="AE137" s="276"/>
      <c r="AF137" s="276"/>
      <c r="AG137" s="276">
        <v>0.15</v>
      </c>
      <c r="AI137" s="122">
        <v>450</v>
      </c>
      <c r="AM137">
        <v>-50</v>
      </c>
      <c r="AO137" s="222"/>
      <c r="AQ137" s="280">
        <f t="shared" si="16"/>
        <v>50</v>
      </c>
      <c r="AR137" s="281">
        <v>44082</v>
      </c>
      <c r="AS137" s="275">
        <f t="shared" si="17"/>
        <v>306.8237187499999</v>
      </c>
      <c r="AU137" s="69">
        <f t="shared" si="18"/>
        <v>0</v>
      </c>
    </row>
    <row r="138" spans="17:48" x14ac:dyDescent="0.35">
      <c r="T138" s="683" t="str">
        <f t="shared" si="19"/>
        <v>99</v>
      </c>
      <c r="U138" s="281">
        <v>44083</v>
      </c>
      <c r="V138" s="642">
        <v>27.829599999999999</v>
      </c>
      <c r="W138" s="661">
        <v>27.829599999999999</v>
      </c>
      <c r="X138" s="661"/>
      <c r="Y138" s="639"/>
      <c r="Z138" s="277"/>
      <c r="AB138" s="276">
        <f t="shared" si="11"/>
        <v>-0.15</v>
      </c>
      <c r="AC138" s="276">
        <v>0.15</v>
      </c>
      <c r="AD138" s="276"/>
      <c r="AE138" s="276"/>
      <c r="AF138" s="276"/>
      <c r="AG138" s="276">
        <v>0.15</v>
      </c>
      <c r="AI138" s="122">
        <v>450</v>
      </c>
      <c r="AM138">
        <v>100</v>
      </c>
      <c r="AO138" s="222">
        <f>(0.024+0.1445+0.12+0.1996+0.2183)*1000/27.7</f>
        <v>25.501805054151621</v>
      </c>
      <c r="AP138" s="284">
        <f>AO138*$BA$4</f>
        <v>3.8603275030700357</v>
      </c>
      <c r="AQ138" s="280">
        <f t="shared" si="16"/>
        <v>-88.419017490789898</v>
      </c>
      <c r="AR138" s="281">
        <v>44083</v>
      </c>
      <c r="AS138" s="275">
        <f t="shared" si="17"/>
        <v>306.8237187499999</v>
      </c>
      <c r="AU138" s="69">
        <f t="shared" si="18"/>
        <v>100</v>
      </c>
    </row>
    <row r="139" spans="17:48" x14ac:dyDescent="0.35">
      <c r="T139" s="683" t="str">
        <f t="shared" si="19"/>
        <v>109</v>
      </c>
      <c r="U139" s="281">
        <v>44084</v>
      </c>
      <c r="V139" s="642">
        <v>27.834599999999998</v>
      </c>
      <c r="W139" s="661">
        <v>27.834599999999998</v>
      </c>
      <c r="X139" s="661"/>
      <c r="Y139" s="639"/>
      <c r="Z139" s="277"/>
      <c r="AB139" s="276">
        <f t="shared" si="11"/>
        <v>-0.15</v>
      </c>
      <c r="AC139" s="276">
        <v>0.15</v>
      </c>
      <c r="AD139" s="276"/>
      <c r="AE139" s="276"/>
      <c r="AF139" s="276"/>
      <c r="AG139" s="276">
        <v>0.15</v>
      </c>
      <c r="AI139" s="122">
        <v>450</v>
      </c>
      <c r="AO139" s="222"/>
      <c r="AQ139" s="280">
        <f t="shared" si="16"/>
        <v>0</v>
      </c>
      <c r="AR139" s="281">
        <v>44084</v>
      </c>
      <c r="AS139" s="275">
        <f t="shared" si="17"/>
        <v>206.8237187499999</v>
      </c>
      <c r="AU139" s="69">
        <f t="shared" si="18"/>
        <v>0</v>
      </c>
    </row>
    <row r="140" spans="17:48" x14ac:dyDescent="0.35">
      <c r="T140" s="683" t="str">
        <f t="shared" si="19"/>
        <v>119</v>
      </c>
      <c r="U140" s="281">
        <v>44085</v>
      </c>
      <c r="V140" s="642">
        <v>27.900300000000001</v>
      </c>
      <c r="W140" s="661">
        <v>27.900300000000001</v>
      </c>
      <c r="X140" s="661"/>
      <c r="Y140" s="639"/>
      <c r="Z140" s="277"/>
      <c r="AB140" s="276">
        <f t="shared" si="11"/>
        <v>-0.15</v>
      </c>
      <c r="AC140" s="276">
        <v>0.15</v>
      </c>
      <c r="AD140" s="276"/>
      <c r="AE140" s="276"/>
      <c r="AF140" s="276"/>
      <c r="AG140" s="276">
        <v>0.15</v>
      </c>
      <c r="AI140" s="122">
        <v>450</v>
      </c>
      <c r="AN140">
        <f>295.5*1.4</f>
        <v>413.7</v>
      </c>
      <c r="AO140" s="222"/>
      <c r="AQ140" s="280">
        <f t="shared" si="16"/>
        <v>413.7</v>
      </c>
      <c r="AR140" s="281">
        <v>44085</v>
      </c>
      <c r="AS140" s="275">
        <f t="shared" si="17"/>
        <v>206.8237187499999</v>
      </c>
      <c r="AU140" s="69">
        <f t="shared" si="18"/>
        <v>413.7</v>
      </c>
    </row>
    <row r="141" spans="17:48" x14ac:dyDescent="0.35">
      <c r="T141" s="683" t="str">
        <f t="shared" si="19"/>
        <v>149</v>
      </c>
      <c r="U141" s="281">
        <v>44088</v>
      </c>
      <c r="V141" s="642">
        <v>28.000299999999999</v>
      </c>
      <c r="W141" s="661">
        <v>28.000299999999999</v>
      </c>
      <c r="X141" s="661"/>
      <c r="Y141" s="639"/>
      <c r="Z141" s="277"/>
      <c r="AB141" s="276">
        <f t="shared" si="11"/>
        <v>-0.15</v>
      </c>
      <c r="AC141" s="276">
        <v>0.15</v>
      </c>
      <c r="AD141" s="276"/>
      <c r="AE141" s="276"/>
      <c r="AF141" s="276"/>
      <c r="AG141" s="276">
        <v>0.15</v>
      </c>
      <c r="AI141" s="122">
        <v>450</v>
      </c>
      <c r="AM141">
        <v>-50</v>
      </c>
      <c r="AO141" s="222"/>
      <c r="AQ141" s="280">
        <f t="shared" si="16"/>
        <v>50</v>
      </c>
      <c r="AR141" s="281">
        <v>44088</v>
      </c>
      <c r="AS141" s="275">
        <f t="shared" si="17"/>
        <v>-206.87628125000009</v>
      </c>
      <c r="AU141" s="69">
        <f t="shared" si="18"/>
        <v>0</v>
      </c>
    </row>
    <row r="142" spans="17:48" x14ac:dyDescent="0.35">
      <c r="Q142" s="558"/>
      <c r="R142" s="558"/>
      <c r="S142" s="558"/>
      <c r="T142" s="683" t="str">
        <f t="shared" si="19"/>
        <v>159</v>
      </c>
      <c r="U142" s="281">
        <v>44089</v>
      </c>
      <c r="V142" s="642">
        <v>28.055599999999998</v>
      </c>
      <c r="W142" s="661">
        <v>28.055599999999998</v>
      </c>
      <c r="X142" s="661"/>
      <c r="Y142" s="639"/>
      <c r="Z142" s="277"/>
      <c r="AB142" s="276">
        <f t="shared" si="11"/>
        <v>-0.15</v>
      </c>
      <c r="AC142" s="276">
        <v>0.15</v>
      </c>
      <c r="AD142" s="276"/>
      <c r="AE142" s="276"/>
      <c r="AF142" s="276"/>
      <c r="AG142" s="276">
        <v>0.15</v>
      </c>
      <c r="AI142" s="122">
        <v>450</v>
      </c>
      <c r="AM142">
        <v>-50</v>
      </c>
      <c r="AO142" s="222"/>
      <c r="AQ142" s="280">
        <f t="shared" si="16"/>
        <v>50</v>
      </c>
      <c r="AR142" s="281">
        <v>44089</v>
      </c>
      <c r="AS142" s="275">
        <f t="shared" si="17"/>
        <v>-206.87628125000009</v>
      </c>
      <c r="AU142" s="69">
        <f t="shared" si="18"/>
        <v>0</v>
      </c>
    </row>
    <row r="143" spans="17:48" x14ac:dyDescent="0.35">
      <c r="T143" s="683" t="str">
        <f t="shared" si="19"/>
        <v>169</v>
      </c>
      <c r="U143" s="281">
        <v>44090</v>
      </c>
      <c r="V143" s="642">
        <v>28.119499999999999</v>
      </c>
      <c r="W143" s="661">
        <v>28.119499999999999</v>
      </c>
      <c r="X143" s="661"/>
      <c r="Y143" s="639"/>
      <c r="Z143" s="277"/>
      <c r="AB143" s="276">
        <f>Z143-0.15</f>
        <v>-0.15</v>
      </c>
      <c r="AC143" s="276">
        <v>0.15</v>
      </c>
      <c r="AD143" s="276"/>
      <c r="AE143" s="276"/>
      <c r="AF143" s="276"/>
      <c r="AG143" s="276">
        <v>0.15</v>
      </c>
      <c r="AI143" s="122">
        <v>450</v>
      </c>
      <c r="AM143">
        <v>100</v>
      </c>
      <c r="AO143" s="222">
        <f>(0.0462+0.0721+0.1996)*1000/27.7</f>
        <v>11.476534296028881</v>
      </c>
      <c r="AP143" s="284">
        <f>AO143*$BA$4</f>
        <v>1.7372566721771863</v>
      </c>
      <c r="AQ143" s="280">
        <f t="shared" si="16"/>
        <v>-94.78822998346844</v>
      </c>
      <c r="AR143" s="281">
        <v>44090</v>
      </c>
      <c r="AS143" s="275">
        <f t="shared" si="17"/>
        <v>-206.87628125000009</v>
      </c>
      <c r="AU143" s="69">
        <f t="shared" si="18"/>
        <v>100</v>
      </c>
    </row>
    <row r="144" spans="17:48" x14ac:dyDescent="0.35">
      <c r="T144" s="683" t="str">
        <f t="shared" si="19"/>
        <v>179</v>
      </c>
      <c r="U144" s="281">
        <v>44091</v>
      </c>
      <c r="V144" s="642">
        <v>28.1127</v>
      </c>
      <c r="W144" s="661">
        <v>28.1127</v>
      </c>
      <c r="X144" s="661"/>
      <c r="Y144" s="639"/>
      <c r="Z144" s="277"/>
      <c r="AB144" s="276">
        <f>Z144-0.15</f>
        <v>-0.15</v>
      </c>
      <c r="AC144" s="276">
        <v>0.15</v>
      </c>
      <c r="AD144" s="276"/>
      <c r="AE144" s="276"/>
      <c r="AF144" s="276"/>
      <c r="AG144" s="276">
        <v>0.15</v>
      </c>
      <c r="AI144" s="122">
        <v>450</v>
      </c>
      <c r="AO144" s="222"/>
      <c r="AQ144" s="280">
        <f t="shared" si="16"/>
        <v>0</v>
      </c>
      <c r="AR144" s="281">
        <v>44091</v>
      </c>
      <c r="AS144" s="275">
        <f t="shared" si="17"/>
        <v>-306.87628125000009</v>
      </c>
      <c r="AU144" s="69">
        <f t="shared" si="18"/>
        <v>0</v>
      </c>
    </row>
    <row r="145" spans="19:47" x14ac:dyDescent="0.35">
      <c r="T145" s="683" t="str">
        <f t="shared" si="19"/>
        <v>189</v>
      </c>
      <c r="U145" s="281">
        <v>44092</v>
      </c>
      <c r="V145" s="642">
        <v>28.171800000000001</v>
      </c>
      <c r="W145" s="661">
        <v>28.171800000000001</v>
      </c>
      <c r="X145" s="661"/>
      <c r="Y145" s="639"/>
      <c r="Z145" s="277"/>
      <c r="AB145" s="276">
        <f>Z145-0.15</f>
        <v>-0.15</v>
      </c>
      <c r="AC145" s="276">
        <v>0.15</v>
      </c>
      <c r="AD145" s="276"/>
      <c r="AE145" s="276"/>
      <c r="AF145" s="276"/>
      <c r="AG145" s="276">
        <v>0.15</v>
      </c>
      <c r="AI145" s="122">
        <v>450</v>
      </c>
      <c r="AO145" s="222"/>
      <c r="AQ145" s="280">
        <f t="shared" si="16"/>
        <v>0</v>
      </c>
      <c r="AR145" s="281">
        <v>44092</v>
      </c>
      <c r="AS145" s="275">
        <f t="shared" si="17"/>
        <v>-306.87628125000009</v>
      </c>
      <c r="AU145" s="69">
        <f t="shared" si="18"/>
        <v>0</v>
      </c>
    </row>
    <row r="146" spans="19:47" x14ac:dyDescent="0.35">
      <c r="T146" s="683" t="str">
        <f t="shared" si="19"/>
        <v>219</v>
      </c>
      <c r="U146" s="281">
        <v>44095</v>
      </c>
      <c r="V146" s="642">
        <v>28.202200000000001</v>
      </c>
      <c r="W146" s="661">
        <v>28.202200000000001</v>
      </c>
      <c r="X146" s="661"/>
      <c r="Y146" s="639"/>
      <c r="Z146" s="277"/>
      <c r="AB146" s="276">
        <f>Z146-0.15</f>
        <v>-0.15</v>
      </c>
      <c r="AC146" s="276">
        <v>0.15</v>
      </c>
      <c r="AD146" s="276"/>
      <c r="AE146" s="276"/>
      <c r="AF146" s="276"/>
      <c r="AG146" s="276">
        <v>0.15</v>
      </c>
      <c r="AI146" s="122">
        <v>450</v>
      </c>
      <c r="AM146">
        <v>-50</v>
      </c>
      <c r="AO146" s="222"/>
      <c r="AQ146" s="280">
        <f t="shared" si="16"/>
        <v>50</v>
      </c>
      <c r="AR146" s="281">
        <v>44095</v>
      </c>
      <c r="AS146" s="275">
        <f t="shared" si="17"/>
        <v>-306.87628125000009</v>
      </c>
      <c r="AU146" s="69">
        <f t="shared" si="18"/>
        <v>0</v>
      </c>
    </row>
    <row r="147" spans="19:47" x14ac:dyDescent="0.35">
      <c r="T147" s="683" t="str">
        <f t="shared" si="19"/>
        <v>229</v>
      </c>
      <c r="U147" s="281">
        <v>44096</v>
      </c>
      <c r="V147" s="642">
        <v>28.2059</v>
      </c>
      <c r="W147" s="661">
        <v>28.2059</v>
      </c>
      <c r="X147" s="661"/>
      <c r="Y147" s="639"/>
      <c r="Z147" s="277"/>
      <c r="AB147" s="276">
        <f>Z147-0.15</f>
        <v>-0.15</v>
      </c>
      <c r="AC147" s="276">
        <v>0.15</v>
      </c>
      <c r="AD147" s="276"/>
      <c r="AE147" s="276"/>
      <c r="AF147" s="276"/>
      <c r="AG147" s="276">
        <v>0.15</v>
      </c>
      <c r="AI147" s="122">
        <v>450</v>
      </c>
      <c r="AM147">
        <v>-50</v>
      </c>
      <c r="AO147" s="222"/>
      <c r="AQ147" s="280">
        <f t="shared" si="16"/>
        <v>50</v>
      </c>
      <c r="AR147" s="281">
        <v>44096</v>
      </c>
      <c r="AS147" s="275">
        <f t="shared" si="17"/>
        <v>-306.87628125000009</v>
      </c>
      <c r="AU147" s="69">
        <f t="shared" si="18"/>
        <v>0</v>
      </c>
    </row>
    <row r="148" spans="19:47" x14ac:dyDescent="0.35">
      <c r="T148" s="683" t="str">
        <f t="shared" si="19"/>
        <v>239</v>
      </c>
      <c r="U148" s="281">
        <v>44097</v>
      </c>
      <c r="V148" s="642">
        <v>28.1874</v>
      </c>
      <c r="W148" s="661">
        <v>28.1874</v>
      </c>
      <c r="X148" s="661"/>
      <c r="Y148" s="639"/>
      <c r="Z148" s="277"/>
      <c r="AB148" s="276">
        <f t="shared" ref="AB148:AB153" si="20">Z148-0.15</f>
        <v>-0.15</v>
      </c>
      <c r="AC148" s="276">
        <v>0.15</v>
      </c>
      <c r="AD148" s="276"/>
      <c r="AE148" s="276"/>
      <c r="AF148" s="276"/>
      <c r="AG148" s="276">
        <v>0.15</v>
      </c>
      <c r="AI148" s="122">
        <v>450</v>
      </c>
      <c r="AM148">
        <v>100</v>
      </c>
      <c r="AO148" s="222">
        <f>(0.1625+0.087+0.1522+0.12+0.12+0.12+0.2182)*1000/27.7</f>
        <v>35.375451263537904</v>
      </c>
      <c r="AP148" s="284">
        <f>AO148*$BA$4</f>
        <v>5.3549475088594676</v>
      </c>
      <c r="AQ148" s="280">
        <f t="shared" si="16"/>
        <v>-83.935157473421597</v>
      </c>
      <c r="AR148" s="281">
        <v>44097</v>
      </c>
      <c r="AS148" s="275">
        <f t="shared" si="17"/>
        <v>-306.87628125000009</v>
      </c>
      <c r="AU148" s="69">
        <f t="shared" si="18"/>
        <v>100</v>
      </c>
    </row>
    <row r="149" spans="19:47" x14ac:dyDescent="0.35">
      <c r="T149" s="683" t="str">
        <f t="shared" si="19"/>
        <v>249</v>
      </c>
      <c r="U149" s="281">
        <v>44098</v>
      </c>
      <c r="V149" s="642">
        <v>28.248699999999999</v>
      </c>
      <c r="W149" s="661">
        <v>28.248699999999999</v>
      </c>
      <c r="X149" s="661"/>
      <c r="Y149" s="639"/>
      <c r="Z149" s="277"/>
      <c r="AB149" s="276">
        <f t="shared" si="20"/>
        <v>-0.15</v>
      </c>
      <c r="AC149" s="276">
        <v>0.15</v>
      </c>
      <c r="AD149" s="276"/>
      <c r="AE149" s="276"/>
      <c r="AF149" s="276"/>
      <c r="AG149" s="276">
        <v>0.15</v>
      </c>
      <c r="AI149" s="122">
        <v>450</v>
      </c>
      <c r="AO149" s="222"/>
      <c r="AQ149" s="280">
        <f t="shared" si="16"/>
        <v>0</v>
      </c>
      <c r="AR149" s="281">
        <v>44098</v>
      </c>
      <c r="AS149" s="275">
        <f t="shared" si="17"/>
        <v>-406.87628125000009</v>
      </c>
      <c r="AU149" s="69">
        <f t="shared" si="18"/>
        <v>0</v>
      </c>
    </row>
    <row r="150" spans="19:47" x14ac:dyDescent="0.35">
      <c r="T150" s="683" t="str">
        <f t="shared" si="19"/>
        <v>259</v>
      </c>
      <c r="U150" s="281">
        <v>44099</v>
      </c>
      <c r="V150" s="642">
        <v>28.267299999999999</v>
      </c>
      <c r="W150" s="661">
        <v>28.267299999999999</v>
      </c>
      <c r="X150" s="661"/>
      <c r="Y150" s="639"/>
      <c r="Z150" s="277"/>
      <c r="AB150" s="276">
        <f t="shared" si="20"/>
        <v>-0.15</v>
      </c>
      <c r="AC150" s="276">
        <v>0.15</v>
      </c>
      <c r="AD150" s="276"/>
      <c r="AE150" s="276"/>
      <c r="AF150" s="276"/>
      <c r="AG150" s="276">
        <v>0.15</v>
      </c>
      <c r="AI150" s="122">
        <v>450</v>
      </c>
      <c r="AN150">
        <f>110625000/10^6</f>
        <v>110.625</v>
      </c>
      <c r="AO150" s="222"/>
      <c r="AQ150" s="280">
        <f t="shared" si="16"/>
        <v>110.625</v>
      </c>
      <c r="AR150" s="281">
        <v>44099</v>
      </c>
      <c r="AS150" s="275">
        <f t="shared" si="17"/>
        <v>-406.87628125000009</v>
      </c>
      <c r="AU150" s="69">
        <f t="shared" si="18"/>
        <v>110.625</v>
      </c>
    </row>
    <row r="151" spans="19:47" x14ac:dyDescent="0.35">
      <c r="T151" s="683" t="str">
        <f t="shared" si="19"/>
        <v>289</v>
      </c>
      <c r="U151" s="281">
        <v>44102</v>
      </c>
      <c r="V151" s="642">
        <v>28.3062</v>
      </c>
      <c r="W151" s="661">
        <v>28.3062</v>
      </c>
      <c r="X151" s="661"/>
      <c r="Y151" s="639"/>
      <c r="Z151" s="277"/>
      <c r="AB151" s="276">
        <f t="shared" si="20"/>
        <v>-0.15</v>
      </c>
      <c r="AC151" s="276">
        <v>0.15</v>
      </c>
      <c r="AD151" s="276"/>
      <c r="AE151" s="276"/>
      <c r="AF151" s="276"/>
      <c r="AG151" s="276">
        <v>0.15</v>
      </c>
      <c r="AI151" s="122">
        <v>450</v>
      </c>
      <c r="AM151">
        <v>-50</v>
      </c>
      <c r="AO151" s="222"/>
      <c r="AQ151" s="280">
        <f t="shared" si="16"/>
        <v>50</v>
      </c>
      <c r="AR151" s="281">
        <v>44102</v>
      </c>
      <c r="AS151" s="275">
        <f t="shared" si="17"/>
        <v>-517.50128125000015</v>
      </c>
      <c r="AU151" s="69">
        <f t="shared" si="18"/>
        <v>0</v>
      </c>
    </row>
    <row r="152" spans="19:47" x14ac:dyDescent="0.35">
      <c r="T152" s="683" t="str">
        <f t="shared" si="19"/>
        <v>299</v>
      </c>
      <c r="U152" s="281">
        <v>44103</v>
      </c>
      <c r="V152" s="642">
        <v>28.2989</v>
      </c>
      <c r="W152" s="661">
        <v>28.2989</v>
      </c>
      <c r="X152" s="661"/>
      <c r="Y152" s="639"/>
      <c r="Z152" s="277"/>
      <c r="AB152" s="276">
        <f t="shared" si="20"/>
        <v>-0.15</v>
      </c>
      <c r="AC152" s="276">
        <v>0.15</v>
      </c>
      <c r="AD152" s="276"/>
      <c r="AE152" s="276"/>
      <c r="AF152" s="276"/>
      <c r="AG152" s="276">
        <v>0.15</v>
      </c>
      <c r="AI152" s="122">
        <v>450</v>
      </c>
      <c r="AM152">
        <v>-50</v>
      </c>
      <c r="AN152">
        <f>7355000/10^6</f>
        <v>7.3550000000000004</v>
      </c>
      <c r="AO152" s="222">
        <f>0.8985*1000/27.7</f>
        <v>32.43682310469314</v>
      </c>
      <c r="AP152" s="284">
        <f>AO152*$BA$4</f>
        <v>4.9101136204819182</v>
      </c>
      <c r="AQ152" s="280">
        <f t="shared" si="16"/>
        <v>72.085340861445758</v>
      </c>
      <c r="AR152" s="281">
        <v>44103</v>
      </c>
      <c r="AS152" s="275">
        <f t="shared" si="17"/>
        <v>-517.50128125000015</v>
      </c>
      <c r="AU152" s="69">
        <f t="shared" si="18"/>
        <v>7.3550000000000004</v>
      </c>
    </row>
    <row r="153" spans="19:47" x14ac:dyDescent="0.35">
      <c r="T153" s="683" t="str">
        <f t="shared" si="19"/>
        <v>309</v>
      </c>
      <c r="U153" s="281">
        <v>44104</v>
      </c>
      <c r="V153" s="642">
        <v>28.310500000000001</v>
      </c>
      <c r="W153" s="661">
        <v>28.310500000000001</v>
      </c>
      <c r="X153" s="661"/>
      <c r="Y153" s="639"/>
      <c r="Z153" s="277"/>
      <c r="AA153" s="300"/>
      <c r="AB153" s="276">
        <f t="shared" si="20"/>
        <v>-0.15</v>
      </c>
      <c r="AC153" s="276">
        <v>0.15</v>
      </c>
      <c r="AD153" s="276"/>
      <c r="AE153" s="276"/>
      <c r="AF153" s="276"/>
      <c r="AG153" s="276">
        <v>0.15</v>
      </c>
      <c r="AH153" s="300"/>
      <c r="AI153" s="122">
        <v>450</v>
      </c>
      <c r="AJ153" s="300"/>
      <c r="AK153" s="300"/>
      <c r="AL153" s="300"/>
      <c r="AM153" s="300">
        <v>100</v>
      </c>
      <c r="AN153" s="300"/>
      <c r="AO153" s="336">
        <f>(8.925+0.1652+0.125+0.1475+0.12+0.12)*1000/27.7</f>
        <v>346.66787003610114</v>
      </c>
      <c r="AP153" s="284">
        <f>AO153*$BA$4</f>
        <v>52.476736854092074</v>
      </c>
      <c r="AQ153" s="280">
        <f t="shared" si="16"/>
        <v>57.430210562276216</v>
      </c>
      <c r="AR153" s="281">
        <v>44104</v>
      </c>
      <c r="AS153" s="275">
        <f t="shared" si="17"/>
        <v>-524.85628125000017</v>
      </c>
      <c r="AU153" s="69">
        <f t="shared" si="18"/>
        <v>100</v>
      </c>
    </row>
    <row r="154" spans="19:47" x14ac:dyDescent="0.35">
      <c r="T154" s="683" t="str">
        <f t="shared" si="19"/>
        <v>110</v>
      </c>
      <c r="U154" s="281">
        <v>44105</v>
      </c>
      <c r="V154" s="642">
        <v>28.334299999999999</v>
      </c>
      <c r="W154" s="661">
        <v>28.334299999999999</v>
      </c>
      <c r="X154" s="661"/>
      <c r="Y154" s="639"/>
      <c r="Z154" s="277"/>
      <c r="AI154" s="548">
        <v>470</v>
      </c>
      <c r="AQ154" s="280">
        <f t="shared" si="16"/>
        <v>0</v>
      </c>
      <c r="AR154" s="281">
        <v>44105</v>
      </c>
    </row>
    <row r="155" spans="19:47" x14ac:dyDescent="0.35">
      <c r="S155" s="557"/>
      <c r="T155" s="683" t="str">
        <f t="shared" si="19"/>
        <v>210</v>
      </c>
      <c r="U155" s="281">
        <v>44106</v>
      </c>
      <c r="V155" s="286">
        <v>28.334299999999999</v>
      </c>
      <c r="W155" s="661">
        <v>28.340800000000002</v>
      </c>
      <c r="X155" s="661"/>
      <c r="Y155" s="639"/>
      <c r="Z155" s="277"/>
      <c r="AI155" s="548">
        <v>470</v>
      </c>
      <c r="AQ155" s="280">
        <f t="shared" si="16"/>
        <v>0</v>
      </c>
      <c r="AR155" s="281">
        <v>44106</v>
      </c>
    </row>
    <row r="156" spans="19:47" x14ac:dyDescent="0.35">
      <c r="S156" s="557"/>
      <c r="T156" s="683" t="str">
        <f t="shared" si="19"/>
        <v>510</v>
      </c>
      <c r="U156" s="281">
        <v>44109</v>
      </c>
      <c r="V156" s="286">
        <v>28.4009</v>
      </c>
      <c r="W156" s="661">
        <v>28.4009</v>
      </c>
      <c r="X156" s="661"/>
      <c r="Y156" s="639"/>
      <c r="Z156" s="277"/>
      <c r="AI156" s="548">
        <v>470</v>
      </c>
      <c r="AQ156" s="280">
        <f t="shared" si="16"/>
        <v>0</v>
      </c>
      <c r="AR156" s="281">
        <v>44109</v>
      </c>
    </row>
    <row r="157" spans="19:47" x14ac:dyDescent="0.35">
      <c r="S157" s="557"/>
      <c r="T157" s="683" t="str">
        <f t="shared" si="19"/>
        <v>610</v>
      </c>
      <c r="U157" s="281">
        <v>44110</v>
      </c>
      <c r="V157" s="286">
        <v>28.363900000000001</v>
      </c>
      <c r="W157" s="661">
        <v>28.363900000000001</v>
      </c>
      <c r="X157" s="661"/>
      <c r="Y157" s="639"/>
      <c r="Z157" s="277"/>
      <c r="AI157" s="548">
        <v>470</v>
      </c>
      <c r="AQ157" s="280">
        <f t="shared" si="16"/>
        <v>0</v>
      </c>
      <c r="AR157" s="281">
        <v>44110</v>
      </c>
    </row>
    <row r="158" spans="19:47" x14ac:dyDescent="0.35">
      <c r="S158" s="557"/>
      <c r="T158" s="683" t="str">
        <f t="shared" si="19"/>
        <v>710</v>
      </c>
      <c r="U158" s="281">
        <v>44111</v>
      </c>
      <c r="V158" s="286">
        <v>28.324000000000002</v>
      </c>
      <c r="W158" s="661">
        <v>28.324000000000002</v>
      </c>
      <c r="X158" s="661"/>
      <c r="Y158" s="639"/>
      <c r="Z158" s="277"/>
      <c r="AI158" s="548">
        <v>470</v>
      </c>
      <c r="AM158">
        <v>-250</v>
      </c>
      <c r="AQ158" s="280">
        <f t="shared" si="16"/>
        <v>250</v>
      </c>
      <c r="AR158" s="281">
        <v>44111</v>
      </c>
    </row>
    <row r="159" spans="19:47" x14ac:dyDescent="0.35">
      <c r="S159" s="557"/>
      <c r="T159" s="683" t="str">
        <f t="shared" si="19"/>
        <v>810</v>
      </c>
      <c r="U159" s="281">
        <v>44112</v>
      </c>
      <c r="V159" s="286">
        <v>28.2836</v>
      </c>
      <c r="W159" s="661">
        <v>28.2836</v>
      </c>
      <c r="X159" s="661"/>
      <c r="Y159" s="639"/>
      <c r="Z159" s="277"/>
      <c r="AI159" s="548">
        <v>470</v>
      </c>
      <c r="AO159" s="222">
        <f>(0.7037+0.1309+0.1972+0.196)*1000/27.7</f>
        <v>44.324909747292416</v>
      </c>
      <c r="AP159" s="284">
        <f>AO159*$BB$4</f>
        <v>2.8161172640545233</v>
      </c>
      <c r="AQ159" s="280">
        <f t="shared" si="16"/>
        <v>8.4483517921635709</v>
      </c>
      <c r="AR159" s="281">
        <v>44112</v>
      </c>
    </row>
    <row r="160" spans="19:47" x14ac:dyDescent="0.35">
      <c r="S160" s="557"/>
      <c r="T160" s="683" t="str">
        <f t="shared" si="19"/>
        <v>910</v>
      </c>
      <c r="U160" s="281">
        <v>44113</v>
      </c>
      <c r="V160" s="286">
        <v>28.2836</v>
      </c>
      <c r="W160" s="661">
        <v>28.209800000000001</v>
      </c>
      <c r="X160" s="661"/>
      <c r="Y160" s="639"/>
      <c r="Z160" s="277"/>
      <c r="AI160" s="548">
        <v>470</v>
      </c>
      <c r="AM160">
        <v>206.9</v>
      </c>
      <c r="AQ160" s="280">
        <f t="shared" si="16"/>
        <v>-206.9</v>
      </c>
      <c r="AR160" s="281">
        <v>44113</v>
      </c>
    </row>
    <row r="161" spans="19:44" x14ac:dyDescent="0.35">
      <c r="S161" s="557"/>
      <c r="T161" s="683" t="str">
        <f t="shared" si="19"/>
        <v>1210</v>
      </c>
      <c r="U161" s="281">
        <v>44116</v>
      </c>
      <c r="V161" s="286">
        <v>28.248100000000001</v>
      </c>
      <c r="W161" s="661">
        <v>28.248100000000001</v>
      </c>
      <c r="X161" s="661"/>
      <c r="Y161" s="639"/>
      <c r="Z161" s="277"/>
      <c r="AI161" s="548">
        <v>470</v>
      </c>
      <c r="AQ161" s="280">
        <f t="shared" si="16"/>
        <v>0</v>
      </c>
      <c r="AR161" s="281">
        <v>44116</v>
      </c>
    </row>
    <row r="162" spans="19:44" x14ac:dyDescent="0.35">
      <c r="S162" s="557"/>
      <c r="T162" s="683" t="str">
        <f t="shared" si="19"/>
        <v>1310</v>
      </c>
      <c r="U162" s="281">
        <v>44117</v>
      </c>
      <c r="V162" s="286">
        <v>28.248100000000001</v>
      </c>
      <c r="W162" s="661">
        <v>28.248100000000001</v>
      </c>
      <c r="X162" s="661"/>
      <c r="Y162" s="639"/>
      <c r="Z162" s="277"/>
      <c r="AI162" s="548">
        <v>470</v>
      </c>
      <c r="AO162" s="222">
        <f>(0.0787+0.0516+0.0957+0.0591+0.12+0.12)*1000/27.7</f>
        <v>18.956678700361007</v>
      </c>
      <c r="AP162" s="284">
        <f>AO162*$BB$4</f>
        <v>1.2043844073587149</v>
      </c>
      <c r="AQ162" s="280">
        <f t="shared" si="16"/>
        <v>3.6131532220761446</v>
      </c>
      <c r="AR162" s="281">
        <v>44117</v>
      </c>
    </row>
    <row r="163" spans="19:44" x14ac:dyDescent="0.35">
      <c r="S163" s="557"/>
      <c r="T163" s="683" t="str">
        <f t="shared" si="19"/>
        <v>1410</v>
      </c>
      <c r="U163" s="281">
        <v>44118</v>
      </c>
      <c r="V163" s="286">
        <v>28.316400000000002</v>
      </c>
      <c r="W163" s="661">
        <v>28.316400000000002</v>
      </c>
      <c r="X163" s="661"/>
      <c r="Y163" s="639"/>
      <c r="Z163" s="277"/>
      <c r="AI163" s="548">
        <v>470</v>
      </c>
      <c r="AQ163" s="280">
        <f t="shared" si="16"/>
        <v>0</v>
      </c>
      <c r="AR163" s="281">
        <v>44118</v>
      </c>
    </row>
    <row r="164" spans="19:44" x14ac:dyDescent="0.35">
      <c r="S164" s="557"/>
      <c r="T164" s="683" t="str">
        <f t="shared" si="19"/>
        <v>1510</v>
      </c>
      <c r="U164" s="281">
        <v>44119</v>
      </c>
      <c r="V164" s="286">
        <v>28.336500000000001</v>
      </c>
      <c r="W164" s="661">
        <v>28.336500000000001</v>
      </c>
      <c r="X164" s="661"/>
      <c r="Y164" s="639"/>
      <c r="Z164" s="277"/>
      <c r="AI164" s="548">
        <v>470</v>
      </c>
      <c r="AO164" s="222">
        <f>(0.0625)*1000/27.7</f>
        <v>2.256317689530686</v>
      </c>
      <c r="AP164" s="284">
        <f>AO164*$BB$4</f>
        <v>0.14335179101108303</v>
      </c>
      <c r="AQ164" s="280">
        <f t="shared" si="16"/>
        <v>0.43005537303324909</v>
      </c>
      <c r="AR164" s="281">
        <v>44119</v>
      </c>
    </row>
    <row r="165" spans="19:44" x14ac:dyDescent="0.35">
      <c r="S165" s="557"/>
      <c r="T165" s="683" t="str">
        <f t="shared" si="19"/>
        <v>1610</v>
      </c>
      <c r="U165" s="281">
        <v>44120</v>
      </c>
      <c r="V165" s="286">
        <v>28.336500000000001</v>
      </c>
      <c r="W165" s="661">
        <v>28.364899999999999</v>
      </c>
      <c r="X165" s="661"/>
      <c r="Y165" s="639"/>
      <c r="Z165" s="277"/>
      <c r="AI165" s="548">
        <v>470</v>
      </c>
      <c r="AQ165" s="280">
        <f t="shared" si="16"/>
        <v>0</v>
      </c>
      <c r="AR165" s="281">
        <v>44120</v>
      </c>
    </row>
    <row r="166" spans="19:44" x14ac:dyDescent="0.35">
      <c r="S166" s="557"/>
      <c r="T166" s="683" t="str">
        <f t="shared" si="19"/>
        <v>1910</v>
      </c>
      <c r="U166" s="281">
        <v>44123</v>
      </c>
      <c r="V166" s="286">
        <v>28.376200000000001</v>
      </c>
      <c r="W166" s="661">
        <v>28.376200000000001</v>
      </c>
      <c r="X166" s="661"/>
      <c r="Y166" s="639"/>
      <c r="Z166" s="277"/>
      <c r="AI166" s="548">
        <v>470</v>
      </c>
      <c r="AQ166" s="280">
        <f t="shared" si="16"/>
        <v>0</v>
      </c>
      <c r="AR166" s="281">
        <v>44123</v>
      </c>
    </row>
    <row r="167" spans="19:44" x14ac:dyDescent="0.35">
      <c r="S167" s="557"/>
      <c r="T167" s="683" t="str">
        <f t="shared" si="19"/>
        <v>2010</v>
      </c>
      <c r="U167" s="281">
        <v>44124</v>
      </c>
      <c r="V167" s="286">
        <v>28.370699999999999</v>
      </c>
      <c r="W167" s="661">
        <v>28.370699999999999</v>
      </c>
      <c r="X167" s="661"/>
      <c r="Y167" s="639"/>
      <c r="Z167" s="277"/>
      <c r="AA167" s="300"/>
      <c r="AB167" s="300"/>
      <c r="AC167" s="300"/>
      <c r="AD167" s="300"/>
      <c r="AE167" s="300"/>
      <c r="AF167" s="300"/>
      <c r="AG167" s="300"/>
      <c r="AH167" s="300"/>
      <c r="AI167" s="548">
        <v>470</v>
      </c>
      <c r="AJ167" s="300"/>
      <c r="AK167" s="300"/>
      <c r="AL167" s="300"/>
      <c r="AM167" s="300"/>
      <c r="AN167" s="300"/>
      <c r="AO167" s="300"/>
      <c r="AP167" s="300"/>
      <c r="AQ167" s="280">
        <f t="shared" si="16"/>
        <v>0</v>
      </c>
      <c r="AR167" s="281">
        <v>44124</v>
      </c>
    </row>
    <row r="168" spans="19:44" x14ac:dyDescent="0.35">
      <c r="S168" s="557"/>
      <c r="T168" s="683" t="str">
        <f t="shared" si="19"/>
        <v>2110</v>
      </c>
      <c r="U168" s="281">
        <v>44125</v>
      </c>
      <c r="V168" s="286">
        <v>28.273700000000002</v>
      </c>
      <c r="W168" s="661">
        <v>28.273700000000002</v>
      </c>
      <c r="X168" s="661"/>
      <c r="Y168" s="639"/>
      <c r="Z168" s="277"/>
      <c r="AI168" s="548">
        <v>470</v>
      </c>
      <c r="AQ168" s="280">
        <f t="shared" si="16"/>
        <v>0</v>
      </c>
      <c r="AR168" s="281">
        <v>44125</v>
      </c>
    </row>
    <row r="169" spans="19:44" x14ac:dyDescent="0.35">
      <c r="S169" s="557"/>
      <c r="T169" s="683" t="str">
        <f t="shared" si="19"/>
        <v>2210</v>
      </c>
      <c r="U169" s="281">
        <v>44126</v>
      </c>
      <c r="V169" s="286">
        <v>28.265000000000001</v>
      </c>
      <c r="W169" s="661">
        <v>28.265000000000001</v>
      </c>
      <c r="X169" s="661"/>
      <c r="Y169" s="639"/>
      <c r="Z169" s="277"/>
      <c r="AI169" s="548">
        <v>470</v>
      </c>
      <c r="AQ169" s="280">
        <f t="shared" si="16"/>
        <v>0</v>
      </c>
      <c r="AR169" s="281">
        <v>44126</v>
      </c>
    </row>
    <row r="170" spans="19:44" x14ac:dyDescent="0.35">
      <c r="S170" s="557"/>
      <c r="T170" s="683" t="str">
        <f t="shared" si="19"/>
        <v>2310</v>
      </c>
      <c r="U170" s="281">
        <v>44127</v>
      </c>
      <c r="V170" s="286">
        <v>28.265000000000001</v>
      </c>
      <c r="W170" s="661">
        <v>28.2911</v>
      </c>
      <c r="X170" s="661"/>
      <c r="Y170" s="639"/>
      <c r="Z170" s="277"/>
      <c r="AI170" s="548">
        <v>470</v>
      </c>
      <c r="AQ170" s="280">
        <f t="shared" si="16"/>
        <v>0</v>
      </c>
      <c r="AR170" s="281">
        <v>44127</v>
      </c>
    </row>
    <row r="171" spans="19:44" x14ac:dyDescent="0.35">
      <c r="S171" s="557"/>
      <c r="T171" s="683" t="str">
        <f t="shared" si="19"/>
        <v>2610</v>
      </c>
      <c r="U171" s="281">
        <v>44130</v>
      </c>
      <c r="V171" s="286">
        <v>28.3352</v>
      </c>
      <c r="W171" s="661">
        <v>28.3352</v>
      </c>
      <c r="X171" s="661"/>
      <c r="Y171" s="639"/>
      <c r="Z171" s="277"/>
      <c r="AI171" s="548">
        <v>430</v>
      </c>
      <c r="AQ171" s="280">
        <f t="shared" si="16"/>
        <v>0</v>
      </c>
      <c r="AR171" s="281">
        <v>44130</v>
      </c>
    </row>
    <row r="172" spans="19:44" x14ac:dyDescent="0.35">
      <c r="S172" s="557"/>
      <c r="T172" s="683" t="str">
        <f t="shared" si="19"/>
        <v>2710</v>
      </c>
      <c r="U172" s="281">
        <v>44131</v>
      </c>
      <c r="V172" s="286">
        <v>28.365500000000001</v>
      </c>
      <c r="W172" s="661">
        <v>28.365500000000001</v>
      </c>
      <c r="X172" s="661"/>
      <c r="Y172" s="639"/>
      <c r="Z172" s="277"/>
      <c r="AI172" s="548">
        <v>430</v>
      </c>
      <c r="AQ172" s="280">
        <f t="shared" si="16"/>
        <v>0</v>
      </c>
      <c r="AR172" s="281">
        <v>44131</v>
      </c>
    </row>
    <row r="173" spans="19:44" x14ac:dyDescent="0.35">
      <c r="S173" s="557"/>
      <c r="T173" s="683" t="str">
        <f t="shared" si="19"/>
        <v>2810</v>
      </c>
      <c r="U173" s="281">
        <v>44132</v>
      </c>
      <c r="V173" s="286">
        <v>28.398900000000001</v>
      </c>
      <c r="W173" s="661">
        <v>28.398900000000001</v>
      </c>
      <c r="X173" s="661"/>
      <c r="Y173" s="639"/>
      <c r="Z173" s="277"/>
      <c r="AI173" s="548">
        <v>430</v>
      </c>
      <c r="AQ173" s="280">
        <f t="shared" si="16"/>
        <v>0</v>
      </c>
      <c r="AR173" s="281">
        <v>44132</v>
      </c>
    </row>
    <row r="174" spans="19:44" x14ac:dyDescent="0.35">
      <c r="S174" s="557"/>
      <c r="T174" s="683" t="str">
        <f t="shared" si="19"/>
        <v>2910</v>
      </c>
      <c r="U174" s="281">
        <v>44133</v>
      </c>
      <c r="V174" s="286">
        <v>28.438300000000002</v>
      </c>
      <c r="W174" s="661">
        <v>28.438300000000002</v>
      </c>
      <c r="X174" s="661"/>
      <c r="Y174" s="639"/>
      <c r="Z174" s="277"/>
      <c r="AI174" s="548">
        <v>430</v>
      </c>
      <c r="AQ174" s="280">
        <f t="shared" si="16"/>
        <v>0</v>
      </c>
      <c r="AR174" s="281">
        <v>44133</v>
      </c>
    </row>
    <row r="175" spans="19:44" x14ac:dyDescent="0.35">
      <c r="S175" s="557"/>
      <c r="T175" s="683" t="str">
        <f t="shared" si="19"/>
        <v>3010</v>
      </c>
      <c r="U175" s="281">
        <v>44134</v>
      </c>
      <c r="V175" s="286">
        <v>28.438300000000002</v>
      </c>
      <c r="W175" s="661">
        <v>28.450700000000001</v>
      </c>
      <c r="X175" s="661"/>
      <c r="Y175" s="639"/>
      <c r="Z175" s="277"/>
      <c r="AA175" s="648" t="s">
        <v>258</v>
      </c>
      <c r="AB175" s="300"/>
      <c r="AC175" s="300"/>
      <c r="AD175" s="300"/>
      <c r="AE175" s="300"/>
      <c r="AF175" s="300"/>
      <c r="AG175" s="300"/>
      <c r="AH175" s="300"/>
      <c r="AI175" s="548">
        <v>430</v>
      </c>
      <c r="AJ175" s="300"/>
      <c r="AK175" s="300"/>
      <c r="AL175" s="300"/>
      <c r="AM175" s="300"/>
      <c r="AN175" s="300"/>
      <c r="AO175" s="300"/>
      <c r="AP175" s="300"/>
      <c r="AQ175" s="280">
        <f t="shared" si="16"/>
        <v>0</v>
      </c>
      <c r="AR175" s="281">
        <v>44134</v>
      </c>
    </row>
    <row r="176" spans="19:44" x14ac:dyDescent="0.35">
      <c r="S176" s="557"/>
      <c r="T176" s="683" t="str">
        <f t="shared" si="19"/>
        <v>211</v>
      </c>
      <c r="U176" s="281">
        <v>44137</v>
      </c>
      <c r="V176" s="643">
        <v>28.450700000000001</v>
      </c>
      <c r="W176" s="661">
        <v>28.582699999999999</v>
      </c>
      <c r="X176" s="661"/>
      <c r="Y176" s="640">
        <f>V176</f>
        <v>28.450700000000001</v>
      </c>
      <c r="Z176" s="559">
        <f t="shared" ref="Z176:Z239" si="21">V176</f>
        <v>28.450700000000001</v>
      </c>
      <c r="AI176" s="548">
        <v>430</v>
      </c>
      <c r="AN176" s="113">
        <f>49.182+78</f>
        <v>127.182</v>
      </c>
      <c r="AQ176" s="280">
        <f t="shared" si="16"/>
        <v>127.182</v>
      </c>
      <c r="AR176" s="299">
        <v>44137</v>
      </c>
    </row>
    <row r="177" spans="19:44" x14ac:dyDescent="0.35">
      <c r="S177" s="557"/>
      <c r="T177" s="683" t="str">
        <f t="shared" si="19"/>
        <v>311</v>
      </c>
      <c r="U177" s="281">
        <v>44138</v>
      </c>
      <c r="V177" s="643">
        <v>28.582699999999999</v>
      </c>
      <c r="W177" s="661">
        <v>28.6</v>
      </c>
      <c r="X177" s="661"/>
      <c r="Y177" s="640">
        <f t="shared" ref="Y177:Y240" si="22">V177</f>
        <v>28.582699999999999</v>
      </c>
      <c r="Z177" s="559">
        <f t="shared" si="21"/>
        <v>28.582699999999999</v>
      </c>
      <c r="AI177" s="548">
        <v>430</v>
      </c>
      <c r="AQ177" s="280">
        <f t="shared" si="16"/>
        <v>0</v>
      </c>
      <c r="AR177" s="281">
        <v>44138</v>
      </c>
    </row>
    <row r="178" spans="19:44" x14ac:dyDescent="0.35">
      <c r="S178" s="557"/>
      <c r="T178" s="683" t="str">
        <f t="shared" si="19"/>
        <v>411</v>
      </c>
      <c r="U178" s="281">
        <v>44139</v>
      </c>
      <c r="V178" s="643">
        <v>28.6</v>
      </c>
      <c r="W178" s="661">
        <v>28.507400000000001</v>
      </c>
      <c r="X178" s="661"/>
      <c r="Y178" s="640">
        <f t="shared" si="22"/>
        <v>28.6</v>
      </c>
      <c r="Z178" s="559">
        <f t="shared" si="21"/>
        <v>28.6</v>
      </c>
      <c r="AI178" s="548">
        <v>430</v>
      </c>
      <c r="AO178" s="222">
        <f>(0.075+0.2142+0.12+0.1258)*1000/28.1</f>
        <v>19.039145907473308</v>
      </c>
      <c r="AP178" s="284">
        <f>AO178*$BB$4</f>
        <v>1.2096238387978617</v>
      </c>
      <c r="AQ178" s="280">
        <f t="shared" si="16"/>
        <v>3.628871516393585</v>
      </c>
      <c r="AR178" s="281">
        <v>44139</v>
      </c>
    </row>
    <row r="179" spans="19:44" x14ac:dyDescent="0.35">
      <c r="S179" s="557"/>
      <c r="T179" s="683" t="str">
        <f t="shared" si="19"/>
        <v>511</v>
      </c>
      <c r="U179" s="281">
        <v>44140</v>
      </c>
      <c r="V179" s="643">
        <v>28.507400000000001</v>
      </c>
      <c r="W179" s="661">
        <v>28.3643</v>
      </c>
      <c r="X179" s="661"/>
      <c r="Y179" s="640">
        <f t="shared" si="22"/>
        <v>28.507400000000001</v>
      </c>
      <c r="Z179" s="559">
        <f t="shared" si="21"/>
        <v>28.507400000000001</v>
      </c>
      <c r="AI179" s="548">
        <v>430</v>
      </c>
      <c r="AQ179" s="280">
        <f t="shared" si="16"/>
        <v>0</v>
      </c>
      <c r="AR179" s="281">
        <v>44140</v>
      </c>
    </row>
    <row r="180" spans="19:44" x14ac:dyDescent="0.35">
      <c r="S180" s="557"/>
      <c r="T180" s="683" t="str">
        <f t="shared" si="19"/>
        <v>611</v>
      </c>
      <c r="U180" s="281">
        <v>44141</v>
      </c>
      <c r="V180" s="643">
        <v>28.3643</v>
      </c>
      <c r="W180" s="661">
        <v>28.137499999999999</v>
      </c>
      <c r="X180" s="661"/>
      <c r="Y180" s="640">
        <f t="shared" si="22"/>
        <v>28.3643</v>
      </c>
      <c r="Z180" s="559">
        <f t="shared" si="21"/>
        <v>28.3643</v>
      </c>
      <c r="AI180" s="548">
        <v>430</v>
      </c>
      <c r="AO180" s="222">
        <f>(0.2031)*1000/28.1</f>
        <v>7.227758007117437</v>
      </c>
      <c r="AP180" s="284">
        <f>AO180*$BB$4</f>
        <v>0.45920486291559948</v>
      </c>
      <c r="AQ180" s="280">
        <f t="shared" si="16"/>
        <v>1.3776145887467983</v>
      </c>
      <c r="AR180" s="281">
        <v>44141</v>
      </c>
    </row>
    <row r="181" spans="19:44" x14ac:dyDescent="0.35">
      <c r="S181" s="557"/>
      <c r="T181" s="683" t="str">
        <f t="shared" si="19"/>
        <v>911</v>
      </c>
      <c r="U181" s="281">
        <v>44144</v>
      </c>
      <c r="V181" s="643">
        <v>28.137499999999999</v>
      </c>
      <c r="W181" s="661">
        <v>28.111599999999999</v>
      </c>
      <c r="X181" s="661"/>
      <c r="Y181" s="640">
        <f t="shared" si="22"/>
        <v>28.137499999999999</v>
      </c>
      <c r="Z181" s="559">
        <f t="shared" si="21"/>
        <v>28.137499999999999</v>
      </c>
      <c r="AI181" s="548">
        <v>430</v>
      </c>
      <c r="AQ181" s="280">
        <f t="shared" si="16"/>
        <v>0</v>
      </c>
      <c r="AR181" s="281">
        <v>44144</v>
      </c>
    </row>
    <row r="182" spans="19:44" x14ac:dyDescent="0.35">
      <c r="S182" s="557"/>
      <c r="T182" s="683" t="str">
        <f t="shared" si="19"/>
        <v>1011</v>
      </c>
      <c r="U182" s="281">
        <v>44145</v>
      </c>
      <c r="V182" s="643">
        <v>28.111599999999999</v>
      </c>
      <c r="W182" s="661">
        <v>28.1206</v>
      </c>
      <c r="X182" s="661"/>
      <c r="Y182" s="640">
        <f t="shared" si="22"/>
        <v>28.111599999999999</v>
      </c>
      <c r="Z182" s="559">
        <f t="shared" si="21"/>
        <v>28.111599999999999</v>
      </c>
      <c r="AI182" s="548">
        <v>430</v>
      </c>
      <c r="AO182" s="222">
        <f>(0.5444*12)*1000/28.1</f>
        <v>232.48398576512454</v>
      </c>
      <c r="AP182" s="284">
        <f>AO182*$BB$4</f>
        <v>14.770524512333965</v>
      </c>
      <c r="AQ182" s="280">
        <f t="shared" si="16"/>
        <v>44.311573537001898</v>
      </c>
      <c r="AR182" s="281">
        <v>44145</v>
      </c>
    </row>
    <row r="183" spans="19:44" x14ac:dyDescent="0.35">
      <c r="S183" s="557"/>
      <c r="T183" s="683" t="str">
        <f t="shared" si="19"/>
        <v>1111</v>
      </c>
      <c r="U183" s="281">
        <v>44146</v>
      </c>
      <c r="V183" s="643">
        <v>28.1206</v>
      </c>
      <c r="W183" s="661">
        <v>28.161000000000001</v>
      </c>
      <c r="X183" s="661"/>
      <c r="Y183" s="640">
        <f t="shared" si="22"/>
        <v>28.1206</v>
      </c>
      <c r="Z183" s="559">
        <f t="shared" si="21"/>
        <v>28.1206</v>
      </c>
      <c r="AI183" s="548">
        <v>430</v>
      </c>
      <c r="AO183" s="222">
        <f>(0.797+0.087+0.0297)*1000/28.1</f>
        <v>32.516014234875442</v>
      </c>
      <c r="AP183" s="284">
        <f>AO183*$BB$4</f>
        <v>2.0658566383357124</v>
      </c>
      <c r="AQ183" s="280">
        <f t="shared" si="16"/>
        <v>6.1975699150071373</v>
      </c>
      <c r="AR183" s="281">
        <v>44146</v>
      </c>
    </row>
    <row r="184" spans="19:44" x14ac:dyDescent="0.35">
      <c r="S184" s="557"/>
      <c r="T184" s="683" t="str">
        <f t="shared" si="19"/>
        <v>1211</v>
      </c>
      <c r="U184" s="281">
        <v>44147</v>
      </c>
      <c r="V184" s="643">
        <v>28.161000000000001</v>
      </c>
      <c r="W184" s="661">
        <v>28.196300000000001</v>
      </c>
      <c r="X184" s="661"/>
      <c r="Y184" s="640">
        <f t="shared" si="22"/>
        <v>28.161000000000001</v>
      </c>
      <c r="Z184" s="559">
        <f t="shared" si="21"/>
        <v>28.161000000000001</v>
      </c>
      <c r="AI184" s="548">
        <v>430</v>
      </c>
      <c r="AM184" s="557">
        <f>0.0047*1.18*1000</f>
        <v>5.5459999999999994</v>
      </c>
      <c r="AQ184" s="280">
        <f t="shared" si="16"/>
        <v>-5.5459999999999994</v>
      </c>
      <c r="AR184" s="281">
        <v>44147</v>
      </c>
    </row>
    <row r="185" spans="19:44" x14ac:dyDescent="0.35">
      <c r="S185" s="557"/>
      <c r="T185" s="683" t="str">
        <f t="shared" si="19"/>
        <v>1311</v>
      </c>
      <c r="U185" s="281">
        <v>44148</v>
      </c>
      <c r="V185" s="643">
        <v>28.196300000000001</v>
      </c>
      <c r="W185" s="661">
        <v>28.1158</v>
      </c>
      <c r="X185" s="661"/>
      <c r="Y185" s="640">
        <f t="shared" si="22"/>
        <v>28.196300000000001</v>
      </c>
      <c r="Z185" s="559">
        <f t="shared" si="21"/>
        <v>28.196300000000001</v>
      </c>
      <c r="AI185" s="548">
        <v>430</v>
      </c>
      <c r="AQ185" s="280">
        <f t="shared" si="16"/>
        <v>0</v>
      </c>
      <c r="AR185" s="281">
        <v>44148</v>
      </c>
    </row>
    <row r="186" spans="19:44" x14ac:dyDescent="0.35">
      <c r="S186" s="557"/>
      <c r="T186" s="683" t="str">
        <f t="shared" si="19"/>
        <v>1611</v>
      </c>
      <c r="U186" s="281">
        <v>44151</v>
      </c>
      <c r="V186" s="643">
        <v>28.1158</v>
      </c>
      <c r="W186" s="661">
        <v>28.111999999999998</v>
      </c>
      <c r="X186" s="661"/>
      <c r="Y186" s="640">
        <f t="shared" si="22"/>
        <v>28.1158</v>
      </c>
      <c r="Z186" s="559">
        <f t="shared" si="21"/>
        <v>28.1158</v>
      </c>
      <c r="AI186" s="548">
        <v>430</v>
      </c>
      <c r="AO186" s="222">
        <f>(0.1413+0.1411+0.2907)*1000/28.1</f>
        <v>20.395017793594302</v>
      </c>
      <c r="AP186" s="284">
        <f>AO186*$BB$4</f>
        <v>1.2957671439533729</v>
      </c>
      <c r="AQ186" s="280">
        <f t="shared" si="16"/>
        <v>3.8873014318601187</v>
      </c>
      <c r="AR186" s="281">
        <v>44151</v>
      </c>
    </row>
    <row r="187" spans="19:44" x14ac:dyDescent="0.35">
      <c r="S187" s="557"/>
      <c r="T187" s="683" t="str">
        <f t="shared" si="19"/>
        <v>1711</v>
      </c>
      <c r="U187" s="281">
        <v>44152</v>
      </c>
      <c r="V187" s="286">
        <v>28.111999999999998</v>
      </c>
      <c r="W187" s="661">
        <v>28.1067</v>
      </c>
      <c r="X187" s="661"/>
      <c r="Y187" s="640">
        <f t="shared" si="22"/>
        <v>28.111999999999998</v>
      </c>
      <c r="Z187" s="559">
        <f t="shared" si="21"/>
        <v>28.111999999999998</v>
      </c>
      <c r="AI187" s="548">
        <v>430</v>
      </c>
      <c r="AQ187" s="280">
        <f t="shared" ref="AQ187:AQ250" si="23">-AM187+AN187+(AP187*3)</f>
        <v>0</v>
      </c>
      <c r="AR187" s="281">
        <v>44152</v>
      </c>
    </row>
    <row r="188" spans="19:44" x14ac:dyDescent="0.35">
      <c r="S188" s="557"/>
      <c r="T188" s="683" t="str">
        <f t="shared" si="19"/>
        <v>1811</v>
      </c>
      <c r="U188" s="281">
        <v>44153</v>
      </c>
      <c r="V188" s="286">
        <v>28.1067</v>
      </c>
      <c r="W188" s="661">
        <v>28.13</v>
      </c>
      <c r="X188" s="661"/>
      <c r="Y188" s="640">
        <f t="shared" si="22"/>
        <v>28.1067</v>
      </c>
      <c r="Z188" s="559">
        <f t="shared" si="21"/>
        <v>28.1067</v>
      </c>
      <c r="AI188" s="548">
        <v>430</v>
      </c>
      <c r="AO188" s="222">
        <f>(0.1573+0.9789+0.0737+0.2849+0.199)*1000/28.1</f>
        <v>60.277580071174384</v>
      </c>
      <c r="AP188" s="284">
        <f>AO188*$BB$4</f>
        <v>3.8296464638426517</v>
      </c>
      <c r="AQ188" s="280">
        <f t="shared" si="23"/>
        <v>11.488939391527955</v>
      </c>
      <c r="AR188" s="281">
        <v>44153</v>
      </c>
    </row>
    <row r="189" spans="19:44" x14ac:dyDescent="0.35">
      <c r="S189" s="557"/>
      <c r="T189" s="683" t="str">
        <f t="shared" si="19"/>
        <v>1911</v>
      </c>
      <c r="U189" s="281">
        <v>44154</v>
      </c>
      <c r="V189" s="286">
        <v>28.13</v>
      </c>
      <c r="W189" s="661">
        <v>28.257200000000001</v>
      </c>
      <c r="X189" s="661"/>
      <c r="Y189" s="640">
        <f t="shared" si="22"/>
        <v>28.13</v>
      </c>
      <c r="Z189" s="559">
        <f t="shared" si="21"/>
        <v>28.13</v>
      </c>
      <c r="AI189" s="548">
        <v>430</v>
      </c>
      <c r="AM189" s="557">
        <f>0.2022*1.18*1000</f>
        <v>238.59599999999998</v>
      </c>
      <c r="AO189" s="222">
        <f>(0.1956)*1000/28.1</f>
        <v>6.9608540925266897</v>
      </c>
      <c r="AP189" s="284">
        <f>AO189*$BB$4</f>
        <v>0.44224751938105</v>
      </c>
      <c r="AQ189" s="280">
        <f t="shared" si="23"/>
        <v>-237.26925744185684</v>
      </c>
      <c r="AR189" s="281">
        <v>44154</v>
      </c>
    </row>
    <row r="190" spans="19:44" x14ac:dyDescent="0.35">
      <c r="S190" s="557"/>
      <c r="T190" s="683" t="str">
        <f t="shared" si="19"/>
        <v>2011</v>
      </c>
      <c r="U190" s="281">
        <v>44155</v>
      </c>
      <c r="V190" s="286">
        <v>28.257200000000001</v>
      </c>
      <c r="W190" s="661">
        <v>28.3553</v>
      </c>
      <c r="X190" s="661"/>
      <c r="Y190" s="640">
        <f t="shared" si="22"/>
        <v>28.257200000000001</v>
      </c>
      <c r="Z190" s="559">
        <f t="shared" si="21"/>
        <v>28.257200000000001</v>
      </c>
      <c r="AI190" s="548">
        <v>430</v>
      </c>
      <c r="AQ190" s="280">
        <f t="shared" si="23"/>
        <v>0</v>
      </c>
      <c r="AR190" s="281">
        <v>44155</v>
      </c>
    </row>
    <row r="191" spans="19:44" x14ac:dyDescent="0.35">
      <c r="S191" s="557"/>
      <c r="T191" s="683" t="str">
        <f t="shared" si="19"/>
        <v>2311</v>
      </c>
      <c r="U191" s="281">
        <v>44158</v>
      </c>
      <c r="V191" s="286">
        <v>28.3553</v>
      </c>
      <c r="W191" s="661">
        <v>28.369399999999999</v>
      </c>
      <c r="X191" s="661"/>
      <c r="Y191" s="640">
        <f t="shared" si="22"/>
        <v>28.3553</v>
      </c>
      <c r="Z191" s="559">
        <f t="shared" si="21"/>
        <v>28.3553</v>
      </c>
      <c r="AI191" s="548">
        <v>430</v>
      </c>
      <c r="AO191" s="222">
        <f>(0.1922+0.0458+0.0451+0.2686)*1000/28.1</f>
        <v>19.633451957295375</v>
      </c>
      <c r="AP191" s="284">
        <f t="shared" ref="AP191:AP196" si="24">AO191*$BB$4</f>
        <v>1.2473821904014586</v>
      </c>
      <c r="AQ191" s="280">
        <f t="shared" si="23"/>
        <v>3.7421465712043758</v>
      </c>
      <c r="AR191" s="281">
        <v>44158</v>
      </c>
    </row>
    <row r="192" spans="19:44" x14ac:dyDescent="0.35">
      <c r="S192" s="557"/>
      <c r="T192" s="683" t="str">
        <f t="shared" si="19"/>
        <v>2411</v>
      </c>
      <c r="U192" s="281">
        <v>44159</v>
      </c>
      <c r="V192" s="286">
        <v>28.369399999999999</v>
      </c>
      <c r="W192" s="661">
        <v>28.374099999999999</v>
      </c>
      <c r="X192" s="661"/>
      <c r="Y192" s="640">
        <f t="shared" si="22"/>
        <v>28.369399999999999</v>
      </c>
      <c r="Z192" s="559">
        <f t="shared" si="21"/>
        <v>28.369399999999999</v>
      </c>
      <c r="AI192" s="548">
        <v>430</v>
      </c>
      <c r="AO192" s="222">
        <f>(0.261)*1000/28.1</f>
        <v>9.2882562277580067</v>
      </c>
      <c r="AP192" s="284">
        <f t="shared" si="24"/>
        <v>0.59011555500232138</v>
      </c>
      <c r="AQ192" s="280">
        <f t="shared" si="23"/>
        <v>1.7703466650069641</v>
      </c>
      <c r="AR192" s="281">
        <v>44159</v>
      </c>
    </row>
    <row r="193" spans="19:44" x14ac:dyDescent="0.35">
      <c r="S193" s="557"/>
      <c r="T193" s="683" t="str">
        <f t="shared" si="19"/>
        <v>2511</v>
      </c>
      <c r="U193" s="281">
        <v>44160</v>
      </c>
      <c r="V193" s="286">
        <v>28.374099999999999</v>
      </c>
      <c r="W193" s="661">
        <v>28.381599999999999</v>
      </c>
      <c r="X193" s="661"/>
      <c r="Y193" s="640">
        <f t="shared" si="22"/>
        <v>28.374099999999999</v>
      </c>
      <c r="Z193" s="559">
        <f t="shared" si="21"/>
        <v>28.374099999999999</v>
      </c>
      <c r="AI193" s="548">
        <v>430</v>
      </c>
      <c r="AO193" s="222">
        <f>(10.4148+1.4665+0.5176+0.6426+0.1064+0.087+0.12+0.1958+0.2646+0.2547)*1000/28.1</f>
        <v>500.7117437722419</v>
      </c>
      <c r="AP193" s="284">
        <f t="shared" si="24"/>
        <v>31.811976470814791</v>
      </c>
      <c r="AQ193" s="280">
        <f t="shared" si="23"/>
        <v>95.435929412444381</v>
      </c>
      <c r="AR193" s="281">
        <v>44160</v>
      </c>
    </row>
    <row r="194" spans="19:44" x14ac:dyDescent="0.35">
      <c r="S194" s="557"/>
      <c r="T194" s="683" t="str">
        <f t="shared" si="19"/>
        <v>2611</v>
      </c>
      <c r="U194" s="281">
        <v>44161</v>
      </c>
      <c r="V194" s="286">
        <v>28.381599999999999</v>
      </c>
      <c r="W194" s="661">
        <v>28.442799999999998</v>
      </c>
      <c r="X194" s="661"/>
      <c r="Y194" s="640">
        <f t="shared" si="22"/>
        <v>28.381599999999999</v>
      </c>
      <c r="Z194" s="559">
        <f t="shared" si="21"/>
        <v>28.381599999999999</v>
      </c>
      <c r="AI194" s="548">
        <v>430</v>
      </c>
      <c r="AO194" s="222">
        <f>(0.2577+0.2486)*1000/28.1</f>
        <v>18.017793594306049</v>
      </c>
      <c r="AP194" s="284">
        <f t="shared" si="24"/>
        <v>1.1447337375389859</v>
      </c>
      <c r="AQ194" s="280">
        <f t="shared" si="23"/>
        <v>3.4342012126169577</v>
      </c>
      <c r="AR194" s="281">
        <v>44161</v>
      </c>
    </row>
    <row r="195" spans="19:44" x14ac:dyDescent="0.35">
      <c r="S195" s="557"/>
      <c r="T195" s="683" t="str">
        <f t="shared" si="19"/>
        <v>2711</v>
      </c>
      <c r="U195" s="281">
        <v>44162</v>
      </c>
      <c r="V195" s="286">
        <v>28.442799999999998</v>
      </c>
      <c r="W195" s="661">
        <v>28.4681</v>
      </c>
      <c r="X195" s="661"/>
      <c r="Y195" s="640">
        <f t="shared" si="22"/>
        <v>28.442799999999998</v>
      </c>
      <c r="Z195" s="559">
        <f t="shared" si="21"/>
        <v>28.442799999999998</v>
      </c>
      <c r="AI195" s="548">
        <v>430</v>
      </c>
      <c r="AO195" s="222">
        <f>(0.2513)*1000/28.1</f>
        <v>8.9430604982206408</v>
      </c>
      <c r="AP195" s="284">
        <f t="shared" si="24"/>
        <v>0.56818405736430411</v>
      </c>
      <c r="AQ195" s="280">
        <f t="shared" si="23"/>
        <v>1.7045521720929124</v>
      </c>
      <c r="AR195" s="281">
        <v>44162</v>
      </c>
    </row>
    <row r="196" spans="19:44" x14ac:dyDescent="0.35">
      <c r="S196" s="557"/>
      <c r="T196" s="683" t="str">
        <f t="shared" si="19"/>
        <v>3011</v>
      </c>
      <c r="U196" s="281">
        <v>44165</v>
      </c>
      <c r="V196" s="286">
        <v>28.4681</v>
      </c>
      <c r="W196" s="661">
        <v>28.496200000000002</v>
      </c>
      <c r="X196" s="661"/>
      <c r="Y196" s="640">
        <f t="shared" si="22"/>
        <v>28.4681</v>
      </c>
      <c r="Z196" s="559">
        <f t="shared" si="21"/>
        <v>28.4681</v>
      </c>
      <c r="AA196" s="300"/>
      <c r="AB196" s="300"/>
      <c r="AC196" s="300"/>
      <c r="AD196" s="300"/>
      <c r="AE196" s="300"/>
      <c r="AF196" s="300"/>
      <c r="AG196" s="300"/>
      <c r="AH196" s="300"/>
      <c r="AI196" s="548">
        <v>430</v>
      </c>
      <c r="AJ196" s="300"/>
      <c r="AK196" s="300"/>
      <c r="AL196" s="300"/>
      <c r="AM196" s="300"/>
      <c r="AN196" s="300"/>
      <c r="AO196" s="336">
        <f>(0.2456)*1000/28.1</f>
        <v>8.7402135231316738</v>
      </c>
      <c r="AP196" s="284">
        <f t="shared" si="24"/>
        <v>0.55529647627804657</v>
      </c>
      <c r="AQ196" s="280">
        <f t="shared" si="23"/>
        <v>1.6658894288341397</v>
      </c>
      <c r="AR196" s="281">
        <v>44165</v>
      </c>
    </row>
    <row r="197" spans="19:44" x14ac:dyDescent="0.35">
      <c r="S197" s="557"/>
      <c r="T197" s="683" t="str">
        <f t="shared" ref="T197:T260" si="25">DAY(U197)&amp;MONTH(U197)</f>
        <v>112</v>
      </c>
      <c r="U197" s="281">
        <v>44166</v>
      </c>
      <c r="V197" s="286">
        <v>28.496200000000002</v>
      </c>
      <c r="W197" s="661">
        <v>28.558299999999999</v>
      </c>
      <c r="X197" s="661"/>
      <c r="Y197" s="640">
        <f t="shared" si="22"/>
        <v>28.496200000000002</v>
      </c>
      <c r="Z197" s="559">
        <f t="shared" si="21"/>
        <v>28.496200000000002</v>
      </c>
      <c r="AI197" s="548">
        <v>430</v>
      </c>
      <c r="AQ197" s="280">
        <f t="shared" si="23"/>
        <v>0</v>
      </c>
      <c r="AR197" s="299">
        <v>44166</v>
      </c>
    </row>
    <row r="198" spans="19:44" x14ac:dyDescent="0.35">
      <c r="S198" s="557"/>
      <c r="T198" s="683" t="str">
        <f t="shared" si="25"/>
        <v>212</v>
      </c>
      <c r="U198" s="281">
        <v>44167</v>
      </c>
      <c r="V198" s="286">
        <v>28.558299999999999</v>
      </c>
      <c r="W198" s="661">
        <v>28.436699999999998</v>
      </c>
      <c r="X198" s="661"/>
      <c r="Y198" s="640">
        <f t="shared" si="22"/>
        <v>28.558299999999999</v>
      </c>
      <c r="Z198" s="559">
        <f t="shared" si="21"/>
        <v>28.558299999999999</v>
      </c>
      <c r="AI198" s="548">
        <v>430</v>
      </c>
      <c r="AO198" s="222">
        <f>(0.6933+0.0713+0.09+0.0707+0.0709+0.1897+0.12+0.1456)*1000/28.2</f>
        <v>51.471631205673752</v>
      </c>
      <c r="AP198" s="284">
        <f>AO198*$BB$4</f>
        <v>3.2701735902846294</v>
      </c>
      <c r="AQ198" s="280">
        <f t="shared" si="23"/>
        <v>9.8105207708538877</v>
      </c>
      <c r="AR198" s="281">
        <v>44167</v>
      </c>
    </row>
    <row r="199" spans="19:44" x14ac:dyDescent="0.35">
      <c r="S199" s="557"/>
      <c r="T199" s="683" t="str">
        <f t="shared" si="25"/>
        <v>312</v>
      </c>
      <c r="U199" s="281">
        <v>44168</v>
      </c>
      <c r="V199" s="286">
        <v>28.436699999999998</v>
      </c>
      <c r="W199" s="661">
        <v>28.303799999999999</v>
      </c>
      <c r="X199" s="661"/>
      <c r="Y199" s="640">
        <f t="shared" si="22"/>
        <v>28.436699999999998</v>
      </c>
      <c r="Z199" s="559">
        <f t="shared" si="21"/>
        <v>28.436699999999998</v>
      </c>
      <c r="AI199" s="548">
        <v>430</v>
      </c>
      <c r="AM199">
        <f>0.0304*1000</f>
        <v>30.4</v>
      </c>
      <c r="AQ199" s="280">
        <f t="shared" si="23"/>
        <v>-30.4</v>
      </c>
      <c r="AR199" s="281">
        <v>44168</v>
      </c>
    </row>
    <row r="200" spans="19:44" x14ac:dyDescent="0.35">
      <c r="S200" s="557"/>
      <c r="T200" s="683" t="str">
        <f t="shared" si="25"/>
        <v>412</v>
      </c>
      <c r="U200" s="281">
        <v>44169</v>
      </c>
      <c r="V200" s="286">
        <v>28.303799999999999</v>
      </c>
      <c r="W200" s="661">
        <v>28.2913</v>
      </c>
      <c r="X200" s="661"/>
      <c r="Y200" s="640">
        <f t="shared" si="22"/>
        <v>28.303799999999999</v>
      </c>
      <c r="Z200" s="559">
        <f t="shared" si="21"/>
        <v>28.303799999999999</v>
      </c>
      <c r="AI200" s="548">
        <v>430</v>
      </c>
      <c r="AQ200" s="280">
        <f t="shared" si="23"/>
        <v>0</v>
      </c>
      <c r="AR200" s="281">
        <v>44169</v>
      </c>
    </row>
    <row r="201" spans="19:44" x14ac:dyDescent="0.35">
      <c r="S201" s="557"/>
      <c r="T201" s="683" t="str">
        <f t="shared" si="25"/>
        <v>712</v>
      </c>
      <c r="U201" s="281">
        <v>44172</v>
      </c>
      <c r="V201" s="286">
        <v>28.2913</v>
      </c>
      <c r="W201" s="661">
        <v>28.2394</v>
      </c>
      <c r="X201" s="661"/>
      <c r="Y201" s="640">
        <f t="shared" si="22"/>
        <v>28.2913</v>
      </c>
      <c r="Z201" s="559">
        <f t="shared" si="21"/>
        <v>28.2913</v>
      </c>
      <c r="AI201" s="548">
        <v>430</v>
      </c>
      <c r="AQ201" s="280">
        <f t="shared" si="23"/>
        <v>0</v>
      </c>
      <c r="AR201" s="281">
        <v>44172</v>
      </c>
    </row>
    <row r="202" spans="19:44" x14ac:dyDescent="0.35">
      <c r="S202" s="557"/>
      <c r="T202" s="683" t="str">
        <f t="shared" si="25"/>
        <v>812</v>
      </c>
      <c r="U202" s="281">
        <v>44173</v>
      </c>
      <c r="V202" s="286">
        <v>28.2394</v>
      </c>
      <c r="W202" s="661">
        <v>28.082799999999999</v>
      </c>
      <c r="X202" s="661"/>
      <c r="Y202" s="640">
        <f t="shared" si="22"/>
        <v>28.2394</v>
      </c>
      <c r="Z202" s="559">
        <f t="shared" si="21"/>
        <v>28.2394</v>
      </c>
      <c r="AI202" s="548">
        <v>430</v>
      </c>
      <c r="AQ202" s="280">
        <f t="shared" si="23"/>
        <v>0</v>
      </c>
      <c r="AR202" s="281">
        <v>44173</v>
      </c>
    </row>
    <row r="203" spans="19:44" x14ac:dyDescent="0.35">
      <c r="S203" s="557"/>
      <c r="T203" s="683" t="str">
        <f t="shared" si="25"/>
        <v>912</v>
      </c>
      <c r="U203" s="281">
        <v>44174</v>
      </c>
      <c r="V203" s="286">
        <v>28.082799999999999</v>
      </c>
      <c r="W203" s="661">
        <v>28.040600000000001</v>
      </c>
      <c r="X203" s="661"/>
      <c r="Y203" s="640">
        <f t="shared" si="22"/>
        <v>28.082799999999999</v>
      </c>
      <c r="Z203" s="559">
        <f t="shared" si="21"/>
        <v>28.082799999999999</v>
      </c>
      <c r="AI203" s="548">
        <v>430</v>
      </c>
      <c r="AO203" s="222">
        <f>(0.0001+0.0713+0.1188+0.0884+0.12)*1000/28.2</f>
        <v>14.134751773049647</v>
      </c>
      <c r="AP203" s="284">
        <f>AO203*$BB$4</f>
        <v>0.89803044649497321</v>
      </c>
      <c r="AQ203" s="280">
        <f t="shared" si="23"/>
        <v>2.6940913394849195</v>
      </c>
      <c r="AR203" s="281">
        <v>44174</v>
      </c>
    </row>
    <row r="204" spans="19:44" x14ac:dyDescent="0.35">
      <c r="S204" s="557"/>
      <c r="T204" s="683" t="str">
        <f t="shared" si="25"/>
        <v>1012</v>
      </c>
      <c r="U204" s="281">
        <v>44175</v>
      </c>
      <c r="V204" s="286">
        <v>28.040600000000001</v>
      </c>
      <c r="W204" s="661">
        <v>28.074999999999999</v>
      </c>
      <c r="X204" s="661"/>
      <c r="Y204" s="640">
        <f t="shared" si="22"/>
        <v>28.040600000000001</v>
      </c>
      <c r="Z204" s="559">
        <f t="shared" si="21"/>
        <v>28.040600000000001</v>
      </c>
      <c r="AI204" s="548">
        <v>430</v>
      </c>
      <c r="AM204">
        <f>0.38*1000</f>
        <v>380</v>
      </c>
      <c r="AQ204" s="280">
        <f t="shared" si="23"/>
        <v>-380</v>
      </c>
      <c r="AR204" s="281">
        <v>44175</v>
      </c>
    </row>
    <row r="205" spans="19:44" x14ac:dyDescent="0.35">
      <c r="S205" s="557"/>
      <c r="T205" s="683" t="str">
        <f t="shared" si="25"/>
        <v>1112</v>
      </c>
      <c r="U205" s="281">
        <v>44176</v>
      </c>
      <c r="V205" s="286">
        <v>28.074999999999999</v>
      </c>
      <c r="W205" s="661">
        <v>27.9666</v>
      </c>
      <c r="X205" s="661"/>
      <c r="Y205" s="640">
        <f t="shared" si="22"/>
        <v>28.074999999999999</v>
      </c>
      <c r="Z205" s="559">
        <f t="shared" si="21"/>
        <v>28.074999999999999</v>
      </c>
      <c r="AI205" s="548">
        <v>430</v>
      </c>
      <c r="AQ205" s="280">
        <f t="shared" si="23"/>
        <v>0</v>
      </c>
      <c r="AR205" s="281">
        <v>44176</v>
      </c>
    </row>
    <row r="206" spans="19:44" x14ac:dyDescent="0.35">
      <c r="S206" s="557"/>
      <c r="T206" s="683" t="str">
        <f t="shared" si="25"/>
        <v>1412</v>
      </c>
      <c r="U206" s="281">
        <v>44179</v>
      </c>
      <c r="V206" s="286">
        <v>27.9666</v>
      </c>
      <c r="W206" s="661">
        <v>27.866099999999999</v>
      </c>
      <c r="X206" s="661"/>
      <c r="Y206" s="640">
        <f t="shared" si="22"/>
        <v>27.9666</v>
      </c>
      <c r="Z206" s="559">
        <f t="shared" si="21"/>
        <v>27.9666</v>
      </c>
      <c r="AA206" s="557"/>
      <c r="AI206" s="548">
        <v>430</v>
      </c>
      <c r="AQ206" s="280">
        <f t="shared" si="23"/>
        <v>0</v>
      </c>
      <c r="AR206" s="281">
        <v>44179</v>
      </c>
    </row>
    <row r="207" spans="19:44" x14ac:dyDescent="0.35">
      <c r="S207" s="557"/>
      <c r="T207" s="683" t="str">
        <f t="shared" si="25"/>
        <v>1512</v>
      </c>
      <c r="U207" s="281">
        <v>44180</v>
      </c>
      <c r="V207" s="286">
        <v>27.866099999999999</v>
      </c>
      <c r="W207" s="661">
        <v>27.759</v>
      </c>
      <c r="X207" s="661"/>
      <c r="Y207" s="640">
        <f t="shared" si="22"/>
        <v>27.866099999999999</v>
      </c>
      <c r="Z207" s="559">
        <f t="shared" si="21"/>
        <v>27.866099999999999</v>
      </c>
      <c r="AA207" s="557"/>
      <c r="AI207" s="548">
        <v>430</v>
      </c>
      <c r="AQ207" s="280">
        <f t="shared" si="23"/>
        <v>0</v>
      </c>
      <c r="AR207" s="281">
        <v>44180</v>
      </c>
    </row>
    <row r="208" spans="19:44" x14ac:dyDescent="0.35">
      <c r="S208" s="557"/>
      <c r="T208" s="683" t="str">
        <f t="shared" si="25"/>
        <v>1612</v>
      </c>
      <c r="U208" s="281">
        <v>44181</v>
      </c>
      <c r="V208" s="286">
        <v>27.759</v>
      </c>
      <c r="W208" s="661">
        <v>27.737300000000001</v>
      </c>
      <c r="X208" s="661"/>
      <c r="Y208" s="640">
        <f t="shared" si="22"/>
        <v>27.759</v>
      </c>
      <c r="Z208" s="559">
        <f t="shared" si="21"/>
        <v>27.759</v>
      </c>
      <c r="AA208" s="557"/>
      <c r="AI208" s="548">
        <v>430</v>
      </c>
      <c r="AO208" s="222">
        <f>(10.27+0.2736+0.1188+0.1039+0.0713+0.194+0.194+0.194+0.12+0.2183)*1000/28.2</f>
        <v>416.94680851063833</v>
      </c>
      <c r="AP208" s="284">
        <f>AO208*$BB$4</f>
        <v>26.490095802416569</v>
      </c>
      <c r="AQ208" s="280">
        <f t="shared" si="23"/>
        <v>79.470287407249714</v>
      </c>
      <c r="AR208" s="281">
        <v>44181</v>
      </c>
    </row>
    <row r="209" spans="19:44" x14ac:dyDescent="0.35">
      <c r="S209" s="557"/>
      <c r="T209" s="683" t="str">
        <f t="shared" si="25"/>
        <v>1712</v>
      </c>
      <c r="U209" s="281">
        <v>44182</v>
      </c>
      <c r="V209" s="642">
        <v>27.737300000000001</v>
      </c>
      <c r="W209" s="661">
        <v>27.8184</v>
      </c>
      <c r="X209" s="661"/>
      <c r="Y209" s="640">
        <f t="shared" si="22"/>
        <v>27.737300000000001</v>
      </c>
      <c r="Z209" s="559">
        <f t="shared" si="21"/>
        <v>27.737300000000001</v>
      </c>
      <c r="AA209" s="557"/>
      <c r="AI209" s="548">
        <v>430</v>
      </c>
      <c r="AM209">
        <f>0.0087*1000</f>
        <v>8.6999999999999993</v>
      </c>
      <c r="AQ209" s="280">
        <f t="shared" si="23"/>
        <v>-8.6999999999999993</v>
      </c>
      <c r="AR209" s="281">
        <v>44182</v>
      </c>
    </row>
    <row r="210" spans="19:44" x14ac:dyDescent="0.35">
      <c r="S210" s="557"/>
      <c r="T210" s="683" t="str">
        <f t="shared" si="25"/>
        <v>1812</v>
      </c>
      <c r="U210" s="281">
        <v>44183</v>
      </c>
      <c r="V210" s="286">
        <v>27.8184</v>
      </c>
      <c r="W210" s="661">
        <v>27.827999999999999</v>
      </c>
      <c r="X210" s="661"/>
      <c r="Y210" s="640">
        <f t="shared" si="22"/>
        <v>27.8184</v>
      </c>
      <c r="Z210" s="559">
        <f t="shared" si="21"/>
        <v>27.8184</v>
      </c>
      <c r="AA210" s="557"/>
      <c r="AI210" s="548">
        <v>430</v>
      </c>
      <c r="AQ210" s="280">
        <f t="shared" si="23"/>
        <v>0</v>
      </c>
      <c r="AR210" s="281">
        <v>44183</v>
      </c>
    </row>
    <row r="211" spans="19:44" x14ac:dyDescent="0.35">
      <c r="S211" s="557"/>
      <c r="T211" s="683" t="str">
        <f t="shared" si="25"/>
        <v>2112</v>
      </c>
      <c r="U211" s="281">
        <v>44186</v>
      </c>
      <c r="V211" s="286">
        <v>27.827999999999999</v>
      </c>
      <c r="W211" s="661">
        <v>28.039100000000001</v>
      </c>
      <c r="X211" s="661"/>
      <c r="Y211" s="640">
        <f t="shared" si="22"/>
        <v>27.827999999999999</v>
      </c>
      <c r="Z211" s="559">
        <f t="shared" si="21"/>
        <v>27.827999999999999</v>
      </c>
      <c r="AA211" s="557"/>
      <c r="AI211" s="548">
        <v>430</v>
      </c>
      <c r="AQ211" s="280">
        <f t="shared" si="23"/>
        <v>0</v>
      </c>
      <c r="AR211" s="281">
        <v>44186</v>
      </c>
    </row>
    <row r="212" spans="19:44" x14ac:dyDescent="0.35">
      <c r="S212" s="557"/>
      <c r="T212" s="683" t="str">
        <f t="shared" si="25"/>
        <v>2212</v>
      </c>
      <c r="U212" s="281">
        <v>44187</v>
      </c>
      <c r="V212" s="286">
        <v>28.039100000000001</v>
      </c>
      <c r="W212" s="661">
        <v>28.251300000000001</v>
      </c>
      <c r="X212" s="661"/>
      <c r="Y212" s="640">
        <f t="shared" si="22"/>
        <v>28.039100000000001</v>
      </c>
      <c r="Z212" s="559">
        <f t="shared" si="21"/>
        <v>28.039100000000001</v>
      </c>
      <c r="AA212" s="557"/>
      <c r="AI212" s="548">
        <v>430</v>
      </c>
      <c r="AQ212" s="280">
        <f t="shared" si="23"/>
        <v>0</v>
      </c>
      <c r="AR212" s="281">
        <v>44187</v>
      </c>
    </row>
    <row r="213" spans="19:44" x14ac:dyDescent="0.35">
      <c r="S213" s="557"/>
      <c r="T213" s="683" t="str">
        <f t="shared" si="25"/>
        <v>2312</v>
      </c>
      <c r="U213" s="281">
        <v>44188</v>
      </c>
      <c r="V213" s="286">
        <v>28.251300000000001</v>
      </c>
      <c r="W213" s="661">
        <v>28.455100000000002</v>
      </c>
      <c r="X213" s="661"/>
      <c r="Y213" s="640">
        <f t="shared" si="22"/>
        <v>28.251300000000001</v>
      </c>
      <c r="Z213" s="559">
        <f t="shared" si="21"/>
        <v>28.251300000000001</v>
      </c>
      <c r="AA213" s="557"/>
      <c r="AI213" s="548">
        <v>430</v>
      </c>
      <c r="AO213" s="222">
        <f>(0.12+0.12+0.1969+0.2183)*1000/28.2</f>
        <v>23.234042553191493</v>
      </c>
      <c r="AP213" s="284">
        <f>AO213*$BB$4</f>
        <v>1.4761403626279641</v>
      </c>
      <c r="AQ213" s="280">
        <f t="shared" si="23"/>
        <v>4.4284210878838923</v>
      </c>
      <c r="AR213" s="281">
        <v>44188</v>
      </c>
    </row>
    <row r="214" spans="19:44" x14ac:dyDescent="0.35">
      <c r="S214" s="557"/>
      <c r="T214" s="683" t="str">
        <f t="shared" si="25"/>
        <v>2412</v>
      </c>
      <c r="U214" s="281">
        <v>44189</v>
      </c>
      <c r="V214" s="286">
        <v>28.455100000000002</v>
      </c>
      <c r="W214" s="661">
        <v>28.455100000000002</v>
      </c>
      <c r="X214" s="661"/>
      <c r="Y214" s="640">
        <f t="shared" si="22"/>
        <v>28.455100000000002</v>
      </c>
      <c r="Z214" s="559">
        <f t="shared" si="21"/>
        <v>28.455100000000002</v>
      </c>
      <c r="AA214" s="557"/>
      <c r="AI214" s="548">
        <v>430</v>
      </c>
      <c r="AQ214" s="280">
        <f t="shared" si="23"/>
        <v>0</v>
      </c>
      <c r="AR214" s="281">
        <v>44189</v>
      </c>
    </row>
    <row r="215" spans="19:44" x14ac:dyDescent="0.35">
      <c r="S215" s="557"/>
      <c r="T215" s="683" t="str">
        <f t="shared" si="25"/>
        <v>2512</v>
      </c>
      <c r="U215" s="281">
        <v>44190</v>
      </c>
      <c r="V215" s="286">
        <v>28.455100000000002</v>
      </c>
      <c r="W215" s="661">
        <v>28.354700000000001</v>
      </c>
      <c r="X215" s="661"/>
      <c r="Y215" s="640">
        <f t="shared" si="22"/>
        <v>28.455100000000002</v>
      </c>
      <c r="Z215" s="559">
        <f t="shared" si="21"/>
        <v>28.455100000000002</v>
      </c>
      <c r="AA215" s="557"/>
      <c r="AI215" s="548">
        <v>430</v>
      </c>
      <c r="AQ215" s="280">
        <f t="shared" si="23"/>
        <v>0</v>
      </c>
      <c r="AR215" s="281">
        <v>44190</v>
      </c>
    </row>
    <row r="216" spans="19:44" x14ac:dyDescent="0.35">
      <c r="S216" s="557"/>
      <c r="T216" s="683" t="str">
        <f t="shared" si="25"/>
        <v>2812</v>
      </c>
      <c r="U216" s="281">
        <v>44193</v>
      </c>
      <c r="V216" s="286">
        <v>28.354700000000001</v>
      </c>
      <c r="W216" s="661">
        <v>28.366800000000001</v>
      </c>
      <c r="X216" s="661"/>
      <c r="Y216" s="640">
        <f t="shared" si="22"/>
        <v>28.354700000000001</v>
      </c>
      <c r="Z216" s="559">
        <f t="shared" si="21"/>
        <v>28.354700000000001</v>
      </c>
      <c r="AA216" s="557"/>
      <c r="AI216" s="548">
        <v>430</v>
      </c>
      <c r="AQ216" s="280">
        <f t="shared" si="23"/>
        <v>0</v>
      </c>
      <c r="AR216" s="281">
        <v>44193</v>
      </c>
    </row>
    <row r="217" spans="19:44" x14ac:dyDescent="0.35">
      <c r="S217" s="557"/>
      <c r="T217" s="683" t="str">
        <f t="shared" si="25"/>
        <v>2912</v>
      </c>
      <c r="U217" s="281">
        <v>44194</v>
      </c>
      <c r="V217" s="286">
        <v>28.366800000000001</v>
      </c>
      <c r="W217" s="661">
        <v>28.2605</v>
      </c>
      <c r="X217" s="661"/>
      <c r="Y217" s="640">
        <f t="shared" si="22"/>
        <v>28.366800000000001</v>
      </c>
      <c r="Z217" s="559">
        <f t="shared" si="21"/>
        <v>28.366800000000001</v>
      </c>
      <c r="AA217" s="557"/>
      <c r="AI217" s="548">
        <v>430</v>
      </c>
      <c r="AQ217" s="280">
        <f t="shared" si="23"/>
        <v>0</v>
      </c>
      <c r="AR217" s="281">
        <v>44194</v>
      </c>
    </row>
    <row r="218" spans="19:44" x14ac:dyDescent="0.35">
      <c r="S218" s="557"/>
      <c r="T218" s="683" t="str">
        <f t="shared" si="25"/>
        <v>3012</v>
      </c>
      <c r="U218" s="281">
        <v>44195</v>
      </c>
      <c r="V218" s="286">
        <v>28.2605</v>
      </c>
      <c r="W218" s="661">
        <v>28.2746</v>
      </c>
      <c r="X218" s="661"/>
      <c r="Y218" s="640">
        <f t="shared" si="22"/>
        <v>28.2605</v>
      </c>
      <c r="Z218" s="559">
        <f t="shared" si="21"/>
        <v>28.2605</v>
      </c>
      <c r="AA218" s="557"/>
      <c r="AI218" s="548">
        <v>430</v>
      </c>
      <c r="AO218" s="222">
        <f>(0.1759+0.1763+0.1663+0.09+0.0299+0.0907)*1000/28.2</f>
        <v>25.854609929078016</v>
      </c>
      <c r="AP218" s="284">
        <f>AO218*$BB$4</f>
        <v>1.64263421610508</v>
      </c>
      <c r="AQ218" s="280">
        <f t="shared" si="23"/>
        <v>4.9279026483152402</v>
      </c>
      <c r="AR218" s="281">
        <v>44195</v>
      </c>
    </row>
    <row r="219" spans="19:44" x14ac:dyDescent="0.35">
      <c r="S219" s="557"/>
      <c r="T219" s="683" t="str">
        <f t="shared" si="25"/>
        <v>3112</v>
      </c>
      <c r="U219" s="281">
        <v>44196</v>
      </c>
      <c r="V219" s="286">
        <v>28.2746</v>
      </c>
      <c r="W219" s="661"/>
      <c r="X219" s="661"/>
      <c r="Y219" s="640">
        <f t="shared" si="22"/>
        <v>28.2746</v>
      </c>
      <c r="Z219" s="559">
        <f t="shared" si="21"/>
        <v>28.2746</v>
      </c>
      <c r="AA219" s="562"/>
      <c r="AB219" s="300"/>
      <c r="AC219" s="300"/>
      <c r="AD219" s="300"/>
      <c r="AE219" s="300"/>
      <c r="AF219" s="300"/>
      <c r="AG219" s="300"/>
      <c r="AH219" s="300"/>
      <c r="AI219" s="548">
        <v>430</v>
      </c>
      <c r="AJ219" s="300"/>
      <c r="AK219" s="300"/>
      <c r="AL219" s="300"/>
      <c r="AM219" s="300"/>
      <c r="AN219" s="300"/>
      <c r="AO219" s="300"/>
      <c r="AP219" s="300"/>
      <c r="AQ219" s="280">
        <f t="shared" si="23"/>
        <v>0</v>
      </c>
      <c r="AR219" s="281">
        <v>44196</v>
      </c>
    </row>
    <row r="220" spans="19:44" x14ac:dyDescent="0.35">
      <c r="S220" s="557"/>
      <c r="T220" s="683" t="str">
        <f t="shared" si="25"/>
        <v>11</v>
      </c>
      <c r="U220" s="281">
        <v>44197</v>
      </c>
      <c r="V220" s="644">
        <v>28.2746</v>
      </c>
      <c r="W220" s="662"/>
      <c r="X220" s="662"/>
      <c r="Y220" s="640">
        <f t="shared" si="22"/>
        <v>28.2746</v>
      </c>
      <c r="Z220" s="559">
        <f t="shared" si="21"/>
        <v>28.2746</v>
      </c>
      <c r="AA220" s="557"/>
      <c r="AI220" s="548">
        <v>430</v>
      </c>
      <c r="AQ220" s="280">
        <f t="shared" si="23"/>
        <v>0</v>
      </c>
      <c r="AR220" s="299">
        <v>44197</v>
      </c>
    </row>
    <row r="221" spans="19:44" x14ac:dyDescent="0.35">
      <c r="S221" s="557"/>
      <c r="T221" s="683" t="str">
        <f t="shared" si="25"/>
        <v>41</v>
      </c>
      <c r="U221" s="281">
        <v>44200</v>
      </c>
      <c r="V221" s="286">
        <v>28.2746</v>
      </c>
      <c r="W221" s="661"/>
      <c r="X221" s="661"/>
      <c r="Y221" s="640">
        <f t="shared" si="22"/>
        <v>28.2746</v>
      </c>
      <c r="Z221" s="559">
        <f t="shared" si="21"/>
        <v>28.2746</v>
      </c>
      <c r="AA221" s="557"/>
      <c r="AI221" s="548">
        <v>430</v>
      </c>
      <c r="AQ221" s="280">
        <f t="shared" si="23"/>
        <v>0</v>
      </c>
      <c r="AR221" s="299">
        <v>44200</v>
      </c>
    </row>
    <row r="222" spans="19:44" x14ac:dyDescent="0.35">
      <c r="S222" s="557"/>
      <c r="T222" s="683" t="str">
        <f t="shared" si="25"/>
        <v>51</v>
      </c>
      <c r="U222" s="281">
        <v>44201</v>
      </c>
      <c r="V222" s="286">
        <v>28.431000000000001</v>
      </c>
      <c r="W222" s="661"/>
      <c r="X222" s="661"/>
      <c r="Y222" s="640">
        <f t="shared" si="22"/>
        <v>28.431000000000001</v>
      </c>
      <c r="Z222" s="559">
        <f t="shared" si="21"/>
        <v>28.431000000000001</v>
      </c>
      <c r="AA222" s="557"/>
      <c r="AI222" s="548">
        <v>430</v>
      </c>
      <c r="AQ222" s="280">
        <f t="shared" si="23"/>
        <v>0</v>
      </c>
      <c r="AR222" s="299">
        <v>44201</v>
      </c>
    </row>
    <row r="223" spans="19:44" x14ac:dyDescent="0.35">
      <c r="S223" s="557"/>
      <c r="T223" s="683" t="str">
        <f t="shared" si="25"/>
        <v>61</v>
      </c>
      <c r="U223" s="281">
        <v>44202</v>
      </c>
      <c r="V223" s="286">
        <v>28.402799999999999</v>
      </c>
      <c r="W223" s="661"/>
      <c r="X223" s="661"/>
      <c r="Y223" s="640">
        <f t="shared" si="22"/>
        <v>28.402799999999999</v>
      </c>
      <c r="Z223" s="559">
        <f t="shared" si="21"/>
        <v>28.402799999999999</v>
      </c>
      <c r="AA223" s="557"/>
      <c r="AI223" s="548">
        <v>430</v>
      </c>
      <c r="AM223">
        <f>0.1873*1000</f>
        <v>187.29999999999998</v>
      </c>
      <c r="AO223" s="114">
        <f>(0.4995)*1000/28.2</f>
        <v>17.712765957446809</v>
      </c>
      <c r="AP223" s="284">
        <f>AO223*$BC$4</f>
        <v>1.6993901764982147</v>
      </c>
      <c r="AQ223" s="280">
        <f t="shared" si="23"/>
        <v>-182.20182947050534</v>
      </c>
      <c r="AR223" s="299">
        <v>44202</v>
      </c>
    </row>
    <row r="224" spans="19:44" x14ac:dyDescent="0.35">
      <c r="S224" s="557"/>
      <c r="T224" s="683" t="str">
        <f t="shared" si="25"/>
        <v>71</v>
      </c>
      <c r="U224" s="281">
        <v>44203</v>
      </c>
      <c r="V224" s="286">
        <v>28.402799999999999</v>
      </c>
      <c r="W224" s="661"/>
      <c r="X224" s="661"/>
      <c r="Y224" s="640">
        <f t="shared" si="22"/>
        <v>28.402799999999999</v>
      </c>
      <c r="Z224" s="559">
        <f t="shared" si="21"/>
        <v>28.402799999999999</v>
      </c>
      <c r="AA224" s="557"/>
      <c r="AI224" s="548">
        <v>430</v>
      </c>
      <c r="AO224" s="561"/>
      <c r="AQ224" s="280">
        <f t="shared" si="23"/>
        <v>0</v>
      </c>
      <c r="AR224" s="299">
        <v>44203</v>
      </c>
    </row>
    <row r="225" spans="19:44" x14ac:dyDescent="0.35">
      <c r="S225" s="557"/>
      <c r="T225" s="683" t="str">
        <f t="shared" si="25"/>
        <v>81</v>
      </c>
      <c r="U225" s="281">
        <v>44204</v>
      </c>
      <c r="V225" s="286">
        <v>28.402799999999999</v>
      </c>
      <c r="W225" s="661"/>
      <c r="X225" s="661"/>
      <c r="Y225" s="640">
        <f t="shared" si="22"/>
        <v>28.402799999999999</v>
      </c>
      <c r="Z225" s="559">
        <f t="shared" si="21"/>
        <v>28.402799999999999</v>
      </c>
      <c r="AA225" s="557"/>
      <c r="AI225" s="548">
        <v>430</v>
      </c>
      <c r="AO225" s="561"/>
      <c r="AQ225" s="280">
        <f t="shared" si="23"/>
        <v>0</v>
      </c>
      <c r="AR225" s="299">
        <v>44204</v>
      </c>
    </row>
    <row r="226" spans="19:44" x14ac:dyDescent="0.35">
      <c r="S226" s="557"/>
      <c r="T226" s="683" t="str">
        <f t="shared" si="25"/>
        <v>111</v>
      </c>
      <c r="U226" s="281">
        <v>44207</v>
      </c>
      <c r="V226" s="286">
        <v>28.284700000000001</v>
      </c>
      <c r="W226" s="661"/>
      <c r="X226" s="661"/>
      <c r="Y226" s="640">
        <f t="shared" si="22"/>
        <v>28.284700000000001</v>
      </c>
      <c r="Z226" s="559">
        <f t="shared" si="21"/>
        <v>28.284700000000001</v>
      </c>
      <c r="AA226" s="557"/>
      <c r="AI226" s="548">
        <v>430</v>
      </c>
      <c r="AO226" s="561"/>
      <c r="AQ226" s="280">
        <f t="shared" si="23"/>
        <v>0</v>
      </c>
      <c r="AR226" s="299">
        <v>44207</v>
      </c>
    </row>
    <row r="227" spans="19:44" x14ac:dyDescent="0.35">
      <c r="S227" s="557"/>
      <c r="T227" s="683" t="str">
        <f t="shared" si="25"/>
        <v>121</v>
      </c>
      <c r="U227" s="281">
        <v>44208</v>
      </c>
      <c r="V227" s="286">
        <v>28.203800000000001</v>
      </c>
      <c r="W227" s="661"/>
      <c r="X227" s="661"/>
      <c r="Y227" s="640">
        <f t="shared" si="22"/>
        <v>28.203800000000001</v>
      </c>
      <c r="Z227" s="559">
        <f t="shared" si="21"/>
        <v>28.203800000000001</v>
      </c>
      <c r="AA227" s="557"/>
      <c r="AI227" s="548">
        <v>430</v>
      </c>
      <c r="AO227" s="561"/>
      <c r="AQ227" s="280">
        <f t="shared" si="23"/>
        <v>0</v>
      </c>
      <c r="AR227" s="299">
        <v>44208</v>
      </c>
    </row>
    <row r="228" spans="19:44" x14ac:dyDescent="0.35">
      <c r="S228" s="557"/>
      <c r="T228" s="683" t="str">
        <f t="shared" si="25"/>
        <v>131</v>
      </c>
      <c r="U228" s="281">
        <v>44209</v>
      </c>
      <c r="V228" s="286">
        <v>28.045999999999999</v>
      </c>
      <c r="W228" s="661"/>
      <c r="X228" s="661"/>
      <c r="Y228" s="640">
        <f t="shared" si="22"/>
        <v>28.045999999999999</v>
      </c>
      <c r="Z228" s="559">
        <f t="shared" si="21"/>
        <v>28.045999999999999</v>
      </c>
      <c r="AA228" s="557"/>
      <c r="AI228" s="548">
        <v>430</v>
      </c>
      <c r="AO228" s="114">
        <f>(0.1763)*1000/28.2</f>
        <v>6.2517730496453909</v>
      </c>
      <c r="AP228" s="284">
        <f>AO228*$BC$4</f>
        <v>0.5998047810142848</v>
      </c>
      <c r="AQ228" s="280">
        <f t="shared" si="23"/>
        <v>1.7994143430428544</v>
      </c>
      <c r="AR228" s="299">
        <v>44209</v>
      </c>
    </row>
    <row r="229" spans="19:44" x14ac:dyDescent="0.35">
      <c r="S229" s="557"/>
      <c r="T229" s="683" t="str">
        <f t="shared" si="25"/>
        <v>141</v>
      </c>
      <c r="U229" s="281">
        <v>44210</v>
      </c>
      <c r="V229" s="286">
        <v>28.06</v>
      </c>
      <c r="W229" s="661"/>
      <c r="X229" s="661"/>
      <c r="Y229" s="640">
        <f t="shared" si="22"/>
        <v>28.06</v>
      </c>
      <c r="Z229" s="559">
        <f t="shared" si="21"/>
        <v>28.06</v>
      </c>
      <c r="AA229" s="557"/>
      <c r="AI229" s="548">
        <v>430</v>
      </c>
      <c r="AO229" s="561"/>
      <c r="AQ229" s="280">
        <f t="shared" si="23"/>
        <v>0</v>
      </c>
      <c r="AR229" s="299">
        <v>44210</v>
      </c>
    </row>
    <row r="230" spans="19:44" x14ac:dyDescent="0.35">
      <c r="S230" s="557"/>
      <c r="T230" s="683" t="str">
        <f t="shared" si="25"/>
        <v>151</v>
      </c>
      <c r="U230" s="281">
        <v>44211</v>
      </c>
      <c r="V230" s="286">
        <v>28.06</v>
      </c>
      <c r="W230" s="661"/>
      <c r="X230" s="661"/>
      <c r="Y230" s="640">
        <f t="shared" si="22"/>
        <v>28.06</v>
      </c>
      <c r="Z230" s="559">
        <f t="shared" si="21"/>
        <v>28.06</v>
      </c>
      <c r="AA230" s="557"/>
      <c r="AI230" s="548">
        <v>430</v>
      </c>
      <c r="AO230" s="114">
        <f>(0.0475)*1000/28.2</f>
        <v>1.6843971631205674</v>
      </c>
      <c r="AP230" s="284">
        <f>AO230*$BC$4</f>
        <v>0.16160367043776816</v>
      </c>
      <c r="AQ230" s="280">
        <f t="shared" si="23"/>
        <v>0.48481101131330451</v>
      </c>
      <c r="AR230" s="299">
        <v>44211</v>
      </c>
    </row>
    <row r="231" spans="19:44" x14ac:dyDescent="0.35">
      <c r="S231" s="557"/>
      <c r="T231" s="683" t="str">
        <f t="shared" si="25"/>
        <v>181</v>
      </c>
      <c r="U231" s="281">
        <v>44214</v>
      </c>
      <c r="V231" s="286">
        <v>28.192</v>
      </c>
      <c r="W231" s="661"/>
      <c r="X231" s="661"/>
      <c r="Y231" s="640">
        <f t="shared" si="22"/>
        <v>28.192</v>
      </c>
      <c r="Z231" s="559">
        <f t="shared" si="21"/>
        <v>28.192</v>
      </c>
      <c r="AA231" s="557"/>
      <c r="AI231" s="548">
        <v>430</v>
      </c>
      <c r="AO231" s="561"/>
      <c r="AQ231" s="280">
        <f t="shared" si="23"/>
        <v>0</v>
      </c>
      <c r="AR231" s="299">
        <v>44214</v>
      </c>
    </row>
    <row r="232" spans="19:44" x14ac:dyDescent="0.35">
      <c r="S232" s="557"/>
      <c r="T232" s="683" t="str">
        <f t="shared" si="25"/>
        <v>191</v>
      </c>
      <c r="U232" s="281">
        <v>44215</v>
      </c>
      <c r="V232" s="286">
        <v>28.154</v>
      </c>
      <c r="W232" s="661"/>
      <c r="X232" s="661"/>
      <c r="Y232" s="640">
        <f t="shared" si="22"/>
        <v>28.154</v>
      </c>
      <c r="Z232" s="559">
        <f t="shared" si="21"/>
        <v>28.154</v>
      </c>
      <c r="AA232" s="557"/>
      <c r="AI232" s="548">
        <v>430</v>
      </c>
      <c r="AO232" s="561"/>
      <c r="AQ232" s="280">
        <f t="shared" si="23"/>
        <v>0</v>
      </c>
      <c r="AR232" s="299">
        <v>44215</v>
      </c>
    </row>
    <row r="233" spans="19:44" x14ac:dyDescent="0.35">
      <c r="S233" s="557"/>
      <c r="T233" s="683" t="str">
        <f t="shared" si="25"/>
        <v>201</v>
      </c>
      <c r="U233" s="281">
        <v>44216</v>
      </c>
      <c r="V233" s="286">
        <v>28.202999999999999</v>
      </c>
      <c r="W233" s="661"/>
      <c r="X233" s="661"/>
      <c r="Y233" s="640">
        <f t="shared" si="22"/>
        <v>28.202999999999999</v>
      </c>
      <c r="Z233" s="559">
        <f t="shared" si="21"/>
        <v>28.202999999999999</v>
      </c>
      <c r="AA233" s="557"/>
      <c r="AI233" s="548">
        <v>430</v>
      </c>
      <c r="AO233" s="114">
        <f>(12.8863+0.2224+0.1763+0.0301)*1000/28.2</f>
        <v>472.16666666666663</v>
      </c>
      <c r="AP233" s="284">
        <f>AO233*$BC$4</f>
        <v>45.300400678861614</v>
      </c>
      <c r="AQ233" s="280">
        <f t="shared" si="23"/>
        <v>135.90120203658483</v>
      </c>
      <c r="AR233" s="299">
        <v>44216</v>
      </c>
    </row>
    <row r="234" spans="19:44" x14ac:dyDescent="0.35">
      <c r="S234" s="557"/>
      <c r="T234" s="683" t="str">
        <f t="shared" si="25"/>
        <v>211</v>
      </c>
      <c r="U234" s="281">
        <v>44217</v>
      </c>
      <c r="V234" s="286">
        <v>28.256</v>
      </c>
      <c r="W234" s="661"/>
      <c r="X234" s="661"/>
      <c r="Y234" s="640">
        <f t="shared" si="22"/>
        <v>28.256</v>
      </c>
      <c r="Z234" s="559">
        <f t="shared" si="21"/>
        <v>28.256</v>
      </c>
      <c r="AA234" s="557"/>
      <c r="AI234" s="548">
        <v>430</v>
      </c>
      <c r="AO234" s="561"/>
      <c r="AQ234" s="280">
        <f t="shared" si="23"/>
        <v>0</v>
      </c>
      <c r="AR234" s="299">
        <v>44217</v>
      </c>
    </row>
    <row r="235" spans="19:44" x14ac:dyDescent="0.35">
      <c r="S235" s="557"/>
      <c r="T235" s="683" t="str">
        <f t="shared" si="25"/>
        <v>221</v>
      </c>
      <c r="U235" s="281">
        <v>44218</v>
      </c>
      <c r="V235" s="286">
        <v>28.164999999999999</v>
      </c>
      <c r="W235" s="661"/>
      <c r="X235" s="661"/>
      <c r="Y235" s="640">
        <f t="shared" si="22"/>
        <v>28.164999999999999</v>
      </c>
      <c r="Z235" s="559">
        <f t="shared" si="21"/>
        <v>28.164999999999999</v>
      </c>
      <c r="AA235" s="557"/>
      <c r="AI235" s="548">
        <v>430</v>
      </c>
      <c r="AO235" s="114">
        <f>(0.1563+0.0996)*1000/28.2</f>
        <v>9.0744680851063837</v>
      </c>
      <c r="AP235" s="284">
        <f>AO235*$BC$4</f>
        <v>0.87061851084262887</v>
      </c>
      <c r="AQ235" s="280">
        <f t="shared" si="23"/>
        <v>2.6118555325278865</v>
      </c>
      <c r="AR235" s="299">
        <v>44218</v>
      </c>
    </row>
    <row r="236" spans="19:44" x14ac:dyDescent="0.35">
      <c r="S236" s="557"/>
      <c r="T236" s="683" t="str">
        <f t="shared" si="25"/>
        <v>251</v>
      </c>
      <c r="U236" s="281">
        <v>44221</v>
      </c>
      <c r="V236" s="286">
        <v>28.166</v>
      </c>
      <c r="W236" s="661"/>
      <c r="X236" s="661"/>
      <c r="Y236" s="640">
        <f t="shared" si="22"/>
        <v>28.166</v>
      </c>
      <c r="Z236" s="559">
        <f t="shared" si="21"/>
        <v>28.166</v>
      </c>
      <c r="AA236" s="557"/>
      <c r="AI236" s="548">
        <v>430</v>
      </c>
      <c r="AO236" s="561"/>
      <c r="AQ236" s="280">
        <f t="shared" si="23"/>
        <v>0</v>
      </c>
      <c r="AR236" s="299">
        <v>44221</v>
      </c>
    </row>
    <row r="237" spans="19:44" x14ac:dyDescent="0.35">
      <c r="S237" s="557"/>
      <c r="T237" s="683" t="str">
        <f t="shared" si="25"/>
        <v>261</v>
      </c>
      <c r="U237" s="281">
        <v>44222</v>
      </c>
      <c r="V237" s="286">
        <v>28.152000000000001</v>
      </c>
      <c r="W237" s="661"/>
      <c r="X237" s="661"/>
      <c r="Y237" s="640">
        <f t="shared" si="22"/>
        <v>28.152000000000001</v>
      </c>
      <c r="Z237" s="559">
        <f t="shared" si="21"/>
        <v>28.152000000000001</v>
      </c>
      <c r="AA237" s="557"/>
      <c r="AI237" s="548">
        <v>430</v>
      </c>
      <c r="AO237" s="561"/>
      <c r="AQ237" s="280">
        <f t="shared" si="23"/>
        <v>0</v>
      </c>
      <c r="AR237" s="299">
        <v>44222</v>
      </c>
    </row>
    <row r="238" spans="19:44" x14ac:dyDescent="0.35">
      <c r="S238" s="557"/>
      <c r="T238" s="683" t="str">
        <f t="shared" si="25"/>
        <v>271</v>
      </c>
      <c r="U238" s="281">
        <v>44223</v>
      </c>
      <c r="V238" s="286">
        <v>28.164999999999999</v>
      </c>
      <c r="W238" s="661"/>
      <c r="X238" s="661"/>
      <c r="Y238" s="640">
        <f t="shared" si="22"/>
        <v>28.164999999999999</v>
      </c>
      <c r="Z238" s="559">
        <f t="shared" si="21"/>
        <v>28.164999999999999</v>
      </c>
      <c r="AA238" s="557"/>
      <c r="AI238" s="548">
        <v>430</v>
      </c>
      <c r="AN238" s="114">
        <f>30.078125*1.17</f>
        <v>35.19140625</v>
      </c>
      <c r="AO238" s="114">
        <f>(5.6039+0.0837+0.1763+0.1663+0.0878+0.2115)*1000/28.2</f>
        <v>224.45035460992909</v>
      </c>
      <c r="AP238" s="284">
        <f>AO238*$BC$4</f>
        <v>21.53411435864955</v>
      </c>
      <c r="AQ238" s="280">
        <f t="shared" si="23"/>
        <v>99.793749325948653</v>
      </c>
      <c r="AR238" s="299">
        <v>44223</v>
      </c>
    </row>
    <row r="239" spans="19:44" x14ac:dyDescent="0.35">
      <c r="S239" s="557"/>
      <c r="T239" s="683" t="str">
        <f t="shared" si="25"/>
        <v>281</v>
      </c>
      <c r="U239" s="281">
        <v>44224</v>
      </c>
      <c r="V239" s="286">
        <v>28.193000000000001</v>
      </c>
      <c r="W239" s="661"/>
      <c r="X239" s="661"/>
      <c r="Y239" s="640">
        <f t="shared" si="22"/>
        <v>28.193000000000001</v>
      </c>
      <c r="Z239" s="559">
        <f t="shared" si="21"/>
        <v>28.193000000000001</v>
      </c>
      <c r="AA239" s="557"/>
      <c r="AI239" s="548">
        <v>430</v>
      </c>
      <c r="AM239">
        <f>0.0096*1000</f>
        <v>9.6</v>
      </c>
      <c r="AQ239" s="280">
        <f t="shared" si="23"/>
        <v>-9.6</v>
      </c>
      <c r="AR239" s="299">
        <v>44224</v>
      </c>
    </row>
    <row r="240" spans="19:44" x14ac:dyDescent="0.35">
      <c r="S240" s="557"/>
      <c r="T240" s="683" t="str">
        <f t="shared" si="25"/>
        <v>291</v>
      </c>
      <c r="U240" s="281">
        <v>44225</v>
      </c>
      <c r="V240" s="286">
        <v>28.132000000000001</v>
      </c>
      <c r="W240" s="661"/>
      <c r="X240" s="661"/>
      <c r="Y240" s="640">
        <f t="shared" si="22"/>
        <v>28.132000000000001</v>
      </c>
      <c r="Z240" s="559">
        <f t="shared" ref="Z240:Z303" si="26">V240</f>
        <v>28.132000000000001</v>
      </c>
      <c r="AA240" s="557"/>
      <c r="AI240" s="548">
        <v>430</v>
      </c>
      <c r="AQ240" s="280">
        <f t="shared" si="23"/>
        <v>0</v>
      </c>
      <c r="AR240" s="299">
        <v>44225</v>
      </c>
    </row>
    <row r="241" spans="19:44" x14ac:dyDescent="0.35">
      <c r="S241" s="557"/>
      <c r="T241" s="683" t="str">
        <f t="shared" si="25"/>
        <v>12</v>
      </c>
      <c r="U241" s="281">
        <v>44228</v>
      </c>
      <c r="V241" s="645">
        <v>28.06</v>
      </c>
      <c r="W241" s="663"/>
      <c r="X241" s="663"/>
      <c r="Y241" s="640">
        <f t="shared" ref="Y241:Y304" si="27">V241</f>
        <v>28.06</v>
      </c>
      <c r="Z241" s="559">
        <f t="shared" si="26"/>
        <v>28.06</v>
      </c>
      <c r="AI241" s="548">
        <v>450</v>
      </c>
      <c r="AM241" s="222"/>
      <c r="AN241" s="222">
        <f>(148.39*1.44)+33.7275</f>
        <v>247.40909999999997</v>
      </c>
      <c r="AO241" s="222"/>
      <c r="AQ241" s="280">
        <f t="shared" si="23"/>
        <v>247.40909999999997</v>
      </c>
      <c r="AR241" s="299">
        <v>44228</v>
      </c>
    </row>
    <row r="242" spans="19:44" x14ac:dyDescent="0.35">
      <c r="T242" s="683" t="str">
        <f t="shared" si="25"/>
        <v>22</v>
      </c>
      <c r="U242" s="281">
        <v>44229</v>
      </c>
      <c r="V242" s="286">
        <v>28.059000000000001</v>
      </c>
      <c r="W242" s="661"/>
      <c r="X242" s="661"/>
      <c r="Y242" s="640">
        <f t="shared" si="27"/>
        <v>28.059000000000001</v>
      </c>
      <c r="Z242" s="559">
        <f t="shared" si="26"/>
        <v>28.059000000000001</v>
      </c>
      <c r="AI242" s="548">
        <v>450</v>
      </c>
      <c r="AM242" s="222"/>
      <c r="AN242" s="222"/>
      <c r="AO242" s="222"/>
      <c r="AQ242" s="280">
        <f t="shared" si="23"/>
        <v>0</v>
      </c>
      <c r="AR242" s="299">
        <v>44229</v>
      </c>
    </row>
    <row r="243" spans="19:44" x14ac:dyDescent="0.35">
      <c r="T243" s="683" t="str">
        <f t="shared" si="25"/>
        <v>32</v>
      </c>
      <c r="U243" s="281">
        <v>44230</v>
      </c>
      <c r="V243" s="286">
        <v>27.995000000000001</v>
      </c>
      <c r="W243" s="661"/>
      <c r="X243" s="661"/>
      <c r="Y243" s="640">
        <f t="shared" si="27"/>
        <v>27.995000000000001</v>
      </c>
      <c r="Z243" s="559">
        <f t="shared" si="26"/>
        <v>27.995000000000001</v>
      </c>
      <c r="AI243" s="548">
        <v>450</v>
      </c>
      <c r="AM243" s="222">
        <f>(0.8097+0.1663+0.0325+0.0879+0.147+0.1952)</f>
        <v>1.4386000000000001</v>
      </c>
      <c r="AN243" s="222"/>
      <c r="AO243" s="222">
        <f>(0.8097+0.1663+0.0325+0.0879+0.147+0.1952)*1000/28</f>
        <v>51.378571428571433</v>
      </c>
      <c r="AP243" s="284">
        <f>AO243*$BC$4</f>
        <v>4.9293396512992533</v>
      </c>
      <c r="AQ243" s="280">
        <f t="shared" si="23"/>
        <v>13.349418953897761</v>
      </c>
      <c r="AR243" s="299">
        <v>44230</v>
      </c>
    </row>
    <row r="244" spans="19:44" x14ac:dyDescent="0.35">
      <c r="T244" s="683" t="str">
        <f t="shared" si="25"/>
        <v>42</v>
      </c>
      <c r="U244" s="281">
        <v>44231</v>
      </c>
      <c r="V244" s="286">
        <v>27.885000000000002</v>
      </c>
      <c r="W244" s="661"/>
      <c r="X244" s="661"/>
      <c r="Y244" s="640">
        <f t="shared" si="27"/>
        <v>27.885000000000002</v>
      </c>
      <c r="Z244" s="559">
        <f t="shared" si="26"/>
        <v>27.885000000000002</v>
      </c>
      <c r="AI244" s="548">
        <v>450</v>
      </c>
      <c r="AM244" s="222">
        <v>6.2</v>
      </c>
      <c r="AN244" s="222"/>
      <c r="AO244" s="222"/>
      <c r="AQ244" s="280">
        <f t="shared" si="23"/>
        <v>-6.2</v>
      </c>
      <c r="AR244" s="299">
        <v>44231</v>
      </c>
    </row>
    <row r="245" spans="19:44" x14ac:dyDescent="0.35">
      <c r="T245" s="683" t="str">
        <f t="shared" si="25"/>
        <v>52</v>
      </c>
      <c r="U245" s="281">
        <v>44232</v>
      </c>
      <c r="V245" s="286">
        <v>27.771000000000001</v>
      </c>
      <c r="W245" s="661"/>
      <c r="X245" s="661"/>
      <c r="Y245" s="640">
        <f t="shared" si="27"/>
        <v>27.771000000000001</v>
      </c>
      <c r="Z245" s="559">
        <f t="shared" si="26"/>
        <v>27.771000000000001</v>
      </c>
      <c r="AI245" s="548">
        <v>450</v>
      </c>
      <c r="AM245" s="222"/>
      <c r="AN245" s="222"/>
      <c r="AO245" s="222">
        <f>(0.1039)*1000/28</f>
        <v>3.7107142857142859</v>
      </c>
      <c r="AP245" s="284">
        <f>AO245*$BC$4</f>
        <v>0.35601167090921199</v>
      </c>
      <c r="AQ245" s="280">
        <f t="shared" si="23"/>
        <v>1.0680350127276359</v>
      </c>
      <c r="AR245" s="299">
        <v>44232</v>
      </c>
    </row>
    <row r="246" spans="19:44" x14ac:dyDescent="0.35">
      <c r="T246" s="683" t="str">
        <f t="shared" si="25"/>
        <v>82</v>
      </c>
      <c r="U246" s="281">
        <v>44235</v>
      </c>
      <c r="V246" s="646">
        <v>27.664999999999999</v>
      </c>
      <c r="W246" s="664"/>
      <c r="X246" s="664"/>
      <c r="Y246" s="640">
        <f t="shared" si="27"/>
        <v>27.664999999999999</v>
      </c>
      <c r="Z246" s="559">
        <f t="shared" si="26"/>
        <v>27.664999999999999</v>
      </c>
      <c r="AI246" s="548">
        <v>450</v>
      </c>
      <c r="AM246" s="222"/>
      <c r="AN246" s="222"/>
      <c r="AO246" s="222"/>
      <c r="AQ246" s="280">
        <f t="shared" si="23"/>
        <v>0</v>
      </c>
      <c r="AR246" s="299">
        <v>44235</v>
      </c>
    </row>
    <row r="247" spans="19:44" x14ac:dyDescent="0.35">
      <c r="T247" s="683" t="str">
        <f t="shared" si="25"/>
        <v>92</v>
      </c>
      <c r="U247" s="281">
        <v>44236</v>
      </c>
      <c r="V247" s="646">
        <v>27.643000000000001</v>
      </c>
      <c r="W247" s="664"/>
      <c r="X247" s="664"/>
      <c r="Y247" s="640">
        <f t="shared" si="27"/>
        <v>27.643000000000001</v>
      </c>
      <c r="Z247" s="559">
        <f t="shared" si="26"/>
        <v>27.643000000000001</v>
      </c>
      <c r="AI247" s="548">
        <v>450</v>
      </c>
      <c r="AM247" s="222"/>
      <c r="AN247" s="222"/>
      <c r="AO247" s="222"/>
      <c r="AQ247" s="280">
        <f t="shared" si="23"/>
        <v>0</v>
      </c>
      <c r="AR247" s="299">
        <v>44236</v>
      </c>
    </row>
    <row r="248" spans="19:44" x14ac:dyDescent="0.35">
      <c r="T248" s="683" t="str">
        <f t="shared" si="25"/>
        <v>102</v>
      </c>
      <c r="U248" s="281">
        <v>44237</v>
      </c>
      <c r="V248" s="646">
        <v>27.774999999999999</v>
      </c>
      <c r="W248" s="664"/>
      <c r="X248" s="664"/>
      <c r="Y248" s="640">
        <f t="shared" si="27"/>
        <v>27.774999999999999</v>
      </c>
      <c r="Z248" s="559">
        <f t="shared" si="26"/>
        <v>27.774999999999999</v>
      </c>
      <c r="AI248" s="548">
        <v>450</v>
      </c>
      <c r="AM248" s="222"/>
      <c r="AN248" s="222"/>
      <c r="AO248" s="222">
        <f>(2.6788+0.1563+0.1448+0.147)*1000/28</f>
        <v>111.67499999999998</v>
      </c>
      <c r="AP248" s="284">
        <f>AO248*$BC$4</f>
        <v>10.714272317285994</v>
      </c>
      <c r="AQ248" s="280">
        <f t="shared" si="23"/>
        <v>32.142816951857981</v>
      </c>
      <c r="AR248" s="299">
        <v>44237</v>
      </c>
    </row>
    <row r="249" spans="19:44" x14ac:dyDescent="0.35">
      <c r="T249" s="683" t="str">
        <f t="shared" si="25"/>
        <v>112</v>
      </c>
      <c r="U249" s="281">
        <v>44238</v>
      </c>
      <c r="V249" s="646">
        <v>27.838000000000001</v>
      </c>
      <c r="W249" s="664"/>
      <c r="X249" s="664"/>
      <c r="Y249" s="640">
        <f t="shared" si="27"/>
        <v>27.838000000000001</v>
      </c>
      <c r="Z249" s="559">
        <f t="shared" si="26"/>
        <v>27.838000000000001</v>
      </c>
      <c r="AI249" s="548">
        <v>450</v>
      </c>
      <c r="AM249" s="222">
        <f>94.6+388.3</f>
        <v>482.9</v>
      </c>
      <c r="AN249" s="222"/>
      <c r="AO249" s="222"/>
      <c r="AQ249" s="280">
        <f t="shared" si="23"/>
        <v>-482.9</v>
      </c>
      <c r="AR249" s="299">
        <v>44238</v>
      </c>
    </row>
    <row r="250" spans="19:44" x14ac:dyDescent="0.35">
      <c r="T250" s="683" t="str">
        <f t="shared" si="25"/>
        <v>122</v>
      </c>
      <c r="U250" s="281">
        <v>44239</v>
      </c>
      <c r="V250" s="646">
        <v>27.844000000000001</v>
      </c>
      <c r="W250" s="664"/>
      <c r="X250" s="664"/>
      <c r="Y250" s="640">
        <f t="shared" si="27"/>
        <v>27.844000000000001</v>
      </c>
      <c r="Z250" s="559">
        <f t="shared" si="26"/>
        <v>27.844000000000001</v>
      </c>
      <c r="AI250" s="548">
        <v>450</v>
      </c>
      <c r="AM250" s="222"/>
      <c r="AN250" s="222"/>
      <c r="AO250" s="222">
        <f>(0.7722)*1000/28</f>
        <v>27.578571428571429</v>
      </c>
      <c r="AP250" s="284">
        <f>AO250*$BC$4</f>
        <v>2.6459308207516217</v>
      </c>
      <c r="AQ250" s="280">
        <f t="shared" si="23"/>
        <v>7.9377924622548655</v>
      </c>
      <c r="AR250" s="299">
        <v>44239</v>
      </c>
    </row>
    <row r="251" spans="19:44" x14ac:dyDescent="0.35">
      <c r="T251" s="683" t="str">
        <f t="shared" si="25"/>
        <v>152</v>
      </c>
      <c r="U251" s="281">
        <v>44242</v>
      </c>
      <c r="V251" s="646">
        <v>27.966999999999999</v>
      </c>
      <c r="W251" s="664"/>
      <c r="X251" s="664"/>
      <c r="Y251" s="640">
        <f t="shared" si="27"/>
        <v>27.966999999999999</v>
      </c>
      <c r="Z251" s="559">
        <f t="shared" si="26"/>
        <v>27.966999999999999</v>
      </c>
      <c r="AI251" s="548">
        <v>450</v>
      </c>
      <c r="AM251" s="222"/>
      <c r="AN251" s="222"/>
      <c r="AO251" s="222"/>
      <c r="AQ251" s="280">
        <f t="shared" ref="AQ251:AQ314" si="28">-AM251+AN251+(AP251*3)</f>
        <v>0</v>
      </c>
      <c r="AR251" s="299">
        <v>44242</v>
      </c>
    </row>
    <row r="252" spans="19:44" x14ac:dyDescent="0.35">
      <c r="T252" s="683" t="str">
        <f t="shared" si="25"/>
        <v>162</v>
      </c>
      <c r="U252" s="281">
        <v>44243</v>
      </c>
      <c r="V252" s="646">
        <v>27.83</v>
      </c>
      <c r="W252" s="664"/>
      <c r="X252" s="664"/>
      <c r="Y252" s="640">
        <f t="shared" si="27"/>
        <v>27.83</v>
      </c>
      <c r="Z252" s="559">
        <f t="shared" si="26"/>
        <v>27.83</v>
      </c>
      <c r="AI252" s="548">
        <v>450</v>
      </c>
      <c r="AM252" s="222"/>
      <c r="AN252" s="222"/>
      <c r="AO252" s="222"/>
      <c r="AQ252" s="280">
        <f t="shared" si="28"/>
        <v>0</v>
      </c>
      <c r="AR252" s="299">
        <v>44243</v>
      </c>
    </row>
    <row r="253" spans="19:44" x14ac:dyDescent="0.35">
      <c r="T253" s="683" t="str">
        <f t="shared" si="25"/>
        <v>172</v>
      </c>
      <c r="U253" s="281">
        <v>44244</v>
      </c>
      <c r="V253" s="646">
        <v>27.904</v>
      </c>
      <c r="W253" s="664"/>
      <c r="X253" s="664"/>
      <c r="Y253" s="640">
        <f t="shared" si="27"/>
        <v>27.904</v>
      </c>
      <c r="Z253" s="559">
        <f t="shared" si="26"/>
        <v>27.904</v>
      </c>
      <c r="AI253" s="548">
        <v>450</v>
      </c>
      <c r="AM253" s="222"/>
      <c r="AN253" s="222"/>
      <c r="AO253" s="222">
        <f>(0.2356+0.1982)*1000/28</f>
        <v>15.492857142857142</v>
      </c>
      <c r="AP253" s="284">
        <f>AO253*$BC$4</f>
        <v>1.4864086895131488</v>
      </c>
      <c r="AQ253" s="280">
        <f t="shared" si="28"/>
        <v>4.4592260685394463</v>
      </c>
      <c r="AR253" s="299">
        <v>44244</v>
      </c>
    </row>
    <row r="254" spans="19:44" x14ac:dyDescent="0.35">
      <c r="T254" s="683" t="str">
        <f t="shared" si="25"/>
        <v>182</v>
      </c>
      <c r="U254" s="281">
        <v>44245</v>
      </c>
      <c r="V254" s="646">
        <v>27.846</v>
      </c>
      <c r="W254" s="664"/>
      <c r="X254" s="664"/>
      <c r="Y254" s="640">
        <f t="shared" si="27"/>
        <v>27.846</v>
      </c>
      <c r="Z254" s="559">
        <f t="shared" si="26"/>
        <v>27.846</v>
      </c>
      <c r="AI254" s="548">
        <v>450</v>
      </c>
      <c r="AM254" s="222"/>
      <c r="AN254" s="222"/>
      <c r="AO254" s="222"/>
      <c r="AQ254" s="280">
        <f t="shared" si="28"/>
        <v>0</v>
      </c>
      <c r="AR254" s="299">
        <v>44245</v>
      </c>
    </row>
    <row r="255" spans="19:44" x14ac:dyDescent="0.35">
      <c r="T255" s="683" t="str">
        <f t="shared" si="25"/>
        <v>192</v>
      </c>
      <c r="U255" s="281">
        <v>44246</v>
      </c>
      <c r="V255" s="646">
        <v>27.847000000000001</v>
      </c>
      <c r="W255" s="664"/>
      <c r="X255" s="664"/>
      <c r="Y255" s="640">
        <f t="shared" si="27"/>
        <v>27.847000000000001</v>
      </c>
      <c r="Z255" s="559">
        <f t="shared" si="26"/>
        <v>27.847000000000001</v>
      </c>
      <c r="AI255" s="548">
        <v>450</v>
      </c>
      <c r="AM255" s="222"/>
      <c r="AN255" s="222"/>
      <c r="AO255" s="222">
        <f>(0.1788)*1000/28</f>
        <v>6.3857142857142852</v>
      </c>
      <c r="AP255" s="284">
        <f>AO255*$BC$4</f>
        <v>0.61265531047706545</v>
      </c>
      <c r="AQ255" s="280">
        <f t="shared" si="28"/>
        <v>1.8379659314311962</v>
      </c>
      <c r="AR255" s="299">
        <v>44246</v>
      </c>
    </row>
    <row r="256" spans="19:44" x14ac:dyDescent="0.35">
      <c r="T256" s="683" t="str">
        <f t="shared" si="25"/>
        <v>222</v>
      </c>
      <c r="U256" s="281">
        <v>44249</v>
      </c>
      <c r="V256" s="646">
        <v>27.93</v>
      </c>
      <c r="W256" s="664"/>
      <c r="X256" s="664"/>
      <c r="Y256" s="640">
        <f t="shared" si="27"/>
        <v>27.93</v>
      </c>
      <c r="Z256" s="559">
        <f t="shared" si="26"/>
        <v>27.93</v>
      </c>
      <c r="AI256" s="548">
        <v>450</v>
      </c>
      <c r="AM256" s="222"/>
      <c r="AN256" s="222"/>
      <c r="AO256" s="222"/>
      <c r="AQ256" s="280">
        <f t="shared" si="28"/>
        <v>0</v>
      </c>
      <c r="AR256" s="299">
        <v>44249</v>
      </c>
    </row>
    <row r="257" spans="20:44" x14ac:dyDescent="0.35">
      <c r="T257" s="683" t="str">
        <f t="shared" si="25"/>
        <v>232</v>
      </c>
      <c r="U257" s="281">
        <v>44250</v>
      </c>
      <c r="V257" s="646">
        <v>27.898</v>
      </c>
      <c r="W257" s="664"/>
      <c r="X257" s="664"/>
      <c r="Y257" s="640">
        <f t="shared" si="27"/>
        <v>27.898</v>
      </c>
      <c r="Z257" s="559">
        <f t="shared" si="26"/>
        <v>27.898</v>
      </c>
      <c r="AI257" s="548">
        <v>450</v>
      </c>
      <c r="AM257" s="222"/>
      <c r="AN257" s="222"/>
      <c r="AO257" s="222"/>
      <c r="AQ257" s="280">
        <f t="shared" si="28"/>
        <v>0</v>
      </c>
      <c r="AR257" s="299">
        <v>44250</v>
      </c>
    </row>
    <row r="258" spans="20:44" x14ac:dyDescent="0.35">
      <c r="T258" s="683" t="str">
        <f t="shared" si="25"/>
        <v>242</v>
      </c>
      <c r="U258" s="281">
        <v>44251</v>
      </c>
      <c r="V258" s="646">
        <v>27.949000000000002</v>
      </c>
      <c r="W258" s="664"/>
      <c r="X258" s="664"/>
      <c r="Y258" s="640">
        <f t="shared" si="27"/>
        <v>27.949000000000002</v>
      </c>
      <c r="Z258" s="559">
        <f t="shared" si="26"/>
        <v>27.949000000000002</v>
      </c>
      <c r="AI258" s="548">
        <v>450</v>
      </c>
      <c r="AM258" s="222"/>
      <c r="AN258" s="222"/>
      <c r="AO258" s="222">
        <f>(10.5616+0.0715+0.4797+0.1964)*1000/28</f>
        <v>403.90000000000003</v>
      </c>
      <c r="AP258" s="284">
        <f>AO258*$BC$4</f>
        <v>38.750791036058331</v>
      </c>
      <c r="AQ258" s="280">
        <f t="shared" si="28"/>
        <v>116.25237310817499</v>
      </c>
      <c r="AR258" s="299">
        <v>44251</v>
      </c>
    </row>
    <row r="259" spans="20:44" x14ac:dyDescent="0.35">
      <c r="T259" s="683" t="str">
        <f t="shared" si="25"/>
        <v>252</v>
      </c>
      <c r="U259" s="281">
        <v>44252</v>
      </c>
      <c r="V259" s="646">
        <v>27.93</v>
      </c>
      <c r="W259" s="664"/>
      <c r="X259" s="664"/>
      <c r="Y259" s="640">
        <f t="shared" si="27"/>
        <v>27.93</v>
      </c>
      <c r="Z259" s="559">
        <f t="shared" si="26"/>
        <v>27.93</v>
      </c>
      <c r="AI259" s="548">
        <v>450</v>
      </c>
      <c r="AM259" s="222"/>
      <c r="AN259" s="222"/>
      <c r="AO259" s="222"/>
      <c r="AQ259" s="280">
        <f t="shared" si="28"/>
        <v>0</v>
      </c>
      <c r="AR259" s="299">
        <v>44252</v>
      </c>
    </row>
    <row r="260" spans="20:44" x14ac:dyDescent="0.35">
      <c r="T260" s="683" t="str">
        <f t="shared" si="25"/>
        <v>262</v>
      </c>
      <c r="U260" s="281">
        <v>44253</v>
      </c>
      <c r="V260" s="646">
        <v>27.946000000000002</v>
      </c>
      <c r="W260" s="664"/>
      <c r="X260" s="664"/>
      <c r="Y260" s="640">
        <f t="shared" si="27"/>
        <v>27.946000000000002</v>
      </c>
      <c r="Z260" s="559">
        <f t="shared" si="26"/>
        <v>27.946000000000002</v>
      </c>
      <c r="AA260" s="300"/>
      <c r="AB260" s="300"/>
      <c r="AC260" s="300"/>
      <c r="AD260" s="300"/>
      <c r="AE260" s="300"/>
      <c r="AF260" s="300"/>
      <c r="AG260" s="300"/>
      <c r="AH260" s="300"/>
      <c r="AI260" s="548">
        <v>450</v>
      </c>
      <c r="AJ260" s="300"/>
      <c r="AK260" s="300"/>
      <c r="AL260" s="300"/>
      <c r="AM260" s="336"/>
      <c r="AN260" s="336"/>
      <c r="AO260" s="222">
        <f>(0.1663+0.5201+0.1563)*1000/28</f>
        <v>30.096428571428572</v>
      </c>
      <c r="AP260" s="284">
        <f>AO260*$BC$4</f>
        <v>2.8874979314263034</v>
      </c>
      <c r="AQ260" s="280">
        <f t="shared" si="28"/>
        <v>8.6624937942789106</v>
      </c>
      <c r="AR260" s="299">
        <v>44253</v>
      </c>
    </row>
    <row r="261" spans="20:44" x14ac:dyDescent="0.35">
      <c r="T261" s="683" t="str">
        <f t="shared" ref="T261:T324" si="29">DAY(U261)&amp;MONTH(U261)</f>
        <v>13</v>
      </c>
      <c r="U261" s="281">
        <v>44256</v>
      </c>
      <c r="V261" s="646">
        <v>28.001000000000001</v>
      </c>
      <c r="W261" s="664"/>
      <c r="X261" s="664"/>
      <c r="Y261" s="640">
        <f t="shared" si="27"/>
        <v>28.001000000000001</v>
      </c>
      <c r="Z261" s="559">
        <f t="shared" si="26"/>
        <v>28.001000000000001</v>
      </c>
      <c r="AI261" s="548">
        <v>450</v>
      </c>
      <c r="AN261">
        <f>37.76+39.23+52.52+51.89+51.49+51.07+50.65+94.29+18.6</f>
        <v>447.5</v>
      </c>
      <c r="AQ261" s="280">
        <f t="shared" si="28"/>
        <v>447.5</v>
      </c>
      <c r="AR261" s="299">
        <v>44256</v>
      </c>
    </row>
    <row r="262" spans="20:44" x14ac:dyDescent="0.35">
      <c r="T262" s="683" t="str">
        <f t="shared" si="29"/>
        <v>23</v>
      </c>
      <c r="U262" s="281">
        <v>44257</v>
      </c>
      <c r="V262" s="646">
        <v>27.933</v>
      </c>
      <c r="W262" s="664"/>
      <c r="X262" s="664"/>
      <c r="Y262" s="640">
        <f t="shared" si="27"/>
        <v>27.933</v>
      </c>
      <c r="Z262" s="559">
        <f t="shared" si="26"/>
        <v>27.933</v>
      </c>
      <c r="AI262" s="548">
        <v>450</v>
      </c>
      <c r="AQ262" s="280">
        <f t="shared" si="28"/>
        <v>0</v>
      </c>
      <c r="AR262" s="299">
        <v>44257</v>
      </c>
    </row>
    <row r="263" spans="20:44" x14ac:dyDescent="0.35">
      <c r="T263" s="683" t="str">
        <f t="shared" si="29"/>
        <v>33</v>
      </c>
      <c r="U263" s="281">
        <v>44258</v>
      </c>
      <c r="V263" s="646">
        <v>27.847999999999999</v>
      </c>
      <c r="W263" s="664"/>
      <c r="X263" s="664"/>
      <c r="Y263" s="640">
        <f t="shared" si="27"/>
        <v>27.847999999999999</v>
      </c>
      <c r="Z263" s="559">
        <f t="shared" si="26"/>
        <v>27.847999999999999</v>
      </c>
      <c r="AI263" s="548">
        <v>450</v>
      </c>
      <c r="AO263" s="222">
        <f>(11.7433+3.2536+0.1258)*1000/27.9</f>
        <v>542.03225806451621</v>
      </c>
      <c r="AP263" s="284">
        <f>AO263*$BC$4</f>
        <v>52.003413634713809</v>
      </c>
      <c r="AQ263" s="280">
        <f t="shared" si="28"/>
        <v>156.01024090414143</v>
      </c>
      <c r="AR263" s="299">
        <v>44258</v>
      </c>
    </row>
    <row r="264" spans="20:44" x14ac:dyDescent="0.35">
      <c r="T264" s="683" t="str">
        <f t="shared" si="29"/>
        <v>43</v>
      </c>
      <c r="U264" s="281">
        <v>44259</v>
      </c>
      <c r="V264" s="646">
        <v>27.756</v>
      </c>
      <c r="W264" s="664"/>
      <c r="X264" s="664"/>
      <c r="Y264" s="640">
        <f t="shared" si="27"/>
        <v>27.756</v>
      </c>
      <c r="Z264" s="559">
        <f t="shared" si="26"/>
        <v>27.756</v>
      </c>
      <c r="AI264" s="548">
        <v>450</v>
      </c>
      <c r="AQ264" s="280">
        <f t="shared" si="28"/>
        <v>0</v>
      </c>
      <c r="AR264" s="299">
        <v>44259</v>
      </c>
    </row>
    <row r="265" spans="20:44" x14ac:dyDescent="0.35">
      <c r="T265" s="683" t="str">
        <f t="shared" si="29"/>
        <v>53</v>
      </c>
      <c r="U265" s="281">
        <v>44260</v>
      </c>
      <c r="V265" s="646">
        <v>27.709</v>
      </c>
      <c r="W265" s="664"/>
      <c r="X265" s="664"/>
      <c r="Y265" s="640">
        <f t="shared" si="27"/>
        <v>27.709</v>
      </c>
      <c r="Z265" s="559">
        <f t="shared" si="26"/>
        <v>27.709</v>
      </c>
      <c r="AI265" s="548">
        <v>450</v>
      </c>
      <c r="AO265" s="222">
        <f>(0.135)*1000/27.9</f>
        <v>4.838709677419355</v>
      </c>
      <c r="AP265" s="284">
        <f>AO265*$BC$4</f>
        <v>0.46423329436452243</v>
      </c>
      <c r="AQ265" s="280">
        <f t="shared" si="28"/>
        <v>1.3926998830935673</v>
      </c>
      <c r="AR265" s="299">
        <v>44260</v>
      </c>
    </row>
    <row r="266" spans="20:44" x14ac:dyDescent="0.35">
      <c r="T266" s="683" t="str">
        <f t="shared" si="29"/>
        <v>83</v>
      </c>
      <c r="U266" s="281">
        <v>44263</v>
      </c>
      <c r="V266" s="646">
        <v>27.742999999999999</v>
      </c>
      <c r="W266" s="664"/>
      <c r="X266" s="664"/>
      <c r="Y266" s="640">
        <f t="shared" si="27"/>
        <v>27.742999999999999</v>
      </c>
      <c r="Z266" s="559">
        <f t="shared" si="26"/>
        <v>27.742999999999999</v>
      </c>
      <c r="AI266" s="548">
        <v>450</v>
      </c>
      <c r="AQ266" s="280">
        <f t="shared" si="28"/>
        <v>0</v>
      </c>
      <c r="AR266" s="299">
        <v>44263</v>
      </c>
    </row>
    <row r="267" spans="20:44" x14ac:dyDescent="0.35">
      <c r="T267" s="683" t="str">
        <f t="shared" si="29"/>
        <v>93</v>
      </c>
      <c r="U267" s="281">
        <v>44264</v>
      </c>
      <c r="V267" s="646">
        <v>27.702000000000002</v>
      </c>
      <c r="W267" s="664"/>
      <c r="X267" s="664"/>
      <c r="Y267" s="640">
        <f t="shared" si="27"/>
        <v>27.702000000000002</v>
      </c>
      <c r="Z267" s="559">
        <f t="shared" si="26"/>
        <v>27.702000000000002</v>
      </c>
      <c r="AI267" s="548">
        <v>450</v>
      </c>
      <c r="AQ267" s="280">
        <f t="shared" si="28"/>
        <v>0</v>
      </c>
      <c r="AR267" s="299">
        <v>44264</v>
      </c>
    </row>
    <row r="268" spans="20:44" x14ac:dyDescent="0.35">
      <c r="T268" s="683" t="str">
        <f t="shared" si="29"/>
        <v>103</v>
      </c>
      <c r="U268" s="281">
        <v>44265</v>
      </c>
      <c r="V268" s="646">
        <v>27.748999999999999</v>
      </c>
      <c r="W268" s="664"/>
      <c r="X268" s="664"/>
      <c r="Y268" s="640">
        <f t="shared" si="27"/>
        <v>27.748999999999999</v>
      </c>
      <c r="Z268" s="559">
        <f t="shared" si="26"/>
        <v>27.748999999999999</v>
      </c>
      <c r="AI268" s="548">
        <v>450</v>
      </c>
      <c r="AO268" s="222">
        <f>(0.024+0.1446+0.12+0.1998+0.2183)*1000/27.9</f>
        <v>25.32974910394265</v>
      </c>
      <c r="AP268" s="284">
        <f>AO268*$BC$4</f>
        <v>2.4301753268696888</v>
      </c>
      <c r="AQ268" s="280">
        <f t="shared" si="28"/>
        <v>7.2905259806090665</v>
      </c>
      <c r="AR268" s="299">
        <v>44265</v>
      </c>
    </row>
    <row r="269" spans="20:44" x14ac:dyDescent="0.35">
      <c r="T269" s="683" t="str">
        <f t="shared" si="29"/>
        <v>113</v>
      </c>
      <c r="U269" s="281">
        <v>44266</v>
      </c>
      <c r="V269" s="646">
        <v>27.731000000000002</v>
      </c>
      <c r="W269" s="664"/>
      <c r="X269" s="664"/>
      <c r="Y269" s="640">
        <f t="shared" si="27"/>
        <v>27.731000000000002</v>
      </c>
      <c r="Z269" s="559">
        <f t="shared" si="26"/>
        <v>27.731000000000002</v>
      </c>
      <c r="AI269" s="548">
        <v>450</v>
      </c>
      <c r="AQ269" s="280">
        <f t="shared" si="28"/>
        <v>0</v>
      </c>
      <c r="AR269" s="299">
        <v>44266</v>
      </c>
    </row>
    <row r="270" spans="20:44" x14ac:dyDescent="0.35">
      <c r="T270" s="683" t="str">
        <f t="shared" si="29"/>
        <v>123</v>
      </c>
      <c r="U270" s="281">
        <v>44267</v>
      </c>
      <c r="V270" s="643">
        <v>27.643000000000001</v>
      </c>
      <c r="W270" s="665"/>
      <c r="X270" s="665"/>
      <c r="Y270" s="640">
        <f t="shared" si="27"/>
        <v>27.643000000000001</v>
      </c>
      <c r="Z270" s="559">
        <f t="shared" si="26"/>
        <v>27.643000000000001</v>
      </c>
      <c r="AI270" s="548">
        <v>450</v>
      </c>
      <c r="AN270">
        <f>295.5*1.44</f>
        <v>425.52</v>
      </c>
      <c r="AQ270" s="280">
        <f t="shared" si="28"/>
        <v>425.52</v>
      </c>
      <c r="AR270" s="299">
        <v>44267</v>
      </c>
    </row>
    <row r="271" spans="20:44" x14ac:dyDescent="0.35">
      <c r="T271" s="683" t="str">
        <f t="shared" si="29"/>
        <v>153</v>
      </c>
      <c r="U271" s="281">
        <v>44270</v>
      </c>
      <c r="V271" s="643">
        <v>27.652000000000001</v>
      </c>
      <c r="W271" s="665"/>
      <c r="X271" s="665"/>
      <c r="Y271" s="640">
        <f t="shared" si="27"/>
        <v>27.652000000000001</v>
      </c>
      <c r="Z271" s="559">
        <f t="shared" si="26"/>
        <v>27.652000000000001</v>
      </c>
      <c r="AI271" s="548">
        <v>450</v>
      </c>
      <c r="AQ271" s="280">
        <f t="shared" si="28"/>
        <v>0</v>
      </c>
      <c r="AR271" s="299">
        <v>44270</v>
      </c>
    </row>
    <row r="272" spans="20:44" x14ac:dyDescent="0.35">
      <c r="T272" s="683" t="str">
        <f t="shared" si="29"/>
        <v>163</v>
      </c>
      <c r="U272" s="281">
        <v>44271</v>
      </c>
      <c r="V272" s="643">
        <v>27.696999999999999</v>
      </c>
      <c r="W272" s="665"/>
      <c r="X272" s="665"/>
      <c r="Y272" s="640">
        <f t="shared" si="27"/>
        <v>27.696999999999999</v>
      </c>
      <c r="Z272" s="559">
        <f t="shared" si="26"/>
        <v>27.696999999999999</v>
      </c>
      <c r="AI272" s="548">
        <v>450</v>
      </c>
      <c r="AN272">
        <f>59.68*1.44</f>
        <v>85.9392</v>
      </c>
      <c r="AQ272" s="280">
        <f t="shared" si="28"/>
        <v>85.9392</v>
      </c>
      <c r="AR272" s="299">
        <v>44271</v>
      </c>
    </row>
    <row r="273" spans="20:44" x14ac:dyDescent="0.35">
      <c r="T273" s="683" t="str">
        <f t="shared" si="29"/>
        <v>173</v>
      </c>
      <c r="U273" s="281">
        <v>44272</v>
      </c>
      <c r="V273" s="643">
        <v>27.681999999999999</v>
      </c>
      <c r="W273" s="665"/>
      <c r="X273" s="665"/>
      <c r="Y273" s="640">
        <f t="shared" si="27"/>
        <v>27.681999999999999</v>
      </c>
      <c r="Z273" s="559">
        <f t="shared" si="26"/>
        <v>27.681999999999999</v>
      </c>
      <c r="AI273" s="548">
        <v>450</v>
      </c>
      <c r="AO273" s="222">
        <f>(6.8973+0.0463+0.0721+0.1996)*1000/27.9</f>
        <v>258.61290322580646</v>
      </c>
      <c r="AP273" s="284">
        <f>AO273*$BC$4</f>
        <v>24.811722139469175</v>
      </c>
      <c r="AQ273" s="280">
        <f t="shared" si="28"/>
        <v>74.435166418407533</v>
      </c>
      <c r="AR273" s="299">
        <v>44272</v>
      </c>
    </row>
    <row r="274" spans="20:44" x14ac:dyDescent="0.35">
      <c r="T274" s="683" t="str">
        <f t="shared" si="29"/>
        <v>183</v>
      </c>
      <c r="U274" s="281">
        <v>44273</v>
      </c>
      <c r="V274" s="643">
        <v>27.718</v>
      </c>
      <c r="W274" s="665"/>
      <c r="X274" s="665"/>
      <c r="Y274" s="640">
        <f t="shared" si="27"/>
        <v>27.718</v>
      </c>
      <c r="Z274" s="559">
        <f t="shared" si="26"/>
        <v>27.718</v>
      </c>
      <c r="AI274" s="548">
        <v>450</v>
      </c>
      <c r="AQ274" s="280">
        <f t="shared" si="28"/>
        <v>0</v>
      </c>
      <c r="AR274" s="299">
        <v>44273</v>
      </c>
    </row>
    <row r="275" spans="20:44" x14ac:dyDescent="0.35">
      <c r="T275" s="683" t="str">
        <f t="shared" si="29"/>
        <v>193</v>
      </c>
      <c r="U275" s="281">
        <v>44274</v>
      </c>
      <c r="V275" s="643">
        <v>27.687000000000001</v>
      </c>
      <c r="W275" s="665"/>
      <c r="X275" s="665"/>
      <c r="Y275" s="640">
        <f t="shared" si="27"/>
        <v>27.687000000000001</v>
      </c>
      <c r="Z275" s="559">
        <f t="shared" si="26"/>
        <v>27.687000000000001</v>
      </c>
      <c r="AI275" s="548">
        <v>450</v>
      </c>
      <c r="AQ275" s="280">
        <f t="shared" si="28"/>
        <v>0</v>
      </c>
      <c r="AR275" s="299">
        <v>44274</v>
      </c>
    </row>
    <row r="276" spans="20:44" x14ac:dyDescent="0.35">
      <c r="T276" s="683" t="str">
        <f t="shared" si="29"/>
        <v>223</v>
      </c>
      <c r="U276" s="281">
        <v>44277</v>
      </c>
      <c r="V276" s="646">
        <v>27.73</v>
      </c>
      <c r="W276" s="664"/>
      <c r="X276" s="664"/>
      <c r="Y276" s="640">
        <f t="shared" si="27"/>
        <v>27.73</v>
      </c>
      <c r="Z276" s="559">
        <f t="shared" si="26"/>
        <v>27.73</v>
      </c>
      <c r="AI276" s="548">
        <v>450</v>
      </c>
      <c r="AQ276" s="280">
        <f t="shared" si="28"/>
        <v>0</v>
      </c>
      <c r="AR276" s="299">
        <v>44277</v>
      </c>
    </row>
    <row r="277" spans="20:44" x14ac:dyDescent="0.35">
      <c r="T277" s="683" t="str">
        <f t="shared" si="29"/>
        <v>233</v>
      </c>
      <c r="U277" s="281">
        <v>44278</v>
      </c>
      <c r="V277" s="646">
        <v>27.87</v>
      </c>
      <c r="W277" s="664"/>
      <c r="X277" s="664"/>
      <c r="Y277" s="640">
        <f t="shared" si="27"/>
        <v>27.87</v>
      </c>
      <c r="Z277" s="559">
        <f t="shared" si="26"/>
        <v>27.87</v>
      </c>
      <c r="AI277" s="548">
        <v>450</v>
      </c>
      <c r="AQ277" s="280">
        <f t="shared" si="28"/>
        <v>0</v>
      </c>
      <c r="AR277" s="299">
        <v>44278</v>
      </c>
    </row>
    <row r="278" spans="20:44" x14ac:dyDescent="0.35">
      <c r="T278" s="683" t="str">
        <f t="shared" si="29"/>
        <v>243</v>
      </c>
      <c r="U278" s="281">
        <v>44279</v>
      </c>
      <c r="V278" s="646">
        <v>27.97</v>
      </c>
      <c r="W278" s="664"/>
      <c r="X278" s="664"/>
      <c r="Y278" s="640">
        <f t="shared" si="27"/>
        <v>27.97</v>
      </c>
      <c r="Z278" s="559">
        <f t="shared" si="26"/>
        <v>27.97</v>
      </c>
      <c r="AI278" s="548">
        <v>450</v>
      </c>
      <c r="AO278" s="222">
        <f>(10.882+0.1625+0.087+0.1522+0.12+0.12+0.12+0.2182)*1000/27.9</f>
        <v>425.15770609318986</v>
      </c>
      <c r="AP278" s="284">
        <f>AO278*$BC$4</f>
        <v>40.790288254981682</v>
      </c>
      <c r="AQ278" s="280">
        <f t="shared" si="28"/>
        <v>122.37086476494505</v>
      </c>
      <c r="AR278" s="299">
        <v>44279</v>
      </c>
    </row>
    <row r="279" spans="20:44" x14ac:dyDescent="0.35">
      <c r="T279" s="683" t="str">
        <f t="shared" si="29"/>
        <v>253</v>
      </c>
      <c r="U279" s="281">
        <v>44280</v>
      </c>
      <c r="V279" s="646">
        <v>27.968</v>
      </c>
      <c r="W279" s="664"/>
      <c r="X279" s="664"/>
      <c r="Y279" s="640">
        <f t="shared" si="27"/>
        <v>27.968</v>
      </c>
      <c r="Z279" s="559">
        <f t="shared" si="26"/>
        <v>27.968</v>
      </c>
      <c r="AI279" s="548">
        <v>450</v>
      </c>
      <c r="AN279">
        <v>110.625</v>
      </c>
      <c r="AQ279" s="280">
        <f t="shared" si="28"/>
        <v>110.625</v>
      </c>
      <c r="AR279" s="299">
        <v>44280</v>
      </c>
    </row>
    <row r="280" spans="20:44" x14ac:dyDescent="0.35">
      <c r="T280" s="683" t="str">
        <f t="shared" si="29"/>
        <v>263</v>
      </c>
      <c r="U280" s="281">
        <v>44281</v>
      </c>
      <c r="V280" s="646">
        <v>27.969000000000001</v>
      </c>
      <c r="W280" s="664"/>
      <c r="X280" s="664"/>
      <c r="Y280" s="640">
        <f t="shared" si="27"/>
        <v>27.969000000000001</v>
      </c>
      <c r="Z280" s="559">
        <f t="shared" si="26"/>
        <v>27.969000000000001</v>
      </c>
      <c r="AI280" s="548">
        <v>450</v>
      </c>
      <c r="AQ280" s="280">
        <f t="shared" si="28"/>
        <v>0</v>
      </c>
      <c r="AR280" s="299">
        <v>44281</v>
      </c>
    </row>
    <row r="281" spans="20:44" x14ac:dyDescent="0.35">
      <c r="T281" s="683" t="str">
        <f t="shared" si="29"/>
        <v>293</v>
      </c>
      <c r="U281" s="281">
        <v>44284</v>
      </c>
      <c r="V281" s="646">
        <v>27.885000000000002</v>
      </c>
      <c r="W281" s="664"/>
      <c r="X281" s="664"/>
      <c r="Y281" s="640">
        <f t="shared" si="27"/>
        <v>27.885000000000002</v>
      </c>
      <c r="Z281" s="559">
        <f t="shared" si="26"/>
        <v>27.885000000000002</v>
      </c>
      <c r="AI281" s="548">
        <v>450</v>
      </c>
      <c r="AN281">
        <v>7.3550000000000004</v>
      </c>
      <c r="AQ281" s="280">
        <f t="shared" si="28"/>
        <v>7.3550000000000004</v>
      </c>
      <c r="AR281" s="299">
        <v>44284</v>
      </c>
    </row>
    <row r="282" spans="20:44" x14ac:dyDescent="0.35">
      <c r="T282" s="683" t="str">
        <f t="shared" si="29"/>
        <v>303</v>
      </c>
      <c r="U282" s="281">
        <v>44285</v>
      </c>
      <c r="V282" s="646">
        <v>27.823</v>
      </c>
      <c r="W282" s="664"/>
      <c r="X282" s="664"/>
      <c r="Y282" s="640">
        <f t="shared" si="27"/>
        <v>27.823</v>
      </c>
      <c r="Z282" s="559">
        <f t="shared" si="26"/>
        <v>27.823</v>
      </c>
      <c r="AI282" s="548">
        <v>450</v>
      </c>
      <c r="AQ282" s="280">
        <f t="shared" si="28"/>
        <v>0</v>
      </c>
      <c r="AR282" s="299">
        <v>44285</v>
      </c>
    </row>
    <row r="283" spans="20:44" x14ac:dyDescent="0.35">
      <c r="T283" s="683" t="str">
        <f t="shared" si="29"/>
        <v>313</v>
      </c>
      <c r="U283" s="281">
        <v>44286</v>
      </c>
      <c r="V283" s="646">
        <v>27.885200000000001</v>
      </c>
      <c r="W283" s="664"/>
      <c r="X283" s="664"/>
      <c r="Y283" s="640">
        <f t="shared" si="27"/>
        <v>27.885200000000001</v>
      </c>
      <c r="Z283" s="559">
        <f t="shared" si="26"/>
        <v>27.885200000000001</v>
      </c>
      <c r="AA283" s="649"/>
      <c r="AB283" s="557"/>
      <c r="AI283" s="548">
        <v>450</v>
      </c>
      <c r="AM283">
        <f>(0.3252)*1000</f>
        <v>325.2</v>
      </c>
      <c r="AO283" s="222">
        <f>(0.7671+0.125+0.1475+0.12+0.12)*1000/27.9</f>
        <v>45.863799283154137</v>
      </c>
      <c r="AP283" s="284">
        <f>AO283*$BC$4</f>
        <v>4.4002438775469859</v>
      </c>
      <c r="AQ283" s="280">
        <f t="shared" si="28"/>
        <v>-311.99926836735904</v>
      </c>
      <c r="AR283" s="299">
        <v>44286</v>
      </c>
    </row>
    <row r="284" spans="20:44" x14ac:dyDescent="0.35">
      <c r="T284" s="683" t="str">
        <f t="shared" si="29"/>
        <v>14</v>
      </c>
      <c r="U284" s="281">
        <v>44287</v>
      </c>
      <c r="V284" s="646">
        <v>27.822600000000001</v>
      </c>
      <c r="W284" s="664"/>
      <c r="X284" s="664"/>
      <c r="Y284" s="640">
        <f t="shared" si="27"/>
        <v>27.822600000000001</v>
      </c>
      <c r="Z284" s="559">
        <f t="shared" si="26"/>
        <v>27.822600000000001</v>
      </c>
      <c r="AA284" s="649"/>
      <c r="AB284" s="557"/>
      <c r="AI284" s="548">
        <v>450</v>
      </c>
      <c r="AQ284" s="280">
        <f t="shared" si="28"/>
        <v>0</v>
      </c>
      <c r="AR284" s="299">
        <v>44287</v>
      </c>
    </row>
    <row r="285" spans="20:44" x14ac:dyDescent="0.35">
      <c r="T285" s="683" t="str">
        <f t="shared" si="29"/>
        <v>24</v>
      </c>
      <c r="U285" s="281">
        <v>44288</v>
      </c>
      <c r="V285" s="646">
        <v>27.8324</v>
      </c>
      <c r="W285" s="664"/>
      <c r="X285" s="664"/>
      <c r="Y285" s="640">
        <f t="shared" si="27"/>
        <v>27.8324</v>
      </c>
      <c r="Z285" s="559">
        <f t="shared" si="26"/>
        <v>27.8324</v>
      </c>
      <c r="AA285" s="649"/>
      <c r="AB285" s="557"/>
      <c r="AI285" s="548">
        <v>450</v>
      </c>
      <c r="AQ285" s="280">
        <f t="shared" si="28"/>
        <v>0</v>
      </c>
      <c r="AR285" s="299">
        <v>44288</v>
      </c>
    </row>
    <row r="286" spans="20:44" x14ac:dyDescent="0.35">
      <c r="T286" s="683" t="str">
        <f t="shared" si="29"/>
        <v>54</v>
      </c>
      <c r="U286" s="281">
        <v>44291</v>
      </c>
      <c r="V286" s="643">
        <v>27.955500000000001</v>
      </c>
      <c r="W286" s="665"/>
      <c r="X286" s="665"/>
      <c r="Y286" s="640">
        <f t="shared" si="27"/>
        <v>27.955500000000001</v>
      </c>
      <c r="Z286" s="559">
        <f t="shared" si="26"/>
        <v>27.955500000000001</v>
      </c>
      <c r="AA286" s="649"/>
      <c r="AB286" s="557"/>
      <c r="AI286" s="548">
        <v>450</v>
      </c>
      <c r="AQ286" s="280">
        <f t="shared" si="28"/>
        <v>0</v>
      </c>
      <c r="AR286" s="299">
        <v>44291</v>
      </c>
    </row>
    <row r="287" spans="20:44" x14ac:dyDescent="0.35">
      <c r="T287" s="683" t="str">
        <f t="shared" si="29"/>
        <v>64</v>
      </c>
      <c r="U287" s="281">
        <v>44292</v>
      </c>
      <c r="V287" s="643">
        <v>27.939</v>
      </c>
      <c r="W287" s="665"/>
      <c r="X287" s="665"/>
      <c r="Y287" s="640">
        <f t="shared" si="27"/>
        <v>27.939</v>
      </c>
      <c r="Z287" s="559">
        <f t="shared" si="26"/>
        <v>27.939</v>
      </c>
      <c r="AA287" s="649"/>
      <c r="AB287" s="557"/>
      <c r="AI287" s="548">
        <v>450</v>
      </c>
      <c r="AQ287" s="280">
        <f t="shared" si="28"/>
        <v>0</v>
      </c>
      <c r="AR287" s="299">
        <v>44292</v>
      </c>
    </row>
    <row r="288" spans="20:44" x14ac:dyDescent="0.35">
      <c r="T288" s="683" t="str">
        <f t="shared" si="29"/>
        <v>74</v>
      </c>
      <c r="U288" s="281">
        <v>44293</v>
      </c>
      <c r="V288" s="643">
        <v>27.8384</v>
      </c>
      <c r="W288" s="665"/>
      <c r="X288" s="665"/>
      <c r="Y288" s="640">
        <f t="shared" si="27"/>
        <v>27.8384</v>
      </c>
      <c r="Z288" s="559">
        <f t="shared" si="26"/>
        <v>27.8384</v>
      </c>
      <c r="AA288" s="649"/>
      <c r="AB288" s="557"/>
      <c r="AI288" s="548">
        <v>450</v>
      </c>
      <c r="AO288" s="222">
        <f>(0.0775+0.1111+0.1946)*1000/27.9</f>
        <v>13.734767025089607</v>
      </c>
      <c r="AP288" s="284">
        <f>AO288*$BD$4</f>
        <v>0.83893676629318636</v>
      </c>
      <c r="AQ288" s="280">
        <f t="shared" si="28"/>
        <v>2.5168102988795589</v>
      </c>
      <c r="AR288" s="299">
        <v>44293</v>
      </c>
    </row>
    <row r="289" spans="20:44" x14ac:dyDescent="0.35">
      <c r="T289" s="683" t="str">
        <f t="shared" si="29"/>
        <v>84</v>
      </c>
      <c r="U289" s="281">
        <v>44294</v>
      </c>
      <c r="V289" s="643">
        <v>27.892299999999999</v>
      </c>
      <c r="W289" s="665"/>
      <c r="X289" s="665"/>
      <c r="Y289" s="640">
        <f t="shared" si="27"/>
        <v>27.892299999999999</v>
      </c>
      <c r="Z289" s="559">
        <f t="shared" si="26"/>
        <v>27.892299999999999</v>
      </c>
      <c r="AA289" s="649"/>
      <c r="AB289" s="557"/>
      <c r="AI289" s="548">
        <v>450</v>
      </c>
      <c r="AM289">
        <f>0.3721*1000</f>
        <v>372.09999999999997</v>
      </c>
      <c r="AQ289" s="280">
        <f t="shared" si="28"/>
        <v>-372.09999999999997</v>
      </c>
      <c r="AR289" s="299">
        <v>44294</v>
      </c>
    </row>
    <row r="290" spans="20:44" x14ac:dyDescent="0.35">
      <c r="T290" s="683" t="str">
        <f t="shared" si="29"/>
        <v>94</v>
      </c>
      <c r="U290" s="281">
        <v>44295</v>
      </c>
      <c r="V290" s="643">
        <v>27.976800000000001</v>
      </c>
      <c r="W290" s="665"/>
      <c r="X290" s="665"/>
      <c r="Y290" s="640">
        <f t="shared" si="27"/>
        <v>27.976800000000001</v>
      </c>
      <c r="Z290" s="559">
        <f t="shared" si="26"/>
        <v>27.976800000000001</v>
      </c>
      <c r="AA290" s="649"/>
      <c r="AB290" s="557"/>
      <c r="AI290" s="548">
        <v>450</v>
      </c>
      <c r="AQ290" s="280">
        <f t="shared" si="28"/>
        <v>0</v>
      </c>
      <c r="AR290" s="299">
        <v>44295</v>
      </c>
    </row>
    <row r="291" spans="20:44" x14ac:dyDescent="0.35">
      <c r="T291" s="683" t="str">
        <f t="shared" si="29"/>
        <v>124</v>
      </c>
      <c r="U291" s="281">
        <v>44298</v>
      </c>
      <c r="V291" s="647">
        <v>27.909400000000002</v>
      </c>
      <c r="W291" s="666"/>
      <c r="X291" s="666"/>
      <c r="Y291" s="640">
        <f t="shared" si="27"/>
        <v>27.909400000000002</v>
      </c>
      <c r="Z291" s="559">
        <f t="shared" si="26"/>
        <v>27.909400000000002</v>
      </c>
      <c r="AA291" s="649"/>
      <c r="AB291" s="557"/>
      <c r="AI291" s="548">
        <v>450</v>
      </c>
      <c r="AQ291" s="280">
        <f t="shared" si="28"/>
        <v>0</v>
      </c>
      <c r="AR291" s="299">
        <v>44298</v>
      </c>
    </row>
    <row r="292" spans="20:44" x14ac:dyDescent="0.35">
      <c r="T292" s="683" t="str">
        <f t="shared" si="29"/>
        <v>134</v>
      </c>
      <c r="U292" s="281">
        <v>44299</v>
      </c>
      <c r="V292" s="647">
        <v>27.933499999999999</v>
      </c>
      <c r="W292" s="666"/>
      <c r="X292" s="666"/>
      <c r="Y292" s="640">
        <f t="shared" si="27"/>
        <v>27.933499999999999</v>
      </c>
      <c r="Z292" s="559">
        <f t="shared" si="26"/>
        <v>27.933499999999999</v>
      </c>
      <c r="AA292" s="649"/>
      <c r="AB292" s="557"/>
      <c r="AI292" s="548">
        <v>450</v>
      </c>
      <c r="AQ292" s="280">
        <f t="shared" si="28"/>
        <v>0</v>
      </c>
      <c r="AR292" s="299">
        <v>44299</v>
      </c>
    </row>
    <row r="293" spans="20:44" x14ac:dyDescent="0.35">
      <c r="T293" s="683" t="str">
        <f t="shared" si="29"/>
        <v>144</v>
      </c>
      <c r="U293" s="281">
        <v>44300</v>
      </c>
      <c r="V293" s="647">
        <v>28.015599999999999</v>
      </c>
      <c r="W293" s="666"/>
      <c r="X293" s="666"/>
      <c r="Y293" s="640">
        <f t="shared" si="27"/>
        <v>28.015599999999999</v>
      </c>
      <c r="Z293" s="559">
        <f t="shared" si="26"/>
        <v>28.015599999999999</v>
      </c>
      <c r="AA293" s="649"/>
      <c r="AB293" s="557"/>
      <c r="AI293" s="548">
        <v>450</v>
      </c>
      <c r="AO293" s="222">
        <f>(11.1847+0.7042+0.1309+0.1972+0.196)*1000/27.9</f>
        <v>444.91039426523298</v>
      </c>
      <c r="AP293" s="284">
        <f>AO293*$BD$4</f>
        <v>27.175683924836434</v>
      </c>
      <c r="AQ293" s="280">
        <f t="shared" si="28"/>
        <v>81.527051774509303</v>
      </c>
      <c r="AR293" s="299">
        <v>44300</v>
      </c>
    </row>
    <row r="294" spans="20:44" x14ac:dyDescent="0.35">
      <c r="T294" s="683" t="str">
        <f t="shared" si="29"/>
        <v>154</v>
      </c>
      <c r="U294" s="281">
        <v>44301</v>
      </c>
      <c r="V294" s="647">
        <v>27.976500000000001</v>
      </c>
      <c r="W294" s="666"/>
      <c r="X294" s="666"/>
      <c r="Y294" s="640">
        <f t="shared" si="27"/>
        <v>27.976500000000001</v>
      </c>
      <c r="Z294" s="559">
        <f t="shared" si="26"/>
        <v>27.976500000000001</v>
      </c>
      <c r="AA294" s="649"/>
      <c r="AB294" s="557"/>
      <c r="AI294" s="548">
        <v>450</v>
      </c>
      <c r="AQ294" s="280">
        <f t="shared" si="28"/>
        <v>0</v>
      </c>
      <c r="AR294" s="299">
        <v>44301</v>
      </c>
    </row>
    <row r="295" spans="20:44" x14ac:dyDescent="0.35">
      <c r="T295" s="683" t="str">
        <f t="shared" si="29"/>
        <v>164</v>
      </c>
      <c r="U295" s="281">
        <v>44302</v>
      </c>
      <c r="V295" s="647">
        <v>27.959199999999999</v>
      </c>
      <c r="W295" s="666"/>
      <c r="X295" s="666"/>
      <c r="Y295" s="640">
        <f t="shared" si="27"/>
        <v>27.959199999999999</v>
      </c>
      <c r="Z295" s="559">
        <f t="shared" si="26"/>
        <v>27.959199999999999</v>
      </c>
      <c r="AA295" s="649"/>
      <c r="AB295" s="557"/>
      <c r="AI295" s="548">
        <v>450</v>
      </c>
      <c r="AQ295" s="280">
        <f t="shared" si="28"/>
        <v>0</v>
      </c>
      <c r="AR295" s="299">
        <v>44302</v>
      </c>
    </row>
    <row r="296" spans="20:44" x14ac:dyDescent="0.35">
      <c r="T296" s="683" t="str">
        <f t="shared" si="29"/>
        <v>194</v>
      </c>
      <c r="U296" s="281">
        <v>44305</v>
      </c>
      <c r="V296" s="647">
        <v>27.978300000000001</v>
      </c>
      <c r="W296" s="666"/>
      <c r="X296" s="666"/>
      <c r="Y296" s="640">
        <f t="shared" si="27"/>
        <v>27.978300000000001</v>
      </c>
      <c r="Z296" s="559">
        <f t="shared" si="26"/>
        <v>27.978300000000001</v>
      </c>
      <c r="AA296" s="649"/>
      <c r="AB296" s="557"/>
      <c r="AI296" s="548">
        <v>450</v>
      </c>
      <c r="AQ296" s="280">
        <f t="shared" si="28"/>
        <v>0</v>
      </c>
      <c r="AR296" s="299">
        <v>44305</v>
      </c>
    </row>
    <row r="297" spans="20:44" x14ac:dyDescent="0.35">
      <c r="T297" s="683" t="str">
        <f t="shared" si="29"/>
        <v>204</v>
      </c>
      <c r="U297" s="281">
        <v>44306</v>
      </c>
      <c r="V297" s="647">
        <v>28.008700000000001</v>
      </c>
      <c r="W297" s="666"/>
      <c r="X297" s="666"/>
      <c r="Y297" s="640">
        <f t="shared" si="27"/>
        <v>28.008700000000001</v>
      </c>
      <c r="Z297" s="559">
        <f t="shared" si="26"/>
        <v>28.008700000000001</v>
      </c>
      <c r="AA297" s="649"/>
      <c r="AB297" s="557"/>
      <c r="AI297" s="548">
        <v>450</v>
      </c>
      <c r="AQ297" s="280">
        <f t="shared" si="28"/>
        <v>0</v>
      </c>
      <c r="AR297" s="299">
        <v>44306</v>
      </c>
    </row>
    <row r="298" spans="20:44" x14ac:dyDescent="0.35">
      <c r="T298" s="683" t="str">
        <f t="shared" si="29"/>
        <v>214</v>
      </c>
      <c r="U298" s="281">
        <v>44307</v>
      </c>
      <c r="V298" s="647">
        <v>28.009599999999999</v>
      </c>
      <c r="W298" s="666"/>
      <c r="X298" s="666"/>
      <c r="Y298" s="640">
        <f t="shared" si="27"/>
        <v>28.009599999999999</v>
      </c>
      <c r="Z298" s="559">
        <f t="shared" si="26"/>
        <v>28.009599999999999</v>
      </c>
      <c r="AA298" s="649"/>
      <c r="AB298" s="557"/>
      <c r="AI298" s="548">
        <v>450</v>
      </c>
      <c r="AO298" s="222">
        <f>(1.1787+0.0516+0.0958+0.0592+0.12+0.12)*1000/27.9</f>
        <v>58.254480286738364</v>
      </c>
      <c r="AP298" s="284">
        <f>AO298*$BD$4</f>
        <v>3.5582565925269205</v>
      </c>
      <c r="AQ298" s="280">
        <f t="shared" si="28"/>
        <v>10.674769777580762</v>
      </c>
      <c r="AR298" s="299">
        <v>44307</v>
      </c>
    </row>
    <row r="299" spans="20:44" x14ac:dyDescent="0.35">
      <c r="T299" s="683" t="str">
        <f t="shared" si="29"/>
        <v>224</v>
      </c>
      <c r="U299" s="281">
        <v>44308</v>
      </c>
      <c r="V299" s="647">
        <v>28.057600000000001</v>
      </c>
      <c r="W299" s="666"/>
      <c r="X299" s="666"/>
      <c r="Y299" s="640">
        <f t="shared" si="27"/>
        <v>28.057600000000001</v>
      </c>
      <c r="Z299" s="559">
        <f t="shared" si="26"/>
        <v>28.057600000000001</v>
      </c>
      <c r="AA299" s="649"/>
      <c r="AB299" s="557"/>
      <c r="AI299" s="548">
        <v>450</v>
      </c>
      <c r="AM299">
        <f>0.0116*1000</f>
        <v>11.6</v>
      </c>
      <c r="AQ299" s="280">
        <f t="shared" si="28"/>
        <v>-11.6</v>
      </c>
      <c r="AR299" s="299">
        <v>44308</v>
      </c>
    </row>
    <row r="300" spans="20:44" x14ac:dyDescent="0.35">
      <c r="T300" s="683" t="str">
        <f t="shared" si="29"/>
        <v>234</v>
      </c>
      <c r="U300" s="281">
        <v>44309</v>
      </c>
      <c r="V300" s="647">
        <v>28.0642</v>
      </c>
      <c r="W300" s="666"/>
      <c r="X300" s="666"/>
      <c r="Y300" s="640">
        <f t="shared" si="27"/>
        <v>28.0642</v>
      </c>
      <c r="Z300" s="559">
        <f t="shared" si="26"/>
        <v>28.0642</v>
      </c>
      <c r="AA300" s="649"/>
      <c r="AB300" s="557"/>
      <c r="AI300" s="548">
        <v>450</v>
      </c>
      <c r="AO300" s="222">
        <f>(0.0625)*1000/27.9</f>
        <v>2.2401433691756272</v>
      </c>
      <c r="AP300" s="284">
        <f>AO300*$BD$4</f>
        <v>0.1368307617257937</v>
      </c>
      <c r="AQ300" s="280">
        <f t="shared" si="28"/>
        <v>0.41049228517738112</v>
      </c>
      <c r="AR300" s="299">
        <v>44309</v>
      </c>
    </row>
    <row r="301" spans="20:44" x14ac:dyDescent="0.35">
      <c r="T301" s="683" t="str">
        <f t="shared" si="29"/>
        <v>264</v>
      </c>
      <c r="U301" s="281">
        <v>44312</v>
      </c>
      <c r="V301" s="647">
        <v>27.901399999999999</v>
      </c>
      <c r="W301" s="666"/>
      <c r="X301" s="666"/>
      <c r="Y301" s="640">
        <f t="shared" si="27"/>
        <v>27.901399999999999</v>
      </c>
      <c r="Z301" s="559">
        <f t="shared" si="26"/>
        <v>27.901399999999999</v>
      </c>
      <c r="AA301" s="649"/>
      <c r="AB301" s="557"/>
      <c r="AI301" s="548">
        <v>450</v>
      </c>
      <c r="AQ301" s="280">
        <f t="shared" si="28"/>
        <v>0</v>
      </c>
      <c r="AR301" s="299">
        <v>44312</v>
      </c>
    </row>
    <row r="302" spans="20:44" x14ac:dyDescent="0.35">
      <c r="T302" s="683" t="str">
        <f t="shared" si="29"/>
        <v>274</v>
      </c>
      <c r="U302" s="281">
        <v>44313</v>
      </c>
      <c r="V302" s="647">
        <v>27.855799999999999</v>
      </c>
      <c r="W302" s="666"/>
      <c r="X302" s="666"/>
      <c r="Y302" s="640">
        <f t="shared" si="27"/>
        <v>27.855799999999999</v>
      </c>
      <c r="Z302" s="559">
        <f t="shared" si="26"/>
        <v>27.855799999999999</v>
      </c>
      <c r="AA302" s="649"/>
      <c r="AB302" s="557"/>
      <c r="AI302" s="548">
        <v>450</v>
      </c>
      <c r="AQ302" s="280">
        <f t="shared" si="28"/>
        <v>0</v>
      </c>
      <c r="AR302" s="299">
        <v>44313</v>
      </c>
    </row>
    <row r="303" spans="20:44" x14ac:dyDescent="0.35">
      <c r="T303" s="683" t="str">
        <f t="shared" si="29"/>
        <v>284</v>
      </c>
      <c r="U303" s="281">
        <v>44314</v>
      </c>
      <c r="V303" s="647">
        <v>27.7715</v>
      </c>
      <c r="W303" s="666"/>
      <c r="X303" s="666"/>
      <c r="Y303" s="640">
        <f t="shared" si="27"/>
        <v>27.7715</v>
      </c>
      <c r="Z303" s="559">
        <f t="shared" si="26"/>
        <v>27.7715</v>
      </c>
      <c r="AA303" s="649"/>
      <c r="AB303" s="557"/>
      <c r="AI303" s="548">
        <v>450</v>
      </c>
      <c r="AO303" s="222">
        <f>(11.606+0.1663+0.1563+0.087+0.1474+0.12+0.2183)*1000/27.9</f>
        <v>448.07526881720423</v>
      </c>
      <c r="AP303" s="284">
        <f>AO303*$BD$4</f>
        <v>27.36899842500263</v>
      </c>
      <c r="AQ303" s="280">
        <f t="shared" si="28"/>
        <v>82.10699527500789</v>
      </c>
      <c r="AR303" s="299">
        <v>44314</v>
      </c>
    </row>
    <row r="304" spans="20:44" x14ac:dyDescent="0.35">
      <c r="T304" s="683" t="str">
        <f t="shared" si="29"/>
        <v>294</v>
      </c>
      <c r="U304" s="281">
        <v>44315</v>
      </c>
      <c r="V304" s="647">
        <v>27.75</v>
      </c>
      <c r="W304" s="666"/>
      <c r="X304" s="666"/>
      <c r="Y304" s="640">
        <f t="shared" si="27"/>
        <v>27.75</v>
      </c>
      <c r="Z304" s="559">
        <f t="shared" ref="Z304:Z334" si="30">V304</f>
        <v>27.75</v>
      </c>
      <c r="AA304" s="649"/>
      <c r="AB304" s="557"/>
      <c r="AI304" s="548">
        <v>450</v>
      </c>
      <c r="AQ304" s="280">
        <f t="shared" si="28"/>
        <v>0</v>
      </c>
      <c r="AR304" s="299">
        <v>44315</v>
      </c>
    </row>
    <row r="305" spans="19:46" x14ac:dyDescent="0.35">
      <c r="T305" s="683" t="str">
        <f t="shared" si="29"/>
        <v>304</v>
      </c>
      <c r="U305" s="281">
        <v>44316</v>
      </c>
      <c r="V305" s="647">
        <v>27.733000000000001</v>
      </c>
      <c r="W305" s="666"/>
      <c r="X305" s="666"/>
      <c r="Y305" s="640">
        <f t="shared" ref="Y305:Y368" si="31">V305</f>
        <v>27.733000000000001</v>
      </c>
      <c r="Z305" s="559">
        <f t="shared" si="30"/>
        <v>27.733000000000001</v>
      </c>
      <c r="AA305" s="649"/>
      <c r="AB305" s="557"/>
      <c r="AI305" s="548">
        <v>450</v>
      </c>
      <c r="AN305">
        <f>0.02*1.44</f>
        <v>2.8799999999999999E-2</v>
      </c>
      <c r="AQ305" s="280">
        <f t="shared" si="28"/>
        <v>2.8799999999999999E-2</v>
      </c>
      <c r="AR305" s="299">
        <v>44316</v>
      </c>
    </row>
    <row r="306" spans="19:46" x14ac:dyDescent="0.35">
      <c r="T306" s="683" t="str">
        <f t="shared" si="29"/>
        <v>35</v>
      </c>
      <c r="U306" s="281">
        <v>44319</v>
      </c>
      <c r="V306" s="286">
        <v>27.75</v>
      </c>
      <c r="W306" s="661"/>
      <c r="X306" s="661"/>
      <c r="Y306" s="640">
        <f t="shared" si="31"/>
        <v>27.75</v>
      </c>
      <c r="Z306" s="559">
        <f t="shared" si="30"/>
        <v>27.75</v>
      </c>
      <c r="AA306" s="649"/>
      <c r="AB306" s="557"/>
      <c r="AI306" s="548">
        <v>450</v>
      </c>
      <c r="AN306" s="557">
        <f>64.445933253+78</f>
        <v>142.44593325300002</v>
      </c>
      <c r="AQ306" s="280">
        <f t="shared" si="28"/>
        <v>142.44593325300002</v>
      </c>
      <c r="AR306" s="299">
        <v>44317</v>
      </c>
    </row>
    <row r="307" spans="19:46" x14ac:dyDescent="0.35">
      <c r="T307" s="683" t="str">
        <f t="shared" si="29"/>
        <v>45</v>
      </c>
      <c r="U307" s="281">
        <v>44320</v>
      </c>
      <c r="V307" s="286">
        <v>27.75</v>
      </c>
      <c r="W307" s="661"/>
      <c r="X307" s="661"/>
      <c r="Y307" s="640">
        <f t="shared" si="31"/>
        <v>27.75</v>
      </c>
      <c r="Z307" s="559">
        <f t="shared" si="30"/>
        <v>27.75</v>
      </c>
      <c r="AA307" s="649"/>
      <c r="AB307" s="557"/>
      <c r="AI307" s="548">
        <v>450</v>
      </c>
      <c r="AQ307" s="280">
        <f t="shared" si="28"/>
        <v>0</v>
      </c>
      <c r="AR307" s="299">
        <v>44320</v>
      </c>
    </row>
    <row r="308" spans="19:46" x14ac:dyDescent="0.35">
      <c r="S308" s="650">
        <v>44321</v>
      </c>
      <c r="T308" s="683" t="str">
        <f t="shared" si="29"/>
        <v>55</v>
      </c>
      <c r="U308" s="281">
        <v>44321</v>
      </c>
      <c r="V308" s="286">
        <v>27.734000000000002</v>
      </c>
      <c r="W308" s="661"/>
      <c r="X308" s="661"/>
      <c r="Y308" s="640">
        <f t="shared" si="31"/>
        <v>27.734000000000002</v>
      </c>
      <c r="Z308" s="559">
        <f t="shared" si="30"/>
        <v>27.734000000000002</v>
      </c>
      <c r="AA308" s="649"/>
      <c r="AB308" s="557"/>
      <c r="AI308" s="548">
        <v>450</v>
      </c>
      <c r="AO308" s="633">
        <f>((0.2228+0.2142+0.1258+0.12)*1000)/27.9</f>
        <v>24.473118279569892</v>
      </c>
      <c r="AP308" s="284">
        <f>AO308*$BD$4</f>
        <v>1.4948487057019508</v>
      </c>
      <c r="AQ308" s="280">
        <f t="shared" si="28"/>
        <v>4.484546117105852</v>
      </c>
      <c r="AR308" s="299">
        <v>44321</v>
      </c>
    </row>
    <row r="309" spans="19:46" x14ac:dyDescent="0.35">
      <c r="S309" s="650">
        <v>44322</v>
      </c>
      <c r="T309" s="683" t="str">
        <f t="shared" si="29"/>
        <v>65</v>
      </c>
      <c r="U309" s="281">
        <v>44322</v>
      </c>
      <c r="V309" s="286">
        <v>27.721</v>
      </c>
      <c r="W309" s="661"/>
      <c r="X309" s="661"/>
      <c r="Y309" s="640">
        <f t="shared" si="31"/>
        <v>27.721</v>
      </c>
      <c r="Z309" s="559">
        <f t="shared" si="30"/>
        <v>27.721</v>
      </c>
      <c r="AA309" s="649"/>
      <c r="AB309" s="557"/>
      <c r="AI309" s="548">
        <v>450</v>
      </c>
      <c r="AM309">
        <f>0.0026*1000*1.2</f>
        <v>3.12</v>
      </c>
      <c r="AO309" s="633"/>
      <c r="AQ309" s="280">
        <f t="shared" si="28"/>
        <v>-3.12</v>
      </c>
      <c r="AR309" s="299">
        <v>44322</v>
      </c>
    </row>
    <row r="310" spans="19:46" x14ac:dyDescent="0.35">
      <c r="S310" s="650">
        <v>44323</v>
      </c>
      <c r="T310" s="683" t="str">
        <f t="shared" si="29"/>
        <v>75</v>
      </c>
      <c r="U310" s="281">
        <v>44323</v>
      </c>
      <c r="V310" s="286">
        <v>27.763999999999999</v>
      </c>
      <c r="W310" s="661"/>
      <c r="X310" s="661"/>
      <c r="Y310" s="640">
        <f t="shared" si="31"/>
        <v>27.763999999999999</v>
      </c>
      <c r="Z310" s="559">
        <f t="shared" si="30"/>
        <v>27.763999999999999</v>
      </c>
      <c r="AA310" s="649"/>
      <c r="AB310" s="557"/>
      <c r="AI310" s="548">
        <v>450</v>
      </c>
      <c r="AO310" s="633">
        <f>((0.2031)*1000)/27.9</f>
        <v>7.279569892473118</v>
      </c>
      <c r="AP310" s="284">
        <f>AO310*$BD$4</f>
        <v>0.44464524330413918</v>
      </c>
      <c r="AQ310" s="280">
        <f t="shared" si="28"/>
        <v>1.3339357299124175</v>
      </c>
      <c r="AR310" s="299">
        <v>44323</v>
      </c>
    </row>
    <row r="311" spans="19:46" x14ac:dyDescent="0.35">
      <c r="S311" s="650"/>
      <c r="T311" s="683" t="str">
        <f t="shared" si="29"/>
        <v>105</v>
      </c>
      <c r="U311" s="281">
        <v>44326</v>
      </c>
      <c r="V311" s="286">
        <v>27.719000000000001</v>
      </c>
      <c r="W311" s="661"/>
      <c r="X311" s="661"/>
      <c r="Y311" s="640">
        <f t="shared" si="31"/>
        <v>27.719000000000001</v>
      </c>
      <c r="Z311" s="559">
        <f t="shared" si="30"/>
        <v>27.719000000000001</v>
      </c>
      <c r="AA311" s="649"/>
      <c r="AB311" s="557"/>
      <c r="AI311" s="548">
        <v>450</v>
      </c>
      <c r="AO311" s="633">
        <f>((0.5202*11)*1000)/27.9</f>
        <v>205.09677419354838</v>
      </c>
      <c r="AP311" s="284">
        <f>AO311*$BD$4</f>
        <v>12.527567755957387</v>
      </c>
      <c r="AQ311" s="280">
        <f t="shared" si="28"/>
        <v>37.582703267872162</v>
      </c>
      <c r="AR311" s="299">
        <v>44326</v>
      </c>
    </row>
    <row r="312" spans="19:46" x14ac:dyDescent="0.35">
      <c r="S312" s="650">
        <v>44327</v>
      </c>
      <c r="T312" s="683" t="str">
        <f t="shared" si="29"/>
        <v>115</v>
      </c>
      <c r="U312" s="281">
        <v>44327</v>
      </c>
      <c r="V312" s="286">
        <v>27.673999999999999</v>
      </c>
      <c r="W312" s="661"/>
      <c r="X312" s="661"/>
      <c r="Y312" s="640">
        <f t="shared" si="31"/>
        <v>27.673999999999999</v>
      </c>
      <c r="Z312" s="559">
        <f t="shared" si="30"/>
        <v>27.673999999999999</v>
      </c>
      <c r="AA312" s="649"/>
      <c r="AB312" s="557"/>
      <c r="AI312" s="548">
        <v>400</v>
      </c>
      <c r="AO312" s="633"/>
      <c r="AQ312" s="280">
        <f t="shared" si="28"/>
        <v>0</v>
      </c>
      <c r="AR312" s="299">
        <v>44327</v>
      </c>
    </row>
    <row r="313" spans="19:46" x14ac:dyDescent="0.35">
      <c r="S313" s="650">
        <v>44328</v>
      </c>
      <c r="T313" s="683" t="str">
        <f t="shared" si="29"/>
        <v>125</v>
      </c>
      <c r="U313" s="281">
        <v>44328</v>
      </c>
      <c r="V313" s="286">
        <v>27.632000000000001</v>
      </c>
      <c r="W313" s="661"/>
      <c r="X313" s="661"/>
      <c r="Y313" s="640">
        <f t="shared" si="31"/>
        <v>27.632000000000001</v>
      </c>
      <c r="Z313" s="559">
        <f t="shared" si="30"/>
        <v>27.632000000000001</v>
      </c>
      <c r="AA313" s="649"/>
      <c r="AB313" s="557"/>
      <c r="AI313" s="548">
        <v>400</v>
      </c>
      <c r="AO313" s="633">
        <f>((1.098+0.087+0.0297)*1000)/27.9</f>
        <v>43.537634408602152</v>
      </c>
      <c r="AP313" s="284">
        <f>AO313*$BD$4</f>
        <v>2.6593332202931457</v>
      </c>
      <c r="AQ313" s="280">
        <f t="shared" si="28"/>
        <v>7.977999660879437</v>
      </c>
      <c r="AR313" s="299">
        <v>44328</v>
      </c>
    </row>
    <row r="314" spans="19:46" x14ac:dyDescent="0.35">
      <c r="S314" s="650">
        <v>44329</v>
      </c>
      <c r="T314" s="683" t="str">
        <f t="shared" si="29"/>
        <v>135</v>
      </c>
      <c r="U314" s="281">
        <v>44329</v>
      </c>
      <c r="V314" s="286">
        <v>27.626999999999999</v>
      </c>
      <c r="W314" s="661"/>
      <c r="X314" s="661"/>
      <c r="Y314" s="640">
        <f t="shared" si="31"/>
        <v>27.626999999999999</v>
      </c>
      <c r="Z314" s="559">
        <f t="shared" si="30"/>
        <v>27.626999999999999</v>
      </c>
      <c r="AA314" s="649"/>
      <c r="AB314" s="557"/>
      <c r="AI314" s="548">
        <v>400</v>
      </c>
      <c r="AM314">
        <f>0.4324*1.2*1000</f>
        <v>518.88</v>
      </c>
      <c r="AO314" s="633"/>
      <c r="AQ314" s="280">
        <f t="shared" si="28"/>
        <v>-518.88</v>
      </c>
      <c r="AR314" s="299">
        <v>44329</v>
      </c>
    </row>
    <row r="315" spans="19:46" x14ac:dyDescent="0.35">
      <c r="S315" s="650">
        <v>44330</v>
      </c>
      <c r="T315" s="683" t="str">
        <f t="shared" si="29"/>
        <v>145</v>
      </c>
      <c r="U315" s="281">
        <v>44330</v>
      </c>
      <c r="V315" s="286">
        <v>27.614000000000001</v>
      </c>
      <c r="W315" s="661"/>
      <c r="X315" s="661"/>
      <c r="Y315" s="640">
        <f t="shared" si="31"/>
        <v>27.614000000000001</v>
      </c>
      <c r="Z315" s="559">
        <f t="shared" si="30"/>
        <v>27.614000000000001</v>
      </c>
      <c r="AA315" s="649"/>
      <c r="AB315" s="557"/>
      <c r="AI315" s="548">
        <v>400</v>
      </c>
      <c r="AO315" s="633"/>
      <c r="AQ315" s="280">
        <f t="shared" ref="AQ315:AQ354" si="32">-AM315+AN315+(AP315*3)</f>
        <v>0</v>
      </c>
      <c r="AR315" s="299">
        <v>44330</v>
      </c>
    </row>
    <row r="316" spans="19:46" x14ac:dyDescent="0.35">
      <c r="S316" s="650"/>
      <c r="T316" s="683" t="str">
        <f t="shared" si="29"/>
        <v>155</v>
      </c>
      <c r="U316" s="281">
        <v>44331</v>
      </c>
      <c r="V316" s="286">
        <v>27.584499999999998</v>
      </c>
      <c r="W316" s="661"/>
      <c r="X316" s="661"/>
      <c r="Y316" s="640">
        <f t="shared" si="31"/>
        <v>27.584499999999998</v>
      </c>
      <c r="Z316" s="559">
        <f t="shared" si="30"/>
        <v>27.584499999999998</v>
      </c>
      <c r="AA316" s="649"/>
      <c r="AB316" s="557"/>
      <c r="AI316" s="548">
        <v>400</v>
      </c>
      <c r="AO316" s="633">
        <f>((0.1413)*1000)/27.9</f>
        <v>5.0645161290322589</v>
      </c>
      <c r="AP316" s="284">
        <f>AO316*$BD$4</f>
        <v>0.30934698610967443</v>
      </c>
      <c r="AQ316" s="280">
        <f t="shared" si="32"/>
        <v>0.92804095832902322</v>
      </c>
      <c r="AR316" s="299">
        <v>44331</v>
      </c>
    </row>
    <row r="317" spans="19:46" x14ac:dyDescent="0.35">
      <c r="S317" s="650">
        <v>44333</v>
      </c>
      <c r="T317" s="683" t="str">
        <f t="shared" si="29"/>
        <v>175</v>
      </c>
      <c r="U317" s="281">
        <v>44333</v>
      </c>
      <c r="V317" s="286">
        <v>27.555</v>
      </c>
      <c r="W317" s="661"/>
      <c r="X317" s="661"/>
      <c r="Y317" s="640">
        <f t="shared" si="31"/>
        <v>27.555</v>
      </c>
      <c r="Z317" s="559">
        <f t="shared" si="30"/>
        <v>27.555</v>
      </c>
      <c r="AA317" s="649"/>
      <c r="AB317" s="557"/>
      <c r="AI317" s="548">
        <v>400</v>
      </c>
      <c r="AO317" s="633">
        <f>((0.1411+0.2907)*1000)/27.9</f>
        <v>15.476702508960575</v>
      </c>
      <c r="AP317" s="284">
        <f>AO317*$BD$4</f>
        <v>0.94533636661116349</v>
      </c>
      <c r="AQ317" s="280">
        <f t="shared" si="32"/>
        <v>2.8360090998334906</v>
      </c>
      <c r="AR317" s="299">
        <v>44333</v>
      </c>
    </row>
    <row r="318" spans="19:46" x14ac:dyDescent="0.35">
      <c r="S318" s="650">
        <v>44334</v>
      </c>
      <c r="T318" s="683" t="str">
        <f t="shared" si="29"/>
        <v>185</v>
      </c>
      <c r="U318" s="281">
        <v>44334</v>
      </c>
      <c r="V318" s="286">
        <v>27.437000000000001</v>
      </c>
      <c r="W318" s="661"/>
      <c r="X318" s="661"/>
      <c r="Y318" s="640">
        <f t="shared" si="31"/>
        <v>27.437000000000001</v>
      </c>
      <c r="Z318" s="559">
        <f t="shared" si="30"/>
        <v>27.437000000000001</v>
      </c>
      <c r="AA318" s="649"/>
      <c r="AB318" s="557"/>
      <c r="AI318" s="548">
        <v>400</v>
      </c>
      <c r="AO318" s="633"/>
      <c r="AQ318" s="280">
        <f t="shared" si="32"/>
        <v>0</v>
      </c>
      <c r="AR318" s="299">
        <v>44334</v>
      </c>
    </row>
    <row r="319" spans="19:46" x14ac:dyDescent="0.35">
      <c r="S319" s="650">
        <v>44335</v>
      </c>
      <c r="T319" s="683" t="str">
        <f t="shared" si="29"/>
        <v>195</v>
      </c>
      <c r="U319" s="281">
        <v>44335</v>
      </c>
      <c r="V319" s="286">
        <v>27.417000000000002</v>
      </c>
      <c r="W319" s="661"/>
      <c r="X319" s="661"/>
      <c r="Y319" s="640">
        <f t="shared" si="31"/>
        <v>27.417000000000002</v>
      </c>
      <c r="Z319" s="559">
        <f t="shared" si="30"/>
        <v>27.417000000000002</v>
      </c>
      <c r="AA319" s="649"/>
      <c r="AB319" s="557"/>
      <c r="AI319" s="548">
        <v>400</v>
      </c>
      <c r="AO319" s="633">
        <f>((10.771+2.3573+0.9789+0.0737+0.2849+0.199)*1000)/27.9</f>
        <v>525.62007168458786</v>
      </c>
      <c r="AP319" s="284">
        <f>AO319*$BD$4</f>
        <v>32.105532072902712</v>
      </c>
      <c r="AQ319" s="280">
        <f t="shared" si="32"/>
        <v>96.316596218708128</v>
      </c>
      <c r="AR319" s="299">
        <v>44335</v>
      </c>
      <c r="AT319">
        <v>27.9</v>
      </c>
    </row>
    <row r="320" spans="19:46" x14ac:dyDescent="0.35">
      <c r="S320" s="650">
        <v>44336</v>
      </c>
      <c r="T320" s="683" t="str">
        <f t="shared" si="29"/>
        <v>205</v>
      </c>
      <c r="U320" s="281">
        <v>44336</v>
      </c>
      <c r="V320" s="286">
        <v>27.466999999999999</v>
      </c>
      <c r="W320" s="661"/>
      <c r="X320" s="661"/>
      <c r="Y320" s="640">
        <f t="shared" si="31"/>
        <v>27.466999999999999</v>
      </c>
      <c r="Z320" s="559">
        <f t="shared" si="30"/>
        <v>27.466999999999999</v>
      </c>
      <c r="AA320" s="649"/>
      <c r="AB320" s="557"/>
      <c r="AI320" s="548">
        <v>400</v>
      </c>
      <c r="AO320" s="633">
        <f>((0.1956)*1000)/27.9</f>
        <v>7.010752688172043</v>
      </c>
      <c r="AP320" s="284">
        <f>AO320*$BD$4</f>
        <v>0.42822555189704392</v>
      </c>
      <c r="AQ320" s="280">
        <f t="shared" si="32"/>
        <v>1.2846766556911318</v>
      </c>
      <c r="AR320" s="299">
        <v>44336</v>
      </c>
    </row>
    <row r="321" spans="19:44" x14ac:dyDescent="0.35">
      <c r="S321" s="650">
        <v>44337</v>
      </c>
      <c r="T321" s="683" t="str">
        <f t="shared" si="29"/>
        <v>215</v>
      </c>
      <c r="U321" s="281">
        <v>44337</v>
      </c>
      <c r="V321" s="286">
        <v>27.457000000000001</v>
      </c>
      <c r="W321" s="661"/>
      <c r="X321" s="661"/>
      <c r="Y321" s="640">
        <f t="shared" si="31"/>
        <v>27.457000000000001</v>
      </c>
      <c r="Z321" s="559">
        <f t="shared" si="30"/>
        <v>27.457000000000001</v>
      </c>
      <c r="AA321" s="649"/>
      <c r="AB321" s="557"/>
      <c r="AI321" s="548">
        <v>400</v>
      </c>
      <c r="AO321" s="633"/>
      <c r="AQ321" s="280">
        <f t="shared" si="32"/>
        <v>0</v>
      </c>
      <c r="AR321" s="299">
        <v>44337</v>
      </c>
    </row>
    <row r="322" spans="19:44" x14ac:dyDescent="0.35">
      <c r="S322" s="650"/>
      <c r="T322" s="683" t="str">
        <f t="shared" si="29"/>
        <v>225</v>
      </c>
      <c r="U322" s="281">
        <v>44338</v>
      </c>
      <c r="V322" s="286">
        <v>27.442500000000003</v>
      </c>
      <c r="W322" s="661"/>
      <c r="X322" s="661"/>
      <c r="Y322" s="640">
        <f t="shared" si="31"/>
        <v>27.442500000000003</v>
      </c>
      <c r="Z322" s="559">
        <f t="shared" si="30"/>
        <v>27.442500000000003</v>
      </c>
      <c r="AA322" s="649"/>
      <c r="AB322" s="557"/>
      <c r="AI322" s="548">
        <v>400</v>
      </c>
      <c r="AO322" s="633">
        <f>((0.1922+0.0458)*1000)/27.9</f>
        <v>8.5304659498207904</v>
      </c>
      <c r="AP322" s="284">
        <f t="shared" ref="AP322:AP328" si="33">AO322*$BD$4</f>
        <v>0.52105154065182246</v>
      </c>
      <c r="AQ322" s="280">
        <f t="shared" si="32"/>
        <v>1.5631546219554675</v>
      </c>
      <c r="AR322" s="299">
        <v>44338</v>
      </c>
    </row>
    <row r="323" spans="19:44" x14ac:dyDescent="0.35">
      <c r="S323" s="650">
        <v>44340</v>
      </c>
      <c r="T323" s="683" t="str">
        <f t="shared" si="29"/>
        <v>245</v>
      </c>
      <c r="U323" s="281">
        <v>44340</v>
      </c>
      <c r="V323" s="286">
        <v>27.428000000000001</v>
      </c>
      <c r="W323" s="661"/>
      <c r="X323" s="661"/>
      <c r="Y323" s="640">
        <f t="shared" si="31"/>
        <v>27.428000000000001</v>
      </c>
      <c r="Z323" s="559">
        <f t="shared" si="30"/>
        <v>27.428000000000001</v>
      </c>
      <c r="AA323" s="649"/>
      <c r="AB323" s="557"/>
      <c r="AI323" s="548">
        <v>400</v>
      </c>
      <c r="AO323" s="633">
        <f>((0.0451+0.2686)*1000)/27.9</f>
        <v>11.243727598566309</v>
      </c>
      <c r="AP323" s="284">
        <f t="shared" si="33"/>
        <v>0.68678095925410376</v>
      </c>
      <c r="AQ323" s="280">
        <f t="shared" si="32"/>
        <v>2.0603428777623112</v>
      </c>
      <c r="AR323" s="299">
        <v>44340</v>
      </c>
    </row>
    <row r="324" spans="19:44" x14ac:dyDescent="0.35">
      <c r="S324" s="650">
        <v>44341</v>
      </c>
      <c r="T324" s="683" t="str">
        <f t="shared" si="29"/>
        <v>255</v>
      </c>
      <c r="U324" s="281">
        <v>44341</v>
      </c>
      <c r="V324" s="286">
        <v>27.454999999999998</v>
      </c>
      <c r="W324" s="661"/>
      <c r="X324" s="661"/>
      <c r="Y324" s="640">
        <f t="shared" si="31"/>
        <v>27.454999999999998</v>
      </c>
      <c r="Z324" s="559">
        <f t="shared" si="30"/>
        <v>27.454999999999998</v>
      </c>
      <c r="AA324" s="649"/>
      <c r="AB324" s="557"/>
      <c r="AI324" s="548">
        <v>400</v>
      </c>
      <c r="AO324" s="633">
        <f>((0.261)*1000)/27.9</f>
        <v>9.3548387096774199</v>
      </c>
      <c r="AP324" s="284">
        <f t="shared" si="33"/>
        <v>0.57140526096691446</v>
      </c>
      <c r="AQ324" s="280">
        <f t="shared" si="32"/>
        <v>1.7142157829007434</v>
      </c>
      <c r="AR324" s="299">
        <v>44341</v>
      </c>
    </row>
    <row r="325" spans="19:44" x14ac:dyDescent="0.35">
      <c r="S325" s="650">
        <v>44342</v>
      </c>
      <c r="T325" s="683" t="str">
        <f t="shared" ref="T325:T388" si="34">DAY(U325)&amp;MONTH(U325)</f>
        <v>265</v>
      </c>
      <c r="U325" s="281">
        <v>44342</v>
      </c>
      <c r="V325" s="286">
        <v>27.545999999999999</v>
      </c>
      <c r="W325" s="661"/>
      <c r="X325" s="661"/>
      <c r="Y325" s="640">
        <f t="shared" si="31"/>
        <v>27.545999999999999</v>
      </c>
      <c r="Z325" s="559">
        <f t="shared" si="30"/>
        <v>27.545999999999999</v>
      </c>
      <c r="AA325" s="649"/>
      <c r="AB325" s="557"/>
      <c r="AI325" s="548">
        <v>400</v>
      </c>
      <c r="AO325" s="633">
        <f>((0.5176+0.087+0.4831+0.6426+0.12+0.1958+0.2646+0.2547)*1000)/27.9</f>
        <v>91.949820788530488</v>
      </c>
      <c r="AP325" s="284">
        <f>AO325*$BD$4</f>
        <v>5.6164101781016198</v>
      </c>
      <c r="AQ325" s="280">
        <f t="shared" si="32"/>
        <v>16.849230534304859</v>
      </c>
      <c r="AR325" s="299">
        <v>44342</v>
      </c>
    </row>
    <row r="326" spans="19:44" x14ac:dyDescent="0.35">
      <c r="S326" s="650">
        <v>44343</v>
      </c>
      <c r="T326" s="683" t="str">
        <f t="shared" si="34"/>
        <v>275</v>
      </c>
      <c r="U326" s="281">
        <v>44343</v>
      </c>
      <c r="V326" s="286">
        <v>27.526</v>
      </c>
      <c r="W326" s="661"/>
      <c r="X326" s="661"/>
      <c r="Y326" s="640">
        <f t="shared" si="31"/>
        <v>27.526</v>
      </c>
      <c r="Z326" s="559">
        <f t="shared" si="30"/>
        <v>27.526</v>
      </c>
      <c r="AA326" s="649"/>
      <c r="AB326" s="557"/>
      <c r="AI326" s="548">
        <v>400</v>
      </c>
      <c r="AO326" s="633">
        <f>((0.2486+0.2577)*1000)/27.9</f>
        <v>18.146953405017921</v>
      </c>
      <c r="AP326" s="284">
        <f t="shared" si="33"/>
        <v>1.1084386345883095</v>
      </c>
      <c r="AQ326" s="280">
        <f t="shared" si="32"/>
        <v>3.3253159037649285</v>
      </c>
      <c r="AR326" s="299">
        <v>44343</v>
      </c>
    </row>
    <row r="327" spans="19:44" x14ac:dyDescent="0.35">
      <c r="S327" s="650">
        <v>44344</v>
      </c>
      <c r="T327" s="683" t="str">
        <f t="shared" si="34"/>
        <v>285</v>
      </c>
      <c r="U327" s="281">
        <v>44344</v>
      </c>
      <c r="V327" s="286">
        <v>27.5</v>
      </c>
      <c r="W327" s="661"/>
      <c r="X327" s="661"/>
      <c r="Y327" s="640">
        <f t="shared" si="31"/>
        <v>27.5</v>
      </c>
      <c r="Z327" s="559">
        <f t="shared" si="30"/>
        <v>27.5</v>
      </c>
      <c r="AA327" s="649"/>
      <c r="AB327" s="557"/>
      <c r="AI327" s="548">
        <v>400</v>
      </c>
      <c r="AO327" s="633">
        <f>((0.2513)*1000)/27.9</f>
        <v>9.0071684587813632</v>
      </c>
      <c r="AP327" s="284">
        <f t="shared" si="33"/>
        <v>0.5501691267470713</v>
      </c>
      <c r="AQ327" s="280">
        <f t="shared" si="32"/>
        <v>1.6505073802412138</v>
      </c>
      <c r="AR327" s="299">
        <v>44344</v>
      </c>
    </row>
    <row r="328" spans="19:44" x14ac:dyDescent="0.35">
      <c r="S328" s="650"/>
      <c r="T328" s="683" t="str">
        <f t="shared" si="34"/>
        <v>295</v>
      </c>
      <c r="U328" s="281">
        <v>44345</v>
      </c>
      <c r="V328" s="286">
        <v>27.483499999999999</v>
      </c>
      <c r="W328" s="661"/>
      <c r="X328" s="661"/>
      <c r="Y328" s="640">
        <f t="shared" si="31"/>
        <v>27.483499999999999</v>
      </c>
      <c r="Z328" s="559">
        <f t="shared" si="30"/>
        <v>27.483499999999999</v>
      </c>
      <c r="AA328" s="649"/>
      <c r="AB328" s="557"/>
      <c r="AI328" s="548">
        <v>400</v>
      </c>
      <c r="AM328" s="637"/>
      <c r="AN328" s="637"/>
      <c r="AO328" s="638">
        <f>((0.2456)*1000)/27.9</f>
        <v>8.8028673835125453</v>
      </c>
      <c r="AP328" s="636">
        <f t="shared" si="33"/>
        <v>0.53769016127767888</v>
      </c>
      <c r="AQ328" s="280">
        <f t="shared" si="32"/>
        <v>1.6130704838330368</v>
      </c>
      <c r="AR328" s="299">
        <v>44345</v>
      </c>
    </row>
    <row r="329" spans="19:44" x14ac:dyDescent="0.35">
      <c r="S329" s="650">
        <v>44347</v>
      </c>
      <c r="T329" s="683" t="str">
        <f t="shared" si="34"/>
        <v>315</v>
      </c>
      <c r="U329" s="281">
        <v>44347</v>
      </c>
      <c r="V329" s="286">
        <v>27.466999999999999</v>
      </c>
      <c r="W329" s="661"/>
      <c r="X329" s="661"/>
      <c r="Y329" s="640">
        <f t="shared" si="31"/>
        <v>27.466999999999999</v>
      </c>
      <c r="Z329" s="559">
        <f t="shared" si="30"/>
        <v>27.466999999999999</v>
      </c>
      <c r="AA329" s="649"/>
      <c r="AB329" s="557"/>
      <c r="AI329" s="548">
        <v>400</v>
      </c>
      <c r="AM329" s="637"/>
      <c r="AN329" s="637"/>
      <c r="AO329" s="637"/>
      <c r="AP329" s="637"/>
      <c r="AQ329" s="280">
        <f t="shared" si="32"/>
        <v>0</v>
      </c>
      <c r="AR329" s="299">
        <v>44347</v>
      </c>
    </row>
    <row r="330" spans="19:44" x14ac:dyDescent="0.35">
      <c r="S330" s="650">
        <v>44348</v>
      </c>
      <c r="T330" s="683" t="str">
        <f t="shared" si="34"/>
        <v>16</v>
      </c>
      <c r="U330" s="281">
        <v>44348</v>
      </c>
      <c r="V330" s="286">
        <v>27.437999999999999</v>
      </c>
      <c r="W330" s="661"/>
      <c r="X330" s="661"/>
      <c r="Y330" s="640">
        <f t="shared" si="31"/>
        <v>27.437999999999999</v>
      </c>
      <c r="Z330" s="559">
        <f t="shared" si="30"/>
        <v>27.437999999999999</v>
      </c>
      <c r="AA330" s="649"/>
      <c r="AB330" s="557" t="s">
        <v>299</v>
      </c>
      <c r="AC330">
        <v>33.511600000000001</v>
      </c>
      <c r="AI330" s="548">
        <v>400</v>
      </c>
      <c r="AM330" s="637"/>
      <c r="AN330" s="637"/>
      <c r="AO330" s="637"/>
      <c r="AP330" s="637"/>
      <c r="AQ330" s="280">
        <f t="shared" si="32"/>
        <v>0</v>
      </c>
      <c r="AR330" s="299">
        <v>44348</v>
      </c>
    </row>
    <row r="331" spans="19:44" x14ac:dyDescent="0.35">
      <c r="S331" s="650">
        <v>44349</v>
      </c>
      <c r="T331" s="683" t="str">
        <f t="shared" si="34"/>
        <v>26</v>
      </c>
      <c r="U331" s="281">
        <v>44349</v>
      </c>
      <c r="V331" s="286">
        <v>27.344999999999999</v>
      </c>
      <c r="W331" s="661"/>
      <c r="X331" s="661"/>
      <c r="Y331" s="640">
        <f t="shared" si="31"/>
        <v>27.344999999999999</v>
      </c>
      <c r="Z331" s="559">
        <f t="shared" si="30"/>
        <v>27.344999999999999</v>
      </c>
      <c r="AA331" s="649"/>
      <c r="AB331" s="557" t="s">
        <v>300</v>
      </c>
      <c r="AC331" s="653">
        <v>33.533499999999997</v>
      </c>
      <c r="AD331" s="653"/>
      <c r="AE331" s="653"/>
      <c r="AF331" s="653"/>
      <c r="AI331" s="548">
        <v>400</v>
      </c>
      <c r="AM331" s="637"/>
      <c r="AN331" s="637"/>
      <c r="AO331" s="637">
        <v>472.47841726618702</v>
      </c>
      <c r="AP331" s="637">
        <v>26.007646413323762</v>
      </c>
      <c r="AQ331" s="280">
        <f t="shared" si="32"/>
        <v>78.022939239971294</v>
      </c>
      <c r="AR331" s="299">
        <v>44349</v>
      </c>
    </row>
    <row r="332" spans="19:44" x14ac:dyDescent="0.35">
      <c r="S332" s="650">
        <v>44350</v>
      </c>
      <c r="T332" s="683" t="str">
        <f t="shared" si="34"/>
        <v>36</v>
      </c>
      <c r="U332" s="281">
        <v>44350</v>
      </c>
      <c r="V332" s="286">
        <v>27.34</v>
      </c>
      <c r="W332" s="661"/>
      <c r="X332" s="661"/>
      <c r="Y332" s="640">
        <f t="shared" si="31"/>
        <v>27.34</v>
      </c>
      <c r="Z332" s="559">
        <f t="shared" si="30"/>
        <v>27.34</v>
      </c>
      <c r="AA332" s="649"/>
      <c r="AB332" s="557" t="s">
        <v>301</v>
      </c>
      <c r="AC332" s="653">
        <v>33.334800000000001</v>
      </c>
      <c r="AD332" s="653"/>
      <c r="AE332" s="653"/>
      <c r="AF332" s="653"/>
      <c r="AI332" s="548">
        <v>400</v>
      </c>
      <c r="AM332" s="637">
        <v>836.5</v>
      </c>
      <c r="AN332" s="637"/>
      <c r="AO332" s="637"/>
      <c r="AP332" s="637"/>
      <c r="AQ332" s="280">
        <f t="shared" si="32"/>
        <v>-836.5</v>
      </c>
      <c r="AR332" s="299">
        <v>44350</v>
      </c>
    </row>
    <row r="333" spans="19:44" x14ac:dyDescent="0.35">
      <c r="S333" s="650">
        <v>44351</v>
      </c>
      <c r="T333" s="683" t="str">
        <f t="shared" si="34"/>
        <v>46</v>
      </c>
      <c r="U333" s="281">
        <v>44351</v>
      </c>
      <c r="V333" s="286">
        <v>27.34</v>
      </c>
      <c r="W333" s="661"/>
      <c r="X333" s="661"/>
      <c r="Y333" s="640">
        <f t="shared" si="31"/>
        <v>27.34</v>
      </c>
      <c r="Z333" s="559">
        <f t="shared" si="30"/>
        <v>27.34</v>
      </c>
      <c r="AA333" s="649"/>
      <c r="AB333" s="557" t="s">
        <v>302</v>
      </c>
      <c r="AC333" s="653">
        <v>33.2577</v>
      </c>
      <c r="AD333" s="653"/>
      <c r="AE333" s="653"/>
      <c r="AF333" s="653"/>
      <c r="AI333" s="548">
        <v>400</v>
      </c>
      <c r="AM333" s="637"/>
      <c r="AN333" s="637"/>
      <c r="AO333" s="637"/>
      <c r="AP333" s="637"/>
      <c r="AQ333" s="280">
        <f t="shared" si="32"/>
        <v>0</v>
      </c>
      <c r="AR333" s="299">
        <v>44351</v>
      </c>
    </row>
    <row r="334" spans="19:44" x14ac:dyDescent="0.35">
      <c r="S334" s="650">
        <v>44354</v>
      </c>
      <c r="T334" s="683" t="str">
        <f t="shared" si="34"/>
        <v>76</v>
      </c>
      <c r="U334" s="651">
        <v>44354</v>
      </c>
      <c r="V334" s="286">
        <v>27.291399999999999</v>
      </c>
      <c r="W334" s="661"/>
      <c r="X334" s="661"/>
      <c r="Y334" s="640">
        <f t="shared" si="31"/>
        <v>27.291399999999999</v>
      </c>
      <c r="Z334" s="559">
        <f t="shared" si="30"/>
        <v>27.291399999999999</v>
      </c>
      <c r="AA334" s="649"/>
      <c r="AB334" s="557" t="s">
        <v>261</v>
      </c>
      <c r="AC334" s="653">
        <v>33.063499999999998</v>
      </c>
      <c r="AD334" s="653"/>
      <c r="AE334" s="653"/>
      <c r="AF334" s="653"/>
      <c r="AI334" s="548">
        <v>400</v>
      </c>
      <c r="AM334" s="637"/>
      <c r="AN334" s="637"/>
      <c r="AO334" s="637"/>
      <c r="AP334" s="637"/>
      <c r="AQ334" s="280">
        <f t="shared" si="32"/>
        <v>0</v>
      </c>
      <c r="AR334" s="299">
        <v>44354</v>
      </c>
    </row>
    <row r="335" spans="19:44" x14ac:dyDescent="0.35">
      <c r="S335" s="650">
        <v>44355</v>
      </c>
      <c r="T335" s="683" t="str">
        <f t="shared" si="34"/>
        <v>86</v>
      </c>
      <c r="U335" s="651">
        <v>44355</v>
      </c>
      <c r="V335" s="286">
        <v>27.192299999999999</v>
      </c>
      <c r="W335" s="661"/>
      <c r="X335" s="661"/>
      <c r="Y335" s="640">
        <f t="shared" si="31"/>
        <v>27.192299999999999</v>
      </c>
      <c r="Z335" s="559">
        <f>V335</f>
        <v>27.192299999999999</v>
      </c>
      <c r="AA335" s="649"/>
      <c r="AB335" s="557" t="s">
        <v>262</v>
      </c>
      <c r="AC335" s="653">
        <v>33.078099999999999</v>
      </c>
      <c r="AD335" s="653"/>
      <c r="AE335" s="653"/>
      <c r="AF335" s="653"/>
      <c r="AI335" s="548">
        <v>400</v>
      </c>
      <c r="AM335" s="637"/>
      <c r="AN335" s="637"/>
      <c r="AO335" s="637"/>
      <c r="AP335" s="637"/>
      <c r="AQ335" s="280">
        <f t="shared" si="32"/>
        <v>0</v>
      </c>
      <c r="AR335" s="299">
        <v>44355</v>
      </c>
    </row>
    <row r="336" spans="19:44" x14ac:dyDescent="0.35">
      <c r="S336" s="650">
        <v>44356</v>
      </c>
      <c r="T336" s="683" t="str">
        <f t="shared" si="34"/>
        <v>96</v>
      </c>
      <c r="U336" s="651">
        <v>44356</v>
      </c>
      <c r="V336" s="286">
        <v>27.176400000000001</v>
      </c>
      <c r="W336" s="661"/>
      <c r="X336" s="661"/>
      <c r="Y336" s="640">
        <f t="shared" si="31"/>
        <v>27.176400000000001</v>
      </c>
      <c r="Z336" s="559">
        <f t="shared" ref="Z336:Z399" si="35">V336</f>
        <v>27.176400000000001</v>
      </c>
      <c r="AA336" s="649"/>
      <c r="AB336" s="557" t="s">
        <v>263</v>
      </c>
      <c r="AC336" s="653">
        <v>33.110399999999998</v>
      </c>
      <c r="AD336" s="653"/>
      <c r="AE336" s="653"/>
      <c r="AF336" s="653"/>
      <c r="AI336" s="548">
        <v>400</v>
      </c>
      <c r="AM336" s="637"/>
      <c r="AN336" s="637"/>
      <c r="AO336" s="637">
        <v>68.291366906474806</v>
      </c>
      <c r="AP336" s="637">
        <v>3.7591086887372689</v>
      </c>
      <c r="AQ336" s="280">
        <f t="shared" si="32"/>
        <v>11.277326066211806</v>
      </c>
      <c r="AR336" s="299">
        <v>44356</v>
      </c>
    </row>
    <row r="337" spans="20:44" x14ac:dyDescent="0.35">
      <c r="T337" s="683" t="str">
        <f t="shared" si="34"/>
        <v>106</v>
      </c>
      <c r="U337" s="651">
        <v>44357</v>
      </c>
      <c r="V337" s="286">
        <v>27.090599999999998</v>
      </c>
      <c r="W337" s="661"/>
      <c r="X337" s="661"/>
      <c r="Y337" s="640">
        <f t="shared" si="31"/>
        <v>27.090599999999998</v>
      </c>
      <c r="Z337" s="559">
        <f t="shared" si="35"/>
        <v>27.090599999999998</v>
      </c>
      <c r="AA337" s="649"/>
      <c r="AB337" s="557" t="s">
        <v>264</v>
      </c>
      <c r="AC337" s="653">
        <v>33.024799999999999</v>
      </c>
      <c r="AD337" s="653"/>
      <c r="AE337" s="653"/>
      <c r="AF337" s="653"/>
      <c r="AI337" s="548">
        <v>400</v>
      </c>
      <c r="AM337" s="637"/>
      <c r="AN337" s="637"/>
      <c r="AO337" s="637"/>
      <c r="AP337" s="637"/>
      <c r="AQ337" s="280">
        <f t="shared" si="32"/>
        <v>0</v>
      </c>
      <c r="AR337" s="299">
        <v>44357</v>
      </c>
    </row>
    <row r="338" spans="20:44" x14ac:dyDescent="0.35">
      <c r="T338" s="683" t="str">
        <f t="shared" si="34"/>
        <v>116</v>
      </c>
      <c r="U338" s="652">
        <v>44358</v>
      </c>
      <c r="V338" s="286">
        <v>27.1068</v>
      </c>
      <c r="W338" s="661"/>
      <c r="X338" s="661"/>
      <c r="Y338" s="640">
        <f t="shared" si="31"/>
        <v>27.1068</v>
      </c>
      <c r="Z338" s="559">
        <f t="shared" si="35"/>
        <v>27.1068</v>
      </c>
      <c r="AA338" s="113"/>
      <c r="AB338" s="557" t="s">
        <v>265</v>
      </c>
      <c r="AC338" s="653">
        <v>32.988999999999997</v>
      </c>
      <c r="AD338" s="653"/>
      <c r="AE338" s="653"/>
      <c r="AF338" s="653"/>
      <c r="AI338" s="548">
        <v>400</v>
      </c>
      <c r="AM338" s="637"/>
      <c r="AN338" s="637"/>
      <c r="AO338" s="637"/>
      <c r="AP338" s="637"/>
      <c r="AQ338" s="280">
        <f t="shared" si="32"/>
        <v>0</v>
      </c>
      <c r="AR338" s="299">
        <v>44358</v>
      </c>
    </row>
    <row r="339" spans="20:44" x14ac:dyDescent="0.35">
      <c r="T339" s="683" t="str">
        <f t="shared" si="34"/>
        <v>146</v>
      </c>
      <c r="U339" s="651">
        <v>44361</v>
      </c>
      <c r="V339" s="286">
        <v>27.040400000000002</v>
      </c>
      <c r="W339" s="661"/>
      <c r="X339" s="661"/>
      <c r="Y339" s="640">
        <f t="shared" si="31"/>
        <v>27.040400000000002</v>
      </c>
      <c r="Z339" s="559">
        <f t="shared" si="35"/>
        <v>27.040400000000002</v>
      </c>
      <c r="AA339" s="113"/>
      <c r="AB339" s="667" t="s">
        <v>266</v>
      </c>
      <c r="AC339" s="668">
        <v>32.790500000000002</v>
      </c>
      <c r="AD339" s="668">
        <f t="shared" ref="AD339:AD402" si="36">AC339/V339</f>
        <v>1.2126484815313383</v>
      </c>
      <c r="AE339" s="653"/>
      <c r="AF339" s="653"/>
      <c r="AI339" s="548">
        <v>400</v>
      </c>
      <c r="AM339" s="637"/>
      <c r="AN339" s="637"/>
      <c r="AO339" s="637"/>
      <c r="AP339" s="637"/>
      <c r="AQ339" s="280">
        <f t="shared" si="32"/>
        <v>0</v>
      </c>
      <c r="AR339" s="299">
        <v>44361</v>
      </c>
    </row>
    <row r="340" spans="20:44" x14ac:dyDescent="0.35">
      <c r="T340" s="683" t="str">
        <f t="shared" si="34"/>
        <v>156</v>
      </c>
      <c r="U340" s="651">
        <v>44362</v>
      </c>
      <c r="V340" s="286">
        <v>26.995699999999999</v>
      </c>
      <c r="W340" s="661"/>
      <c r="X340" s="661"/>
      <c r="Y340" s="640">
        <f t="shared" si="31"/>
        <v>26.995699999999999</v>
      </c>
      <c r="Z340" s="559">
        <f t="shared" si="35"/>
        <v>26.995699999999999</v>
      </c>
      <c r="AA340" s="113"/>
      <c r="AB340" s="667" t="s">
        <v>267</v>
      </c>
      <c r="AC340" s="668">
        <v>32.705300000000001</v>
      </c>
      <c r="AD340" s="668">
        <f t="shared" si="36"/>
        <v>1.2115003500557497</v>
      </c>
      <c r="AE340" s="653"/>
      <c r="AF340" s="653"/>
      <c r="AI340" s="548">
        <v>400</v>
      </c>
      <c r="AM340" s="637"/>
      <c r="AN340" s="637"/>
      <c r="AO340" s="637"/>
      <c r="AP340" s="637"/>
      <c r="AQ340" s="280">
        <f t="shared" si="32"/>
        <v>0</v>
      </c>
      <c r="AR340" s="299">
        <v>44362</v>
      </c>
    </row>
    <row r="341" spans="20:44" x14ac:dyDescent="0.35">
      <c r="T341" s="683" t="str">
        <f t="shared" si="34"/>
        <v>166</v>
      </c>
      <c r="U341" s="651">
        <v>44363</v>
      </c>
      <c r="V341" s="286">
        <v>26.925799999999999</v>
      </c>
      <c r="W341" s="661"/>
      <c r="X341" s="661"/>
      <c r="Y341" s="640">
        <f t="shared" si="31"/>
        <v>26.925799999999999</v>
      </c>
      <c r="Z341" s="559">
        <f t="shared" si="35"/>
        <v>26.925799999999999</v>
      </c>
      <c r="AA341" s="113"/>
      <c r="AB341" s="667" t="s">
        <v>268</v>
      </c>
      <c r="AC341" s="668">
        <v>32.616599999999998</v>
      </c>
      <c r="AD341" s="668">
        <f t="shared" si="36"/>
        <v>1.2113511947648723</v>
      </c>
      <c r="AE341" s="653"/>
      <c r="AF341" s="653"/>
      <c r="AI341" s="548">
        <v>400</v>
      </c>
      <c r="AM341" s="637"/>
      <c r="AN341" s="637"/>
      <c r="AO341" s="637">
        <v>622.2014388489207</v>
      </c>
      <c r="AP341" s="637">
        <v>34.249172931696755</v>
      </c>
      <c r="AQ341" s="280">
        <f t="shared" si="32"/>
        <v>102.74751879509026</v>
      </c>
      <c r="AR341" s="299">
        <v>44363</v>
      </c>
    </row>
    <row r="342" spans="20:44" x14ac:dyDescent="0.35">
      <c r="T342" s="683" t="str">
        <f t="shared" si="34"/>
        <v>176</v>
      </c>
      <c r="U342" s="651">
        <v>44364</v>
      </c>
      <c r="V342" s="286">
        <v>27.0275</v>
      </c>
      <c r="W342" s="661"/>
      <c r="X342" s="661"/>
      <c r="Y342" s="640">
        <f t="shared" si="31"/>
        <v>27.0275</v>
      </c>
      <c r="Z342" s="559">
        <f t="shared" si="35"/>
        <v>27.0275</v>
      </c>
      <c r="AA342" s="113"/>
      <c r="AB342" s="667" t="s">
        <v>269</v>
      </c>
      <c r="AC342" s="668">
        <v>32.772199999999998</v>
      </c>
      <c r="AD342" s="668">
        <f>AC342/V342</f>
        <v>1.2125501803718435</v>
      </c>
      <c r="AE342" s="653"/>
      <c r="AF342" s="653"/>
      <c r="AI342" s="548">
        <v>400</v>
      </c>
      <c r="AM342" s="637">
        <v>11.5</v>
      </c>
      <c r="AN342" s="637"/>
      <c r="AO342" s="637"/>
      <c r="AP342" s="637"/>
      <c r="AQ342" s="280">
        <f t="shared" si="32"/>
        <v>-11.5</v>
      </c>
      <c r="AR342" s="299">
        <v>44364</v>
      </c>
    </row>
    <row r="343" spans="20:44" x14ac:dyDescent="0.35">
      <c r="T343" s="683" t="str">
        <f t="shared" si="34"/>
        <v>186</v>
      </c>
      <c r="U343" s="651">
        <v>44365</v>
      </c>
      <c r="V343" s="286">
        <v>27.171199999999999</v>
      </c>
      <c r="W343" s="661"/>
      <c r="X343" s="661"/>
      <c r="Y343" s="640">
        <f t="shared" si="31"/>
        <v>27.171199999999999</v>
      </c>
      <c r="Z343" s="559">
        <f t="shared" si="35"/>
        <v>27.171199999999999</v>
      </c>
      <c r="AA343" s="113"/>
      <c r="AB343" s="667" t="s">
        <v>270</v>
      </c>
      <c r="AC343" s="668">
        <v>32.442399999999999</v>
      </c>
      <c r="AD343" s="668">
        <f t="shared" si="36"/>
        <v>1.1939995289129668</v>
      </c>
      <c r="AE343" s="653"/>
      <c r="AF343" s="653"/>
      <c r="AI343" s="548">
        <v>400</v>
      </c>
      <c r="AM343" s="637"/>
      <c r="AN343" s="637">
        <v>89.1</v>
      </c>
      <c r="AO343" s="637"/>
      <c r="AP343" s="637"/>
      <c r="AQ343" s="280">
        <f t="shared" si="32"/>
        <v>89.1</v>
      </c>
      <c r="AR343" s="299">
        <v>44365</v>
      </c>
    </row>
    <row r="344" spans="20:44" x14ac:dyDescent="0.35">
      <c r="T344" s="683" t="str">
        <f t="shared" si="34"/>
        <v>206</v>
      </c>
      <c r="U344" s="651">
        <v>44367</v>
      </c>
      <c r="V344" s="286">
        <v>27.171199999999999</v>
      </c>
      <c r="W344" s="661"/>
      <c r="X344" s="661"/>
      <c r="Y344" s="640">
        <f>V344</f>
        <v>27.171199999999999</v>
      </c>
      <c r="Z344" s="559">
        <f t="shared" si="35"/>
        <v>27.171199999999999</v>
      </c>
      <c r="AA344" s="113"/>
      <c r="AB344" s="667" t="s">
        <v>271</v>
      </c>
      <c r="AC344" s="668">
        <v>32.442399999999999</v>
      </c>
      <c r="AD344" s="668">
        <f t="shared" si="36"/>
        <v>1.1939995289129668</v>
      </c>
      <c r="AE344" s="653"/>
      <c r="AF344" s="653"/>
      <c r="AI344" s="548">
        <v>400</v>
      </c>
      <c r="AM344" s="637"/>
      <c r="AN344" s="637"/>
      <c r="AO344" s="637"/>
      <c r="AP344" s="637"/>
      <c r="AQ344" s="280">
        <f t="shared" si="32"/>
        <v>0</v>
      </c>
      <c r="AR344" s="299">
        <v>44367</v>
      </c>
    </row>
    <row r="345" spans="20:44" x14ac:dyDescent="0.35">
      <c r="T345" s="683" t="str">
        <f t="shared" si="34"/>
        <v>216</v>
      </c>
      <c r="U345" s="651">
        <v>44368</v>
      </c>
      <c r="V345" s="286">
        <v>27.171199999999999</v>
      </c>
      <c r="W345" s="661"/>
      <c r="X345" s="661"/>
      <c r="Y345" s="640">
        <f t="shared" si="31"/>
        <v>27.171199999999999</v>
      </c>
      <c r="Z345" s="559">
        <f t="shared" si="35"/>
        <v>27.171199999999999</v>
      </c>
      <c r="AA345" s="113"/>
      <c r="AB345" s="667" t="s">
        <v>272</v>
      </c>
      <c r="AC345" s="668">
        <v>32.442399999999999</v>
      </c>
      <c r="AD345" s="668">
        <f t="shared" si="36"/>
        <v>1.1939995289129668</v>
      </c>
      <c r="AE345" s="653"/>
      <c r="AF345" s="653"/>
      <c r="AI345" s="548">
        <v>400</v>
      </c>
      <c r="AM345" s="637"/>
      <c r="AN345" s="637"/>
      <c r="AO345" s="637"/>
      <c r="AP345" s="637"/>
      <c r="AQ345" s="280">
        <f t="shared" si="32"/>
        <v>0</v>
      </c>
      <c r="AR345" s="299">
        <v>44368</v>
      </c>
    </row>
    <row r="346" spans="20:44" x14ac:dyDescent="0.35">
      <c r="T346" s="683" t="str">
        <f t="shared" si="34"/>
        <v>226</v>
      </c>
      <c r="U346" s="281">
        <v>44369</v>
      </c>
      <c r="V346" s="286">
        <v>27.1935</v>
      </c>
      <c r="W346" s="661"/>
      <c r="X346" s="661"/>
      <c r="Y346" s="640">
        <f t="shared" si="31"/>
        <v>27.1935</v>
      </c>
      <c r="Z346" s="559">
        <f t="shared" si="35"/>
        <v>27.1935</v>
      </c>
      <c r="AA346" s="113"/>
      <c r="AB346" s="667" t="s">
        <v>273</v>
      </c>
      <c r="AC346" s="668">
        <v>32.288200000000003</v>
      </c>
      <c r="AD346" s="668">
        <f t="shared" si="36"/>
        <v>1.1873499181789766</v>
      </c>
      <c r="AE346" s="653"/>
      <c r="AF346" s="653"/>
      <c r="AI346" s="548">
        <v>400</v>
      </c>
      <c r="AM346" s="637"/>
      <c r="AN346" s="637"/>
      <c r="AO346" s="637"/>
      <c r="AP346" s="637"/>
      <c r="AQ346" s="280">
        <f t="shared" si="32"/>
        <v>0</v>
      </c>
      <c r="AR346" s="299">
        <v>44369</v>
      </c>
    </row>
    <row r="347" spans="20:44" x14ac:dyDescent="0.35">
      <c r="T347" s="683" t="str">
        <f t="shared" si="34"/>
        <v>236</v>
      </c>
      <c r="U347" s="281">
        <v>44370</v>
      </c>
      <c r="V347" s="286">
        <v>27.305</v>
      </c>
      <c r="W347" s="661"/>
      <c r="X347" s="661"/>
      <c r="Y347" s="640">
        <f t="shared" si="31"/>
        <v>27.305</v>
      </c>
      <c r="Z347" s="559">
        <f t="shared" si="35"/>
        <v>27.305</v>
      </c>
      <c r="AA347" s="113"/>
      <c r="AB347" s="667" t="s">
        <v>274</v>
      </c>
      <c r="AC347" s="668">
        <v>32.466999999999999</v>
      </c>
      <c r="AD347" s="668">
        <f t="shared" si="36"/>
        <v>1.189049624610877</v>
      </c>
      <c r="AE347" s="653"/>
      <c r="AF347" s="653"/>
      <c r="AI347" s="548">
        <v>400</v>
      </c>
      <c r="AM347" s="637"/>
      <c r="AN347" s="637"/>
      <c r="AO347" s="637">
        <v>23.56834532374101</v>
      </c>
      <c r="AP347" s="637">
        <v>1.2973231566292649</v>
      </c>
      <c r="AQ347" s="280">
        <f t="shared" si="32"/>
        <v>3.8919694698877949</v>
      </c>
      <c r="AR347" s="299">
        <v>44370</v>
      </c>
    </row>
    <row r="348" spans="20:44" x14ac:dyDescent="0.35">
      <c r="T348" s="683" t="str">
        <f t="shared" si="34"/>
        <v>246</v>
      </c>
      <c r="U348" s="281">
        <v>44371</v>
      </c>
      <c r="V348" s="286">
        <v>27.273700000000002</v>
      </c>
      <c r="W348" s="661"/>
      <c r="X348" s="661"/>
      <c r="Y348" s="640">
        <f t="shared" si="31"/>
        <v>27.273700000000002</v>
      </c>
      <c r="Z348" s="559">
        <f t="shared" si="35"/>
        <v>27.273700000000002</v>
      </c>
      <c r="AA348" s="113"/>
      <c r="AB348" s="667" t="s">
        <v>275</v>
      </c>
      <c r="AC348" s="668">
        <v>32.600299999999997</v>
      </c>
      <c r="AD348" s="668">
        <f t="shared" si="36"/>
        <v>1.1953017009060007</v>
      </c>
      <c r="AE348" s="653"/>
      <c r="AF348" s="653"/>
      <c r="AI348" s="548">
        <v>400</v>
      </c>
      <c r="AM348" s="637"/>
      <c r="AN348" s="637"/>
      <c r="AO348" s="637"/>
      <c r="AP348" s="637"/>
      <c r="AQ348" s="280">
        <f t="shared" si="32"/>
        <v>0</v>
      </c>
      <c r="AR348" s="299">
        <v>44371</v>
      </c>
    </row>
    <row r="349" spans="20:44" x14ac:dyDescent="0.35">
      <c r="T349" s="683" t="str">
        <f t="shared" si="34"/>
        <v>256</v>
      </c>
      <c r="U349" s="281">
        <v>44372</v>
      </c>
      <c r="V349" s="286">
        <v>27.4589</v>
      </c>
      <c r="W349" s="661"/>
      <c r="X349" s="661"/>
      <c r="Y349" s="640">
        <f t="shared" si="31"/>
        <v>27.4589</v>
      </c>
      <c r="Z349" s="559">
        <f t="shared" si="35"/>
        <v>27.4589</v>
      </c>
      <c r="AA349" s="113"/>
      <c r="AB349" s="667" t="s">
        <v>276</v>
      </c>
      <c r="AC349" s="668">
        <v>32.7928</v>
      </c>
      <c r="AD349" s="668">
        <f t="shared" si="36"/>
        <v>1.1942503159267124</v>
      </c>
      <c r="AE349" s="653"/>
      <c r="AF349" s="653"/>
      <c r="AI349" s="548">
        <v>400</v>
      </c>
      <c r="AM349" s="637"/>
      <c r="AN349" s="637"/>
      <c r="AO349" s="637"/>
      <c r="AP349" s="637"/>
      <c r="AQ349" s="280">
        <f t="shared" si="32"/>
        <v>0</v>
      </c>
      <c r="AR349" s="299">
        <v>44372</v>
      </c>
    </row>
    <row r="350" spans="20:44" x14ac:dyDescent="0.35">
      <c r="T350" s="683" t="str">
        <f t="shared" si="34"/>
        <v>286</v>
      </c>
      <c r="U350" s="281">
        <v>44375</v>
      </c>
      <c r="V350" s="286">
        <v>27.4589</v>
      </c>
      <c r="W350" s="661"/>
      <c r="X350" s="661"/>
      <c r="Y350" s="640">
        <f t="shared" si="31"/>
        <v>27.4589</v>
      </c>
      <c r="Z350" s="559">
        <f t="shared" si="35"/>
        <v>27.4589</v>
      </c>
      <c r="AA350" s="113"/>
      <c r="AB350" s="667" t="s">
        <v>277</v>
      </c>
      <c r="AC350" s="668">
        <v>32.7928</v>
      </c>
      <c r="AD350" s="668">
        <f t="shared" si="36"/>
        <v>1.1942503159267124</v>
      </c>
      <c r="AE350" s="653"/>
      <c r="AF350" s="653"/>
      <c r="AI350" s="548">
        <v>400</v>
      </c>
      <c r="AM350" s="637"/>
      <c r="AN350" s="637"/>
      <c r="AO350" s="637"/>
      <c r="AP350" s="637"/>
      <c r="AQ350" s="280">
        <f t="shared" si="32"/>
        <v>0</v>
      </c>
      <c r="AR350" s="299">
        <v>44375</v>
      </c>
    </row>
    <row r="351" spans="20:44" x14ac:dyDescent="0.35">
      <c r="T351" s="683" t="str">
        <f t="shared" si="34"/>
        <v>296</v>
      </c>
      <c r="U351" s="281">
        <v>44376</v>
      </c>
      <c r="V351" s="286">
        <v>27.3964</v>
      </c>
      <c r="W351" s="661"/>
      <c r="X351" s="661"/>
      <c r="Y351" s="640">
        <f t="shared" si="31"/>
        <v>27.3964</v>
      </c>
      <c r="Z351" s="559">
        <f t="shared" si="35"/>
        <v>27.3964</v>
      </c>
      <c r="AA351" s="113"/>
      <c r="AB351" s="667" t="s">
        <v>278</v>
      </c>
      <c r="AC351" s="668">
        <v>32.740099999999998</v>
      </c>
      <c r="AD351" s="668">
        <f t="shared" si="36"/>
        <v>1.1950511746068826</v>
      </c>
      <c r="AE351" s="653"/>
      <c r="AF351" s="653"/>
      <c r="AI351" s="548">
        <v>400</v>
      </c>
      <c r="AM351" s="637"/>
      <c r="AN351" s="637"/>
      <c r="AO351" s="637"/>
      <c r="AP351" s="637"/>
      <c r="AQ351" s="280">
        <f t="shared" si="32"/>
        <v>0</v>
      </c>
      <c r="AR351" s="299">
        <v>44376</v>
      </c>
    </row>
    <row r="352" spans="20:44" x14ac:dyDescent="0.35">
      <c r="T352" s="683" t="str">
        <f t="shared" si="34"/>
        <v>306</v>
      </c>
      <c r="U352" s="281">
        <v>44377</v>
      </c>
      <c r="V352" s="286">
        <v>27.176300000000001</v>
      </c>
      <c r="W352" s="661"/>
      <c r="X352" s="661"/>
      <c r="Y352" s="640">
        <f t="shared" si="31"/>
        <v>27.176300000000001</v>
      </c>
      <c r="Z352" s="559">
        <f t="shared" si="35"/>
        <v>27.176300000000001</v>
      </c>
      <c r="AA352" s="113"/>
      <c r="AB352" s="667" t="s">
        <v>279</v>
      </c>
      <c r="AC352" s="668">
        <v>32.3018</v>
      </c>
      <c r="AD352" s="668">
        <f t="shared" si="36"/>
        <v>1.1886018332149704</v>
      </c>
      <c r="AE352" s="653"/>
      <c r="AF352" s="653"/>
      <c r="AI352" s="548">
        <v>400</v>
      </c>
      <c r="AM352" s="637"/>
      <c r="AN352" s="637"/>
      <c r="AO352" s="637">
        <v>160.66906474820141</v>
      </c>
      <c r="AP352" s="637">
        <v>8.8440531309527977</v>
      </c>
      <c r="AQ352" s="280">
        <f t="shared" si="32"/>
        <v>26.532159392858393</v>
      </c>
      <c r="AR352" s="299">
        <v>44377</v>
      </c>
    </row>
    <row r="353" spans="20:44" x14ac:dyDescent="0.35">
      <c r="T353" s="683" t="str">
        <f t="shared" si="34"/>
        <v>17</v>
      </c>
      <c r="U353" s="281">
        <v>44378</v>
      </c>
      <c r="V353" s="286">
        <v>27.227499999999999</v>
      </c>
      <c r="W353" s="661"/>
      <c r="X353" s="661"/>
      <c r="Y353" s="640">
        <f t="shared" si="31"/>
        <v>27.227499999999999</v>
      </c>
      <c r="Z353" s="559">
        <f t="shared" si="35"/>
        <v>27.227499999999999</v>
      </c>
      <c r="AA353" s="113"/>
      <c r="AB353" s="667" t="s">
        <v>280</v>
      </c>
      <c r="AC353" s="668">
        <v>32.346299999999999</v>
      </c>
      <c r="AD353" s="668">
        <f t="shared" si="36"/>
        <v>1.1880011018271968</v>
      </c>
      <c r="AE353" s="653"/>
      <c r="AF353" s="653"/>
      <c r="AI353" s="548">
        <v>400</v>
      </c>
      <c r="AQ353" s="280">
        <f t="shared" si="32"/>
        <v>0</v>
      </c>
      <c r="AR353" s="299">
        <v>44378</v>
      </c>
    </row>
    <row r="354" spans="20:44" x14ac:dyDescent="0.35">
      <c r="T354" s="683" t="str">
        <f t="shared" si="34"/>
        <v>27</v>
      </c>
      <c r="U354" s="281">
        <f>AR354</f>
        <v>44379</v>
      </c>
      <c r="V354" s="286">
        <v>27.3841</v>
      </c>
      <c r="W354" s="661"/>
      <c r="X354" s="661"/>
      <c r="Y354" s="640">
        <f t="shared" si="31"/>
        <v>27.3841</v>
      </c>
      <c r="Z354" s="559">
        <f t="shared" si="35"/>
        <v>27.3841</v>
      </c>
      <c r="AA354" s="113"/>
      <c r="AB354" s="667" t="s">
        <v>281</v>
      </c>
      <c r="AC354" s="668">
        <v>32.5227</v>
      </c>
      <c r="AD354" s="668">
        <f t="shared" si="36"/>
        <v>1.1876490372150263</v>
      </c>
      <c r="AE354" s="653"/>
      <c r="AF354" s="653"/>
      <c r="AI354" s="548">
        <v>400</v>
      </c>
      <c r="AQ354" s="280">
        <f t="shared" si="32"/>
        <v>0</v>
      </c>
      <c r="AR354" s="299">
        <v>44379</v>
      </c>
    </row>
    <row r="355" spans="20:44" x14ac:dyDescent="0.35">
      <c r="T355" s="683" t="str">
        <f t="shared" si="34"/>
        <v>57</v>
      </c>
      <c r="U355" s="281">
        <f t="shared" ref="U355:U397" si="37">AR355</f>
        <v>44382</v>
      </c>
      <c r="V355" s="286">
        <v>27.412099999999999</v>
      </c>
      <c r="W355" s="661"/>
      <c r="X355" s="661"/>
      <c r="Y355" s="640">
        <f t="shared" si="31"/>
        <v>27.412099999999999</v>
      </c>
      <c r="Z355" s="559">
        <f t="shared" si="35"/>
        <v>27.412099999999999</v>
      </c>
      <c r="AA355" s="113"/>
      <c r="AB355" s="667" t="s">
        <v>282</v>
      </c>
      <c r="AC355" s="668">
        <v>32.410699999999999</v>
      </c>
      <c r="AD355" s="668">
        <f t="shared" si="36"/>
        <v>1.1823501300520574</v>
      </c>
      <c r="AE355" s="653"/>
      <c r="AF355" s="653"/>
      <c r="AI355" s="548">
        <v>400</v>
      </c>
      <c r="AQ355" s="280"/>
      <c r="AR355" s="299">
        <v>44382</v>
      </c>
    </row>
    <row r="356" spans="20:44" x14ac:dyDescent="0.35">
      <c r="T356" s="683" t="str">
        <f t="shared" si="34"/>
        <v>67</v>
      </c>
      <c r="U356" s="281">
        <f t="shared" si="37"/>
        <v>44383</v>
      </c>
      <c r="V356" s="286">
        <v>27.290400000000002</v>
      </c>
      <c r="W356" s="661"/>
      <c r="X356" s="661"/>
      <c r="Y356" s="640">
        <f t="shared" si="31"/>
        <v>27.290400000000002</v>
      </c>
      <c r="Z356" s="559">
        <f t="shared" si="35"/>
        <v>27.290400000000002</v>
      </c>
      <c r="AA356" s="113"/>
      <c r="AB356" s="667" t="s">
        <v>283</v>
      </c>
      <c r="AC356" s="668">
        <v>32.373199999999997</v>
      </c>
      <c r="AD356" s="668">
        <f t="shared" si="36"/>
        <v>1.1862486442118838</v>
      </c>
      <c r="AE356" s="653"/>
      <c r="AF356" s="653"/>
      <c r="AI356" s="548">
        <v>400</v>
      </c>
      <c r="AQ356" s="280"/>
      <c r="AR356" s="299">
        <v>44383</v>
      </c>
    </row>
    <row r="357" spans="20:44" x14ac:dyDescent="0.35">
      <c r="T357" s="683" t="str">
        <f t="shared" si="34"/>
        <v>77</v>
      </c>
      <c r="U357" s="281">
        <f t="shared" si="37"/>
        <v>44384</v>
      </c>
      <c r="V357" s="286">
        <v>27.249700000000001</v>
      </c>
      <c r="W357" s="661"/>
      <c r="X357" s="661"/>
      <c r="Y357" s="640">
        <f t="shared" si="31"/>
        <v>27.249700000000001</v>
      </c>
      <c r="Z357" s="559">
        <f t="shared" si="35"/>
        <v>27.249700000000001</v>
      </c>
      <c r="AA357" s="113"/>
      <c r="AB357" s="667" t="s">
        <v>295</v>
      </c>
      <c r="AC357" s="668">
        <v>32.262300000000003</v>
      </c>
      <c r="AD357" s="668">
        <f t="shared" si="36"/>
        <v>1.1839506489979708</v>
      </c>
      <c r="AE357" s="653"/>
      <c r="AF357" s="653"/>
      <c r="AI357" s="548">
        <v>400</v>
      </c>
      <c r="AO357" s="222">
        <f>((7.2977+0.9391)*1000)/27.2145483870968</f>
        <v>302.66164563308735</v>
      </c>
      <c r="AP357" s="284">
        <f>AO357*$BE$4</f>
        <v>39.826297205448185</v>
      </c>
      <c r="AQ357" s="280">
        <f>-AM357+AN357+(AP357*3)</f>
        <v>119.47889161634455</v>
      </c>
      <c r="AR357" s="299">
        <v>44384</v>
      </c>
    </row>
    <row r="358" spans="20:44" x14ac:dyDescent="0.35">
      <c r="T358" s="683" t="str">
        <f t="shared" si="34"/>
        <v>87</v>
      </c>
      <c r="U358" s="281">
        <f t="shared" si="37"/>
        <v>44385</v>
      </c>
      <c r="V358" s="286">
        <v>27.299299999999999</v>
      </c>
      <c r="W358" s="661"/>
      <c r="X358" s="661"/>
      <c r="Y358" s="640">
        <f t="shared" si="31"/>
        <v>27.299299999999999</v>
      </c>
      <c r="Z358" s="559">
        <f t="shared" si="35"/>
        <v>27.299299999999999</v>
      </c>
      <c r="AA358" s="113"/>
      <c r="AB358" s="667" t="s">
        <v>296</v>
      </c>
      <c r="AC358" s="668">
        <v>32.290999999999997</v>
      </c>
      <c r="AD358" s="668">
        <f t="shared" si="36"/>
        <v>1.1828508423292905</v>
      </c>
      <c r="AE358" s="653"/>
      <c r="AF358" s="653"/>
      <c r="AI358" s="548">
        <v>400</v>
      </c>
      <c r="AQ358" s="280">
        <f>-AM358+AN358+(AP358*3)</f>
        <v>0</v>
      </c>
      <c r="AR358" s="299">
        <v>44385</v>
      </c>
    </row>
    <row r="359" spans="20:44" x14ac:dyDescent="0.35">
      <c r="T359" s="683" t="str">
        <f t="shared" si="34"/>
        <v>97</v>
      </c>
      <c r="U359" s="281">
        <f t="shared" si="37"/>
        <v>44386</v>
      </c>
      <c r="V359" s="286">
        <v>27.286200000000001</v>
      </c>
      <c r="W359" s="661"/>
      <c r="X359" s="661"/>
      <c r="Y359" s="640">
        <f t="shared" si="31"/>
        <v>27.286200000000001</v>
      </c>
      <c r="Z359" s="559">
        <f t="shared" si="35"/>
        <v>27.286200000000001</v>
      </c>
      <c r="AA359" s="113"/>
      <c r="AB359" s="667" t="s">
        <v>297</v>
      </c>
      <c r="AC359" s="668">
        <v>32.319099999999999</v>
      </c>
      <c r="AD359" s="668">
        <f t="shared" si="36"/>
        <v>1.1844485490834193</v>
      </c>
      <c r="AE359" s="653"/>
      <c r="AF359" s="653"/>
      <c r="AI359" s="548">
        <v>400</v>
      </c>
      <c r="AQ359" s="280">
        <f>-AM359+AN359+(AP359*3)</f>
        <v>0</v>
      </c>
      <c r="AR359" s="299">
        <v>44386</v>
      </c>
    </row>
    <row r="360" spans="20:44" x14ac:dyDescent="0.35">
      <c r="T360" s="683" t="str">
        <f t="shared" si="34"/>
        <v>127</v>
      </c>
      <c r="U360" s="281">
        <f t="shared" si="37"/>
        <v>44389</v>
      </c>
      <c r="V360" s="286">
        <v>27.3</v>
      </c>
      <c r="W360" s="661"/>
      <c r="X360" s="661"/>
      <c r="Y360" s="640">
        <f t="shared" si="31"/>
        <v>27.3</v>
      </c>
      <c r="Z360" s="559">
        <f t="shared" si="35"/>
        <v>27.3</v>
      </c>
      <c r="AA360" s="113"/>
      <c r="AB360" s="667" t="s">
        <v>298</v>
      </c>
      <c r="AC360" s="668">
        <v>32.4056</v>
      </c>
      <c r="AD360" s="668">
        <f t="shared" si="36"/>
        <v>1.1870183150183149</v>
      </c>
      <c r="AE360" s="653"/>
      <c r="AF360" s="653"/>
      <c r="AI360" s="548">
        <v>400</v>
      </c>
      <c r="AQ360" s="280">
        <f>-AM360+AN360+(AP360*3)</f>
        <v>0</v>
      </c>
      <c r="AR360" s="299">
        <v>44389</v>
      </c>
    </row>
    <row r="361" spans="20:44" x14ac:dyDescent="0.35">
      <c r="T361" s="683" t="str">
        <f t="shared" si="34"/>
        <v>137</v>
      </c>
      <c r="U361" s="281">
        <f t="shared" si="37"/>
        <v>44390</v>
      </c>
      <c r="V361" s="286">
        <v>27.290400000000002</v>
      </c>
      <c r="W361" s="661"/>
      <c r="X361" s="661"/>
      <c r="Y361" s="640">
        <f t="shared" si="31"/>
        <v>27.290400000000002</v>
      </c>
      <c r="Z361" s="559">
        <f t="shared" si="35"/>
        <v>27.290400000000002</v>
      </c>
      <c r="AA361" s="113"/>
      <c r="AB361" s="669">
        <f>U361</f>
        <v>44390</v>
      </c>
      <c r="AC361" s="668">
        <v>32.3459</v>
      </c>
      <c r="AD361" s="668">
        <f t="shared" si="36"/>
        <v>1.1852482924398322</v>
      </c>
      <c r="AE361" s="653"/>
      <c r="AF361" s="653"/>
      <c r="AI361" s="548">
        <v>400</v>
      </c>
      <c r="AQ361" s="280"/>
      <c r="AR361" s="299">
        <v>44390</v>
      </c>
    </row>
    <row r="362" spans="20:44" x14ac:dyDescent="0.35">
      <c r="T362" s="683" t="str">
        <f t="shared" si="34"/>
        <v>147</v>
      </c>
      <c r="U362" s="281">
        <f t="shared" si="37"/>
        <v>44391</v>
      </c>
      <c r="V362" s="286">
        <v>27.3216</v>
      </c>
      <c r="W362" s="661"/>
      <c r="X362" s="661"/>
      <c r="Y362" s="640">
        <f t="shared" si="31"/>
        <v>27.3216</v>
      </c>
      <c r="Z362" s="559">
        <f t="shared" si="35"/>
        <v>27.3216</v>
      </c>
      <c r="AA362" s="113"/>
      <c r="AB362" s="669">
        <f t="shared" ref="AB362:AB398" si="38">U362</f>
        <v>44391</v>
      </c>
      <c r="AC362" s="668">
        <v>32.372</v>
      </c>
      <c r="AD362" s="668">
        <f t="shared" si="36"/>
        <v>1.1848500819864136</v>
      </c>
      <c r="AE362" s="653"/>
      <c r="AF362" s="653"/>
      <c r="AI362" s="548">
        <v>400</v>
      </c>
      <c r="AO362" s="222">
        <f>((0.1763+0.0475)*1000)/27.2145483870968</f>
        <v>8.2235426734514547</v>
      </c>
      <c r="AP362" s="284">
        <f>AO362*$BE$4</f>
        <v>1.0821102023333458</v>
      </c>
      <c r="AQ362" s="280">
        <f>-AM362+AN362+(AP362*3)</f>
        <v>3.2463306070000373</v>
      </c>
      <c r="AR362" s="299">
        <v>44391</v>
      </c>
    </row>
    <row r="363" spans="20:44" x14ac:dyDescent="0.35">
      <c r="T363" s="683" t="str">
        <f t="shared" si="34"/>
        <v>157</v>
      </c>
      <c r="U363" s="281">
        <f t="shared" si="37"/>
        <v>44392</v>
      </c>
      <c r="V363" s="286">
        <v>27.3047</v>
      </c>
      <c r="W363" s="661"/>
      <c r="X363" s="661"/>
      <c r="Y363" s="640">
        <f t="shared" si="31"/>
        <v>27.3047</v>
      </c>
      <c r="Z363" s="559">
        <f t="shared" si="35"/>
        <v>27.3047</v>
      </c>
      <c r="AA363" s="113"/>
      <c r="AB363" s="669">
        <f t="shared" si="38"/>
        <v>44392</v>
      </c>
      <c r="AC363" s="668">
        <v>32.248199999999997</v>
      </c>
      <c r="AD363" s="668">
        <f t="shared" si="36"/>
        <v>1.1810494164008394</v>
      </c>
      <c r="AE363" s="653"/>
      <c r="AF363" s="653"/>
      <c r="AI363" s="548">
        <v>400</v>
      </c>
      <c r="AQ363" s="280">
        <f>-AM363+AN363+(AP363*3)</f>
        <v>0</v>
      </c>
      <c r="AR363" s="299">
        <v>44392</v>
      </c>
    </row>
    <row r="364" spans="20:44" x14ac:dyDescent="0.35">
      <c r="T364" s="683" t="str">
        <f t="shared" si="34"/>
        <v>167</v>
      </c>
      <c r="U364" s="281">
        <f t="shared" si="37"/>
        <v>44393</v>
      </c>
      <c r="V364" s="286">
        <v>27.290500000000002</v>
      </c>
      <c r="W364" s="661"/>
      <c r="X364" s="661"/>
      <c r="Y364" s="640">
        <f t="shared" si="31"/>
        <v>27.290500000000002</v>
      </c>
      <c r="Z364" s="559">
        <f t="shared" si="35"/>
        <v>27.290500000000002</v>
      </c>
      <c r="AA364" s="113"/>
      <c r="AB364" s="669">
        <f t="shared" si="38"/>
        <v>44393</v>
      </c>
      <c r="AC364" s="668">
        <v>32.236899999999999</v>
      </c>
      <c r="AD364" s="668">
        <f t="shared" si="36"/>
        <v>1.1812498854912881</v>
      </c>
      <c r="AE364" s="653"/>
      <c r="AF364" s="653"/>
      <c r="AI364" s="548">
        <v>400</v>
      </c>
      <c r="AQ364" s="280">
        <f>-AM364+AN364+(AP364*3)</f>
        <v>0</v>
      </c>
      <c r="AR364" s="299">
        <v>44393</v>
      </c>
    </row>
    <row r="365" spans="20:44" x14ac:dyDescent="0.35">
      <c r="T365" s="683" t="str">
        <f t="shared" si="34"/>
        <v>197</v>
      </c>
      <c r="U365" s="281">
        <f t="shared" si="37"/>
        <v>44396</v>
      </c>
      <c r="V365" s="286">
        <v>27.2301</v>
      </c>
      <c r="W365" s="661"/>
      <c r="X365" s="661"/>
      <c r="Y365" s="640">
        <f t="shared" si="31"/>
        <v>27.2301</v>
      </c>
      <c r="Z365" s="559">
        <f t="shared" si="35"/>
        <v>27.2301</v>
      </c>
      <c r="AA365" s="113"/>
      <c r="AB365" s="669">
        <f t="shared" si="38"/>
        <v>44396</v>
      </c>
      <c r="AC365" s="668">
        <v>32.140999999999998</v>
      </c>
      <c r="AD365" s="668">
        <f t="shared" si="36"/>
        <v>1.180348217597438</v>
      </c>
      <c r="AE365" s="653"/>
      <c r="AF365" s="653"/>
      <c r="AI365" s="548">
        <v>400</v>
      </c>
      <c r="AQ365" s="280"/>
      <c r="AR365" s="299">
        <v>44396</v>
      </c>
    </row>
    <row r="366" spans="20:44" x14ac:dyDescent="0.35">
      <c r="T366" s="683" t="str">
        <f t="shared" si="34"/>
        <v>207</v>
      </c>
      <c r="U366" s="281">
        <f t="shared" si="37"/>
        <v>44397</v>
      </c>
      <c r="V366" s="286">
        <v>27.213200000000001</v>
      </c>
      <c r="W366" s="661"/>
      <c r="X366" s="661"/>
      <c r="Y366" s="640">
        <f t="shared" si="31"/>
        <v>27.213200000000001</v>
      </c>
      <c r="Z366" s="559">
        <f t="shared" si="35"/>
        <v>27.213200000000001</v>
      </c>
      <c r="AB366" s="669">
        <f t="shared" si="38"/>
        <v>44397</v>
      </c>
      <c r="AC366" s="668">
        <v>32.031300000000002</v>
      </c>
      <c r="AD366" s="668">
        <f t="shared" si="36"/>
        <v>1.1770501080358062</v>
      </c>
      <c r="AE366" s="653"/>
      <c r="AF366" s="653"/>
      <c r="AI366" s="548">
        <v>400</v>
      </c>
      <c r="AQ366" s="280"/>
      <c r="AR366" s="299">
        <v>44397</v>
      </c>
    </row>
    <row r="367" spans="20:44" x14ac:dyDescent="0.35">
      <c r="T367" s="683" t="str">
        <f t="shared" si="34"/>
        <v>217</v>
      </c>
      <c r="U367" s="281">
        <f t="shared" si="37"/>
        <v>44398</v>
      </c>
      <c r="V367" s="286">
        <v>27.220500000000001</v>
      </c>
      <c r="W367" s="661"/>
      <c r="X367" s="661"/>
      <c r="Y367" s="640">
        <f t="shared" si="31"/>
        <v>27.220500000000001</v>
      </c>
      <c r="Z367" s="559">
        <f t="shared" si="35"/>
        <v>27.220500000000001</v>
      </c>
      <c r="AB367" s="669">
        <f t="shared" si="38"/>
        <v>44398</v>
      </c>
      <c r="AC367" s="668">
        <v>32.034399999999998</v>
      </c>
      <c r="AD367" s="668">
        <f t="shared" si="36"/>
        <v>1.1768483312209546</v>
      </c>
      <c r="AE367" s="653"/>
      <c r="AF367" s="653"/>
      <c r="AI367" s="548">
        <v>400</v>
      </c>
      <c r="AO367" s="222">
        <f>((16.3625+0.1763+0.1563+0.0301+0.0996)*1000)/27.2145483870968</f>
        <v>618.2281535848349</v>
      </c>
      <c r="AP367" s="284">
        <f>AO367*$BE$4</f>
        <v>81.350704790965494</v>
      </c>
      <c r="AQ367" s="280">
        <f>-AM367+AN367+(AP367*3)</f>
        <v>244.05211437289648</v>
      </c>
      <c r="AR367" s="299">
        <v>44398</v>
      </c>
    </row>
    <row r="368" spans="20:44" x14ac:dyDescent="0.35">
      <c r="T368" s="683" t="str">
        <f t="shared" si="34"/>
        <v>227</v>
      </c>
      <c r="U368" s="281">
        <f t="shared" si="37"/>
        <v>44399</v>
      </c>
      <c r="V368" s="286">
        <v>27.240500000000001</v>
      </c>
      <c r="W368" s="661"/>
      <c r="X368" s="661"/>
      <c r="Y368" s="640">
        <f t="shared" si="31"/>
        <v>27.240500000000001</v>
      </c>
      <c r="Z368" s="559">
        <f t="shared" si="35"/>
        <v>27.240500000000001</v>
      </c>
      <c r="AB368" s="669">
        <f t="shared" si="38"/>
        <v>44399</v>
      </c>
      <c r="AC368" s="668">
        <v>32.060699999999997</v>
      </c>
      <c r="AD368" s="668">
        <f t="shared" si="36"/>
        <v>1.1769497623024539</v>
      </c>
      <c r="AE368" s="653"/>
      <c r="AF368" s="653"/>
      <c r="AI368" s="548">
        <v>400</v>
      </c>
      <c r="AQ368" s="280">
        <f>-AM368+AN368+(AP368*3)</f>
        <v>0</v>
      </c>
      <c r="AR368" s="299">
        <v>44399</v>
      </c>
    </row>
    <row r="369" spans="20:44" x14ac:dyDescent="0.35">
      <c r="T369" s="683" t="str">
        <f t="shared" si="34"/>
        <v>237</v>
      </c>
      <c r="U369" s="281">
        <f t="shared" si="37"/>
        <v>44400</v>
      </c>
      <c r="V369" s="286">
        <v>27.191500000000001</v>
      </c>
      <c r="W369" s="661"/>
      <c r="X369" s="661"/>
      <c r="Y369" s="640">
        <f t="shared" ref="Y369:Y407" si="39">V369</f>
        <v>27.191500000000001</v>
      </c>
      <c r="Z369" s="559">
        <f t="shared" si="35"/>
        <v>27.191500000000001</v>
      </c>
      <c r="AB369" s="669">
        <f t="shared" si="38"/>
        <v>44400</v>
      </c>
      <c r="AC369" s="668">
        <v>32.034300000000002</v>
      </c>
      <c r="AD369" s="668">
        <f t="shared" si="36"/>
        <v>1.1780997738263796</v>
      </c>
      <c r="AE369" s="653"/>
      <c r="AF369" s="653"/>
      <c r="AI369" s="548">
        <v>400</v>
      </c>
      <c r="AQ369" s="280">
        <f>-AM369+AN369+(AP369*3)</f>
        <v>0</v>
      </c>
      <c r="AR369" s="299">
        <v>44400</v>
      </c>
    </row>
    <row r="370" spans="20:44" x14ac:dyDescent="0.35">
      <c r="T370" s="683" t="str">
        <f t="shared" si="34"/>
        <v>267</v>
      </c>
      <c r="U370" s="281">
        <f t="shared" si="37"/>
        <v>44403</v>
      </c>
      <c r="V370" s="286">
        <v>27.047999999999998</v>
      </c>
      <c r="W370" s="661"/>
      <c r="X370" s="661"/>
      <c r="Y370" s="640">
        <f t="shared" si="39"/>
        <v>27.047999999999998</v>
      </c>
      <c r="Z370" s="559">
        <f t="shared" si="35"/>
        <v>27.047999999999998</v>
      </c>
      <c r="AB370" s="669">
        <f t="shared" si="38"/>
        <v>44403</v>
      </c>
      <c r="AC370" s="668">
        <v>31.844999999999999</v>
      </c>
      <c r="AD370" s="668">
        <f t="shared" si="36"/>
        <v>1.1773513753327418</v>
      </c>
      <c r="AE370" s="653"/>
      <c r="AF370" s="653"/>
      <c r="AI370" s="548">
        <v>400</v>
      </c>
      <c r="AQ370" s="280"/>
      <c r="AR370" s="299">
        <v>44403</v>
      </c>
    </row>
    <row r="371" spans="20:44" x14ac:dyDescent="0.35">
      <c r="T371" s="683" t="str">
        <f t="shared" si="34"/>
        <v>277</v>
      </c>
      <c r="U371" s="281">
        <f t="shared" si="37"/>
        <v>44404</v>
      </c>
      <c r="V371" s="286">
        <v>26.980499999999999</v>
      </c>
      <c r="W371" s="661"/>
      <c r="X371" s="661"/>
      <c r="Y371" s="640">
        <f t="shared" si="39"/>
        <v>26.980499999999999</v>
      </c>
      <c r="Z371" s="559">
        <f t="shared" si="35"/>
        <v>26.980499999999999</v>
      </c>
      <c r="AB371" s="669">
        <f t="shared" si="38"/>
        <v>44404</v>
      </c>
      <c r="AC371" s="668">
        <v>31.808700000000002</v>
      </c>
      <c r="AD371" s="668">
        <f t="shared" si="36"/>
        <v>1.1789514649469062</v>
      </c>
      <c r="AE371" s="653"/>
      <c r="AF371" s="653"/>
      <c r="AI371" s="548">
        <v>400</v>
      </c>
      <c r="AQ371" s="280"/>
      <c r="AR371" s="299">
        <v>44404</v>
      </c>
    </row>
    <row r="372" spans="20:44" x14ac:dyDescent="0.35">
      <c r="T372" s="683" t="str">
        <f t="shared" si="34"/>
        <v>287</v>
      </c>
      <c r="U372" s="281">
        <f t="shared" si="37"/>
        <v>44405</v>
      </c>
      <c r="V372" s="286">
        <v>26.905999999999999</v>
      </c>
      <c r="W372" s="661"/>
      <c r="X372" s="661"/>
      <c r="Y372" s="640">
        <f t="shared" si="39"/>
        <v>26.905999999999999</v>
      </c>
      <c r="Z372" s="559">
        <f t="shared" si="35"/>
        <v>26.905999999999999</v>
      </c>
      <c r="AB372" s="669">
        <f t="shared" si="38"/>
        <v>44405</v>
      </c>
      <c r="AC372" s="668">
        <v>31.781400000000001</v>
      </c>
      <c r="AD372" s="668">
        <f t="shared" si="36"/>
        <v>1.181201219058946</v>
      </c>
      <c r="AE372" s="653"/>
      <c r="AF372" s="653"/>
      <c r="AI372" s="548">
        <v>400</v>
      </c>
      <c r="AO372" s="222">
        <f>((1.2546+0.1763+0.1663+0.0878+0.2115)*1000)/27.2145483870968</f>
        <v>69.686991421808244</v>
      </c>
      <c r="AP372" s="284">
        <f>AO372*$BE$4</f>
        <v>9.1698927556979015</v>
      </c>
      <c r="AQ372" s="280">
        <f>-AM372+AN372+(AP372*3)</f>
        <v>27.509678267093705</v>
      </c>
      <c r="AR372" s="299">
        <v>44405</v>
      </c>
    </row>
    <row r="373" spans="20:44" x14ac:dyDescent="0.35">
      <c r="T373" s="683" t="str">
        <f t="shared" si="34"/>
        <v>297</v>
      </c>
      <c r="U373" s="281">
        <f t="shared" si="37"/>
        <v>44406</v>
      </c>
      <c r="V373" s="286">
        <v>26.8628</v>
      </c>
      <c r="W373" s="661"/>
      <c r="X373" s="661"/>
      <c r="Y373" s="640">
        <f t="shared" si="39"/>
        <v>26.8628</v>
      </c>
      <c r="Z373" s="559">
        <f t="shared" si="35"/>
        <v>26.8628</v>
      </c>
      <c r="AB373" s="669">
        <f t="shared" si="38"/>
        <v>44406</v>
      </c>
      <c r="AC373" s="668">
        <v>31.702100000000002</v>
      </c>
      <c r="AD373" s="668">
        <f t="shared" si="36"/>
        <v>1.180148755900353</v>
      </c>
      <c r="AE373" s="653"/>
      <c r="AF373" s="653"/>
      <c r="AI373" s="548">
        <v>400</v>
      </c>
      <c r="AM373">
        <f>(0.3593)*1000</f>
        <v>359.3</v>
      </c>
      <c r="AQ373" s="280">
        <f>-AM373+AN373+(AP373*3)</f>
        <v>-359.3</v>
      </c>
      <c r="AR373" s="299">
        <v>44406</v>
      </c>
    </row>
    <row r="374" spans="20:44" x14ac:dyDescent="0.35">
      <c r="T374" s="683" t="str">
        <f t="shared" si="34"/>
        <v>307</v>
      </c>
      <c r="U374" s="281">
        <f t="shared" si="37"/>
        <v>44407</v>
      </c>
      <c r="V374" s="286">
        <v>26.886700000000001</v>
      </c>
      <c r="W374" s="661"/>
      <c r="X374" s="661"/>
      <c r="Y374" s="640">
        <f t="shared" si="39"/>
        <v>26.886700000000001</v>
      </c>
      <c r="Z374" s="559">
        <f t="shared" si="35"/>
        <v>26.886700000000001</v>
      </c>
      <c r="AB374" s="669">
        <f t="shared" si="38"/>
        <v>44407</v>
      </c>
      <c r="AC374" s="668">
        <v>31.9239</v>
      </c>
      <c r="AD374" s="668">
        <f t="shared" si="36"/>
        <v>1.1873491354461498</v>
      </c>
      <c r="AE374" s="653"/>
      <c r="AF374" s="653"/>
      <c r="AI374" s="548">
        <v>400</v>
      </c>
      <c r="AQ374" s="280">
        <f>-AM374+AN374+(AP374*3)</f>
        <v>0</v>
      </c>
      <c r="AR374" s="299">
        <v>44407</v>
      </c>
    </row>
    <row r="375" spans="20:44" x14ac:dyDescent="0.35">
      <c r="T375" s="683" t="str">
        <f t="shared" si="34"/>
        <v>18</v>
      </c>
      <c r="U375" s="281">
        <f t="shared" si="37"/>
        <v>44409</v>
      </c>
      <c r="V375" s="286">
        <v>26.886700000000001</v>
      </c>
      <c r="W375" s="661">
        <v>27.561800000000002</v>
      </c>
      <c r="X375" s="661"/>
      <c r="Y375" s="640">
        <f t="shared" si="39"/>
        <v>26.886700000000001</v>
      </c>
      <c r="Z375" s="559">
        <f t="shared" si="35"/>
        <v>26.886700000000001</v>
      </c>
      <c r="AA375" s="106"/>
      <c r="AB375" s="669">
        <f t="shared" si="38"/>
        <v>44409</v>
      </c>
      <c r="AC375" s="668">
        <v>31.9239</v>
      </c>
      <c r="AD375" s="668">
        <f t="shared" si="36"/>
        <v>1.1873491354461498</v>
      </c>
      <c r="AE375" s="653"/>
      <c r="AF375" s="653"/>
      <c r="AI375" s="548">
        <v>400</v>
      </c>
      <c r="AN375" s="609">
        <f>(63.24+139.88+33.7275)</f>
        <v>236.8475</v>
      </c>
      <c r="AQ375" s="280">
        <f>-AM375+AN375+(AP375*3)</f>
        <v>236.8475</v>
      </c>
      <c r="AR375" s="299">
        <v>44409</v>
      </c>
    </row>
    <row r="376" spans="20:44" x14ac:dyDescent="0.35">
      <c r="T376" s="683" t="str">
        <f t="shared" si="34"/>
        <v>28</v>
      </c>
      <c r="U376" s="281">
        <f t="shared" si="37"/>
        <v>44410</v>
      </c>
      <c r="V376" s="286">
        <v>26.816800000000001</v>
      </c>
      <c r="W376" s="661">
        <v>27.604900000000001</v>
      </c>
      <c r="X376" s="661"/>
      <c r="Y376" s="640">
        <f t="shared" si="39"/>
        <v>26.816800000000001</v>
      </c>
      <c r="Z376" s="559">
        <f t="shared" si="35"/>
        <v>26.816800000000001</v>
      </c>
      <c r="AA376" s="106"/>
      <c r="AB376" s="669">
        <f t="shared" si="38"/>
        <v>44410</v>
      </c>
      <c r="AC376" s="668">
        <v>31.894600000000001</v>
      </c>
      <c r="AD376" s="668">
        <f t="shared" si="36"/>
        <v>1.1893514513290175</v>
      </c>
      <c r="AE376" s="653"/>
      <c r="AF376" s="653"/>
      <c r="AI376" s="548">
        <v>400</v>
      </c>
      <c r="AQ376" s="280">
        <f t="shared" ref="AQ376:AQ431" si="40">-AM376+AN376+(AP376*3)</f>
        <v>0</v>
      </c>
      <c r="AR376" s="299">
        <v>44410</v>
      </c>
    </row>
    <row r="377" spans="20:44" x14ac:dyDescent="0.35">
      <c r="T377" s="683" t="str">
        <f t="shared" si="34"/>
        <v>38</v>
      </c>
      <c r="U377" s="281">
        <f t="shared" si="37"/>
        <v>44411</v>
      </c>
      <c r="V377" s="286">
        <v>26.8444</v>
      </c>
      <c r="W377" s="661">
        <v>27.642800000000001</v>
      </c>
      <c r="X377" s="661"/>
      <c r="Y377" s="640">
        <f t="shared" si="39"/>
        <v>26.8444</v>
      </c>
      <c r="Z377" s="559">
        <f t="shared" si="35"/>
        <v>26.8444</v>
      </c>
      <c r="AA377" s="106"/>
      <c r="AB377" s="669">
        <f t="shared" si="38"/>
        <v>44411</v>
      </c>
      <c r="AC377" s="668">
        <v>31.903199999999998</v>
      </c>
      <c r="AD377" s="668">
        <f t="shared" si="36"/>
        <v>1.1884489874983235</v>
      </c>
      <c r="AE377" s="653"/>
      <c r="AF377" s="653"/>
      <c r="AI377" s="548">
        <v>400</v>
      </c>
      <c r="AQ377" s="280">
        <f t="shared" si="40"/>
        <v>0</v>
      </c>
      <c r="AR377" s="299">
        <v>44411</v>
      </c>
    </row>
    <row r="378" spans="20:44" x14ac:dyDescent="0.35">
      <c r="T378" s="683" t="str">
        <f t="shared" si="34"/>
        <v>48</v>
      </c>
      <c r="U378" s="281">
        <f t="shared" si="37"/>
        <v>44412</v>
      </c>
      <c r="V378" s="286">
        <v>26.841100000000001</v>
      </c>
      <c r="W378" s="661">
        <v>27.690799999999999</v>
      </c>
      <c r="X378" s="661"/>
      <c r="Y378" s="640">
        <f t="shared" si="39"/>
        <v>26.841100000000001</v>
      </c>
      <c r="Z378" s="559">
        <f t="shared" si="35"/>
        <v>26.841100000000001</v>
      </c>
      <c r="AA378" s="106"/>
      <c r="AB378" s="669">
        <f t="shared" si="38"/>
        <v>44412</v>
      </c>
      <c r="AC378" s="668">
        <v>31.891300000000001</v>
      </c>
      <c r="AD378" s="668">
        <f t="shared" si="36"/>
        <v>1.188151752349941</v>
      </c>
      <c r="AE378" s="653"/>
      <c r="AF378" s="653"/>
      <c r="AI378" s="548">
        <v>400</v>
      </c>
      <c r="AO378" s="222">
        <f>((1.2467+0.1663+0.0325+0.0879+0.1039+0.147+0.1952)*1000)/26.76</f>
        <v>73.972346786248124</v>
      </c>
      <c r="AP378" s="284">
        <f>AO378*$BE$4</f>
        <v>9.7337892349433925</v>
      </c>
      <c r="AQ378" s="280">
        <f t="shared" si="40"/>
        <v>29.201367704830176</v>
      </c>
      <c r="AR378" s="299">
        <v>44412</v>
      </c>
    </row>
    <row r="379" spans="20:44" x14ac:dyDescent="0.35">
      <c r="T379" s="683" t="str">
        <f t="shared" si="34"/>
        <v>58</v>
      </c>
      <c r="U379" s="281">
        <f t="shared" si="37"/>
        <v>44413</v>
      </c>
      <c r="V379" s="286">
        <v>26.909400000000002</v>
      </c>
      <c r="W379" s="661">
        <v>27.732500000000002</v>
      </c>
      <c r="X379" s="661"/>
      <c r="Y379" s="640">
        <f t="shared" si="39"/>
        <v>26.909400000000002</v>
      </c>
      <c r="Z379" s="559">
        <f t="shared" si="35"/>
        <v>26.909400000000002</v>
      </c>
      <c r="AA379" s="106"/>
      <c r="AB379" s="669">
        <f t="shared" si="38"/>
        <v>44413</v>
      </c>
      <c r="AC379" s="668">
        <v>31.9482</v>
      </c>
      <c r="AD379" s="668">
        <f t="shared" si="36"/>
        <v>1.1872505518517693</v>
      </c>
      <c r="AE379" s="653"/>
      <c r="AI379" s="548">
        <v>400</v>
      </c>
      <c r="AM379">
        <f>(0.0066+0.0061)*1000</f>
        <v>12.7</v>
      </c>
      <c r="AQ379" s="280">
        <f t="shared" si="40"/>
        <v>-12.7</v>
      </c>
      <c r="AR379" s="299">
        <v>44413</v>
      </c>
    </row>
    <row r="380" spans="20:44" x14ac:dyDescent="0.35">
      <c r="T380" s="683" t="str">
        <f t="shared" si="34"/>
        <v>68</v>
      </c>
      <c r="U380" s="281">
        <f t="shared" si="37"/>
        <v>44414</v>
      </c>
      <c r="V380" s="286">
        <v>26.939499999999999</v>
      </c>
      <c r="W380" s="661">
        <v>27.750900000000001</v>
      </c>
      <c r="X380" s="661"/>
      <c r="Y380" s="640">
        <f t="shared" si="39"/>
        <v>26.939499999999999</v>
      </c>
      <c r="Z380" s="559">
        <f t="shared" si="35"/>
        <v>26.939499999999999</v>
      </c>
      <c r="AA380" s="106"/>
      <c r="AB380" s="669">
        <f t="shared" si="38"/>
        <v>44414</v>
      </c>
      <c r="AC380" s="668">
        <v>31.8964</v>
      </c>
      <c r="AD380" s="668">
        <f t="shared" si="36"/>
        <v>1.1840011878468419</v>
      </c>
      <c r="AE380" s="653"/>
      <c r="AI380" s="548">
        <v>400</v>
      </c>
      <c r="AQ380" s="280">
        <f t="shared" si="40"/>
        <v>0</v>
      </c>
      <c r="AR380" s="299">
        <v>44414</v>
      </c>
    </row>
    <row r="381" spans="20:44" x14ac:dyDescent="0.35">
      <c r="T381" s="683" t="str">
        <f t="shared" si="34"/>
        <v>98</v>
      </c>
      <c r="U381" s="281">
        <f t="shared" si="37"/>
        <v>44417</v>
      </c>
      <c r="V381" s="286">
        <v>26.834599999999998</v>
      </c>
      <c r="W381" s="661">
        <v>27.8032</v>
      </c>
      <c r="X381" s="661"/>
      <c r="Y381" s="640">
        <f t="shared" si="39"/>
        <v>26.834599999999998</v>
      </c>
      <c r="Z381" s="559">
        <f t="shared" si="35"/>
        <v>26.834599999999998</v>
      </c>
      <c r="AA381" s="106"/>
      <c r="AB381" s="669">
        <f t="shared" si="38"/>
        <v>44417</v>
      </c>
      <c r="AC381" s="668">
        <v>31.675599999999999</v>
      </c>
      <c r="AD381" s="668">
        <f t="shared" si="36"/>
        <v>1.1804014220446737</v>
      </c>
      <c r="AE381" s="653"/>
      <c r="AI381" s="548">
        <v>400</v>
      </c>
      <c r="AQ381" s="280">
        <f t="shared" si="40"/>
        <v>0</v>
      </c>
      <c r="AR381" s="299">
        <v>44417</v>
      </c>
    </row>
    <row r="382" spans="20:44" x14ac:dyDescent="0.35">
      <c r="T382" s="683" t="str">
        <f t="shared" si="34"/>
        <v>108</v>
      </c>
      <c r="U382" s="281">
        <f t="shared" si="37"/>
        <v>44418</v>
      </c>
      <c r="V382" s="286">
        <v>26.801100000000002</v>
      </c>
      <c r="W382" s="661">
        <v>27.829599999999999</v>
      </c>
      <c r="X382" s="661"/>
      <c r="Y382" s="640">
        <f t="shared" si="39"/>
        <v>26.801100000000002</v>
      </c>
      <c r="Z382" s="559">
        <f t="shared" si="35"/>
        <v>26.801100000000002</v>
      </c>
      <c r="AA382" s="106"/>
      <c r="AB382" s="669">
        <f t="shared" si="38"/>
        <v>44418</v>
      </c>
      <c r="AC382" s="668">
        <v>31.530200000000001</v>
      </c>
      <c r="AD382" s="668">
        <f t="shared" si="36"/>
        <v>1.1764517128028327</v>
      </c>
      <c r="AE382" s="653"/>
      <c r="AI382" s="548">
        <v>400</v>
      </c>
      <c r="AQ382" s="280">
        <f t="shared" si="40"/>
        <v>0</v>
      </c>
      <c r="AR382" s="299">
        <v>44418</v>
      </c>
    </row>
    <row r="383" spans="20:44" x14ac:dyDescent="0.35">
      <c r="T383" s="683" t="str">
        <f t="shared" si="34"/>
        <v>118</v>
      </c>
      <c r="U383" s="281">
        <f t="shared" si="37"/>
        <v>44419</v>
      </c>
      <c r="V383" s="286">
        <v>26.76</v>
      </c>
      <c r="W383" s="661">
        <v>27.834599999999998</v>
      </c>
      <c r="X383" s="661"/>
      <c r="Y383" s="640">
        <f t="shared" si="39"/>
        <v>26.76</v>
      </c>
      <c r="Z383" s="559">
        <f t="shared" si="35"/>
        <v>26.76</v>
      </c>
      <c r="AA383" s="106"/>
      <c r="AB383" s="669">
        <f t="shared" si="38"/>
        <v>44419</v>
      </c>
      <c r="AC383" s="668">
        <v>31.36</v>
      </c>
      <c r="AD383" s="668">
        <f t="shared" si="36"/>
        <v>1.1718983557548579</v>
      </c>
      <c r="AE383" s="653"/>
      <c r="AI383" s="548">
        <v>400</v>
      </c>
      <c r="AO383" s="222">
        <f>((12.0453+0.1563+0.1448+0.147)*1000)/26.76</f>
        <v>466.86846038863973</v>
      </c>
      <c r="AP383" s="284">
        <f>AO383*$BE$4</f>
        <v>61.433757225482083</v>
      </c>
      <c r="AQ383" s="280">
        <f t="shared" si="40"/>
        <v>184.30127167644625</v>
      </c>
      <c r="AR383" s="299">
        <v>44419</v>
      </c>
    </row>
    <row r="384" spans="20:44" x14ac:dyDescent="0.35">
      <c r="T384" s="683" t="str">
        <f t="shared" si="34"/>
        <v>128</v>
      </c>
      <c r="U384" s="281">
        <f t="shared" si="37"/>
        <v>44420</v>
      </c>
      <c r="V384" s="286">
        <v>26.804200000000002</v>
      </c>
      <c r="W384" s="661">
        <v>27.900300000000001</v>
      </c>
      <c r="X384" s="661"/>
      <c r="Y384" s="640">
        <f t="shared" si="39"/>
        <v>26.804200000000002</v>
      </c>
      <c r="Z384" s="559">
        <f t="shared" si="35"/>
        <v>26.804200000000002</v>
      </c>
      <c r="AA384" s="106"/>
      <c r="AB384" s="669">
        <f t="shared" si="38"/>
        <v>44420</v>
      </c>
      <c r="AC384" s="668">
        <v>31.410499999999999</v>
      </c>
      <c r="AD384" s="668">
        <f t="shared" si="36"/>
        <v>1.1718499339655724</v>
      </c>
      <c r="AI384" s="548">
        <v>400</v>
      </c>
      <c r="AQ384" s="280">
        <f t="shared" si="40"/>
        <v>0</v>
      </c>
      <c r="AR384" s="299">
        <v>44420</v>
      </c>
    </row>
    <row r="385" spans="20:44" x14ac:dyDescent="0.35">
      <c r="T385" s="683" t="str">
        <f t="shared" si="34"/>
        <v>138</v>
      </c>
      <c r="U385" s="281">
        <f t="shared" si="37"/>
        <v>44421</v>
      </c>
      <c r="V385" s="286">
        <v>26.768599999999999</v>
      </c>
      <c r="W385" s="661">
        <v>28.000299999999999</v>
      </c>
      <c r="X385" s="661"/>
      <c r="Y385" s="640">
        <f t="shared" si="39"/>
        <v>26.768599999999999</v>
      </c>
      <c r="Z385" s="559">
        <f t="shared" si="35"/>
        <v>26.768599999999999</v>
      </c>
      <c r="AA385" s="106"/>
      <c r="AB385" s="669">
        <f t="shared" si="38"/>
        <v>44421</v>
      </c>
      <c r="AC385" s="668">
        <v>31.420999999999999</v>
      </c>
      <c r="AD385" s="668">
        <f t="shared" si="36"/>
        <v>1.1738006470267404</v>
      </c>
      <c r="AI385" s="548">
        <v>400</v>
      </c>
      <c r="AQ385" s="280">
        <f t="shared" si="40"/>
        <v>0</v>
      </c>
      <c r="AR385" s="299">
        <v>44421</v>
      </c>
    </row>
    <row r="386" spans="20:44" x14ac:dyDescent="0.35">
      <c r="T386" s="683" t="str">
        <f t="shared" si="34"/>
        <v>168</v>
      </c>
      <c r="U386" s="281">
        <f t="shared" si="37"/>
        <v>44424</v>
      </c>
      <c r="V386" s="286">
        <v>26.693100000000001</v>
      </c>
      <c r="W386" s="661">
        <v>28.055599999999998</v>
      </c>
      <c r="X386" s="661"/>
      <c r="Y386" s="640">
        <f t="shared" si="39"/>
        <v>26.693100000000001</v>
      </c>
      <c r="Z386" s="559">
        <f t="shared" si="35"/>
        <v>26.693100000000001</v>
      </c>
      <c r="AA386" s="106"/>
      <c r="AB386" s="669">
        <f t="shared" si="38"/>
        <v>44424</v>
      </c>
      <c r="AC386" s="668">
        <v>31.3978</v>
      </c>
      <c r="AD386" s="668">
        <f t="shared" si="36"/>
        <v>1.1762515406603204</v>
      </c>
      <c r="AI386" s="548">
        <v>400</v>
      </c>
      <c r="AQ386" s="280">
        <f t="shared" si="40"/>
        <v>0</v>
      </c>
      <c r="AR386" s="299">
        <v>44424</v>
      </c>
    </row>
    <row r="387" spans="20:44" x14ac:dyDescent="0.35">
      <c r="T387" s="683" t="str">
        <f t="shared" si="34"/>
        <v>178</v>
      </c>
      <c r="U387" s="281">
        <f t="shared" si="37"/>
        <v>44425</v>
      </c>
      <c r="V387" s="286">
        <v>26.645700000000001</v>
      </c>
      <c r="W387" s="661">
        <v>28.119499999999999</v>
      </c>
      <c r="X387" s="661"/>
      <c r="Y387" s="640">
        <f t="shared" si="39"/>
        <v>26.645700000000001</v>
      </c>
      <c r="Z387" s="559">
        <f t="shared" si="35"/>
        <v>26.645700000000001</v>
      </c>
      <c r="AA387" s="106"/>
      <c r="AB387" s="669">
        <f t="shared" si="38"/>
        <v>44425</v>
      </c>
      <c r="AC387" s="668">
        <v>31.363299999999999</v>
      </c>
      <c r="AD387" s="668">
        <f t="shared" si="36"/>
        <v>1.177049204937382</v>
      </c>
      <c r="AI387" s="548">
        <v>400</v>
      </c>
      <c r="AQ387" s="280">
        <f t="shared" si="40"/>
        <v>0</v>
      </c>
      <c r="AR387" s="299">
        <v>44425</v>
      </c>
    </row>
    <row r="388" spans="20:44" x14ac:dyDescent="0.35">
      <c r="T388" s="683" t="str">
        <f t="shared" si="34"/>
        <v>188</v>
      </c>
      <c r="U388" s="281">
        <f t="shared" si="37"/>
        <v>44426</v>
      </c>
      <c r="V388" s="286">
        <v>26.6752</v>
      </c>
      <c r="W388" s="661">
        <v>28.1127</v>
      </c>
      <c r="X388" s="661"/>
      <c r="Y388" s="640">
        <f t="shared" si="39"/>
        <v>26.6752</v>
      </c>
      <c r="Z388" s="559">
        <f t="shared" si="35"/>
        <v>26.6752</v>
      </c>
      <c r="AA388" s="106"/>
      <c r="AB388" s="669">
        <f t="shared" si="38"/>
        <v>44426</v>
      </c>
      <c r="AC388" s="668">
        <v>31.382000000000001</v>
      </c>
      <c r="AD388" s="668">
        <f t="shared" si="36"/>
        <v>1.1764485364683301</v>
      </c>
      <c r="AI388" s="548">
        <v>400</v>
      </c>
      <c r="AO388" s="222">
        <f>((2.6788+0.5955+0.1982)*1000)/26.76</f>
        <v>129.76457399103137</v>
      </c>
      <c r="AP388" s="284">
        <f>AO388*$BE$4</f>
        <v>17.075313522778949</v>
      </c>
      <c r="AQ388" s="280">
        <f t="shared" si="40"/>
        <v>51.225940568336846</v>
      </c>
      <c r="AR388" s="299">
        <v>44426</v>
      </c>
    </row>
    <row r="389" spans="20:44" x14ac:dyDescent="0.35">
      <c r="T389" s="683" t="str">
        <f t="shared" ref="T389:T414" si="41">DAY(U389)&amp;MONTH(U389)</f>
        <v>198</v>
      </c>
      <c r="U389" s="281">
        <f t="shared" si="37"/>
        <v>44427</v>
      </c>
      <c r="V389" s="286">
        <v>26.645499999999998</v>
      </c>
      <c r="W389" s="661">
        <v>28.171800000000001</v>
      </c>
      <c r="X389" s="661"/>
      <c r="Y389" s="640">
        <f t="shared" si="39"/>
        <v>26.645499999999998</v>
      </c>
      <c r="Z389" s="559">
        <f t="shared" si="35"/>
        <v>26.645499999999998</v>
      </c>
      <c r="AA389" s="106"/>
      <c r="AB389" s="669">
        <f t="shared" si="38"/>
        <v>44427</v>
      </c>
      <c r="AC389" s="668">
        <v>31.2379</v>
      </c>
      <c r="AD389" s="668">
        <f t="shared" si="36"/>
        <v>1.1723518042446193</v>
      </c>
      <c r="AI389" s="548">
        <v>400</v>
      </c>
      <c r="AM389">
        <f>(0.0044)*1.2*1000</f>
        <v>5.28</v>
      </c>
      <c r="AQ389" s="280">
        <f t="shared" si="40"/>
        <v>-5.28</v>
      </c>
      <c r="AR389" s="299">
        <v>44427</v>
      </c>
    </row>
    <row r="390" spans="20:44" x14ac:dyDescent="0.35">
      <c r="T390" s="683" t="str">
        <f t="shared" si="41"/>
        <v>208</v>
      </c>
      <c r="U390" s="281">
        <f t="shared" si="37"/>
        <v>44428</v>
      </c>
      <c r="V390" s="286">
        <v>26.650400000000001</v>
      </c>
      <c r="W390" s="661">
        <v>28.202200000000001</v>
      </c>
      <c r="X390" s="661"/>
      <c r="Y390" s="640">
        <f t="shared" si="39"/>
        <v>26.650400000000001</v>
      </c>
      <c r="Z390" s="559">
        <f t="shared" si="35"/>
        <v>26.650400000000001</v>
      </c>
      <c r="AA390" s="106"/>
      <c r="AB390" s="669">
        <f t="shared" si="38"/>
        <v>44428</v>
      </c>
      <c r="AC390" s="668">
        <v>31.169</v>
      </c>
      <c r="AD390" s="668">
        <f t="shared" si="36"/>
        <v>1.1695509260648995</v>
      </c>
      <c r="AI390" s="548">
        <v>400</v>
      </c>
      <c r="AQ390" s="280">
        <f t="shared" si="40"/>
        <v>0</v>
      </c>
      <c r="AR390" s="299">
        <v>44428</v>
      </c>
    </row>
    <row r="391" spans="20:44" x14ac:dyDescent="0.35">
      <c r="T391" s="683" t="str">
        <f t="shared" si="41"/>
        <v>238</v>
      </c>
      <c r="U391" s="281">
        <f t="shared" si="37"/>
        <v>44431</v>
      </c>
      <c r="V391" s="286">
        <v>26.650400000000001</v>
      </c>
      <c r="W391" s="661">
        <v>28.2059</v>
      </c>
      <c r="X391" s="661"/>
      <c r="Y391" s="640">
        <f t="shared" si="39"/>
        <v>26.650400000000001</v>
      </c>
      <c r="Z391" s="559">
        <f t="shared" si="35"/>
        <v>26.650400000000001</v>
      </c>
      <c r="AA391" s="106"/>
      <c r="AB391" s="669">
        <f t="shared" si="38"/>
        <v>44431</v>
      </c>
      <c r="AC391" s="668">
        <v>31.169</v>
      </c>
      <c r="AD391" s="668">
        <f t="shared" si="36"/>
        <v>1.1695509260648995</v>
      </c>
      <c r="AI391" s="548">
        <v>400</v>
      </c>
      <c r="AQ391" s="280">
        <f t="shared" si="40"/>
        <v>0</v>
      </c>
      <c r="AR391" s="299">
        <v>44431</v>
      </c>
    </row>
    <row r="392" spans="20:44" x14ac:dyDescent="0.35">
      <c r="T392" s="683" t="str">
        <f t="shared" si="41"/>
        <v>248</v>
      </c>
      <c r="U392" s="281">
        <f t="shared" si="37"/>
        <v>44432</v>
      </c>
      <c r="V392" s="286">
        <v>26.650400000000001</v>
      </c>
      <c r="W392" s="661">
        <v>28.1874</v>
      </c>
      <c r="X392" s="661"/>
      <c r="Y392" s="640">
        <f t="shared" si="39"/>
        <v>26.650400000000001</v>
      </c>
      <c r="Z392" s="559">
        <f t="shared" si="35"/>
        <v>26.650400000000001</v>
      </c>
      <c r="AA392" s="106"/>
      <c r="AB392" s="669">
        <f t="shared" si="38"/>
        <v>44432</v>
      </c>
      <c r="AC392" s="668">
        <v>31.169</v>
      </c>
      <c r="AD392" s="668">
        <f t="shared" si="36"/>
        <v>1.1695509260648995</v>
      </c>
      <c r="AI392" s="548">
        <v>400</v>
      </c>
      <c r="AQ392" s="280">
        <f t="shared" si="40"/>
        <v>0</v>
      </c>
      <c r="AR392" s="299">
        <v>44432</v>
      </c>
    </row>
    <row r="393" spans="20:44" x14ac:dyDescent="0.35">
      <c r="T393" s="683" t="str">
        <f t="shared" si="41"/>
        <v>258</v>
      </c>
      <c r="U393" s="281">
        <f t="shared" si="37"/>
        <v>44433</v>
      </c>
      <c r="V393" s="286">
        <v>26.671800000000001</v>
      </c>
      <c r="W393" s="661">
        <v>28.248699999999999</v>
      </c>
      <c r="X393" s="661"/>
      <c r="Y393" s="640">
        <f t="shared" si="39"/>
        <v>26.671800000000001</v>
      </c>
      <c r="Z393" s="559">
        <f t="shared" si="35"/>
        <v>26.671800000000001</v>
      </c>
      <c r="AA393" s="106"/>
      <c r="AB393" s="669">
        <f t="shared" si="38"/>
        <v>44433</v>
      </c>
      <c r="AC393" s="668">
        <v>31.128699999999998</v>
      </c>
      <c r="AD393" s="668">
        <f t="shared" si="36"/>
        <v>1.1671015829452829</v>
      </c>
      <c r="AI393" s="548">
        <v>400</v>
      </c>
      <c r="AO393" s="222">
        <f>((1.0715+0.4797+0.1663+0.1563+0.5201+0.1964)*1000)/26.76</f>
        <v>96.797458893871436</v>
      </c>
      <c r="AP393" s="284">
        <f>AO393*$BE$4</f>
        <v>12.737274188064596</v>
      </c>
      <c r="AQ393" s="280">
        <f t="shared" si="40"/>
        <v>38.211822564193788</v>
      </c>
      <c r="AR393" s="299">
        <v>44433</v>
      </c>
    </row>
    <row r="394" spans="20:44" x14ac:dyDescent="0.35">
      <c r="T394" s="683" t="str">
        <f t="shared" si="41"/>
        <v>268</v>
      </c>
      <c r="U394" s="281">
        <f t="shared" si="37"/>
        <v>44434</v>
      </c>
      <c r="V394" s="286">
        <v>26.7074</v>
      </c>
      <c r="W394" s="661">
        <v>28.267299999999999</v>
      </c>
      <c r="X394" s="661"/>
      <c r="Y394" s="640">
        <f t="shared" si="39"/>
        <v>26.7074</v>
      </c>
      <c r="Z394" s="559">
        <f t="shared" si="35"/>
        <v>26.7074</v>
      </c>
      <c r="AA394" s="106"/>
      <c r="AB394" s="669">
        <f t="shared" si="38"/>
        <v>44434</v>
      </c>
      <c r="AC394" s="668">
        <v>31.343800000000002</v>
      </c>
      <c r="AD394" s="668">
        <f t="shared" si="36"/>
        <v>1.1735998262653797</v>
      </c>
      <c r="AI394" s="548">
        <v>400</v>
      </c>
      <c r="AQ394" s="280">
        <f t="shared" si="40"/>
        <v>0</v>
      </c>
      <c r="AR394" s="299">
        <v>44434</v>
      </c>
    </row>
    <row r="395" spans="20:44" x14ac:dyDescent="0.35">
      <c r="T395" s="683" t="str">
        <f t="shared" si="41"/>
        <v>278</v>
      </c>
      <c r="U395" s="281">
        <f t="shared" si="37"/>
        <v>44435</v>
      </c>
      <c r="V395" s="286">
        <v>26.7744</v>
      </c>
      <c r="W395" s="661">
        <v>28.3062</v>
      </c>
      <c r="X395" s="661"/>
      <c r="Y395" s="640">
        <f t="shared" si="39"/>
        <v>26.7744</v>
      </c>
      <c r="Z395" s="559">
        <f t="shared" si="35"/>
        <v>26.7744</v>
      </c>
      <c r="AA395" s="106"/>
      <c r="AB395" s="669">
        <f t="shared" si="38"/>
        <v>44435</v>
      </c>
      <c r="AC395" s="668">
        <v>31.5121</v>
      </c>
      <c r="AD395" s="668">
        <f t="shared" si="36"/>
        <v>1.1769488765387832</v>
      </c>
      <c r="AI395" s="548">
        <v>400</v>
      </c>
      <c r="AQ395" s="280">
        <f t="shared" si="40"/>
        <v>0</v>
      </c>
      <c r="AR395" s="299">
        <v>44435</v>
      </c>
    </row>
    <row r="396" spans="20:44" x14ac:dyDescent="0.35">
      <c r="T396" s="683" t="str">
        <f t="shared" si="41"/>
        <v>308</v>
      </c>
      <c r="U396" s="281">
        <f t="shared" si="37"/>
        <v>44438</v>
      </c>
      <c r="V396" s="286">
        <v>26.928999999999998</v>
      </c>
      <c r="W396" s="661">
        <v>28.2989</v>
      </c>
      <c r="X396" s="661"/>
      <c r="Y396" s="640">
        <f t="shared" si="39"/>
        <v>26.928999999999998</v>
      </c>
      <c r="Z396" s="559">
        <f t="shared" si="35"/>
        <v>26.928999999999998</v>
      </c>
      <c r="AA396" s="106"/>
      <c r="AB396" s="669">
        <f t="shared" si="38"/>
        <v>44438</v>
      </c>
      <c r="AC396" s="668">
        <v>31.6645</v>
      </c>
      <c r="AD396" s="668">
        <f t="shared" si="36"/>
        <v>1.1758513127112036</v>
      </c>
      <c r="AI396" s="548">
        <v>400</v>
      </c>
      <c r="AQ396" s="280">
        <f t="shared" si="40"/>
        <v>0</v>
      </c>
      <c r="AR396" s="299">
        <v>44438</v>
      </c>
    </row>
    <row r="397" spans="20:44" x14ac:dyDescent="0.35">
      <c r="T397" s="683" t="str">
        <f t="shared" si="41"/>
        <v>318</v>
      </c>
      <c r="U397" s="281">
        <f t="shared" si="37"/>
        <v>44439</v>
      </c>
      <c r="V397" s="286">
        <v>26.860099999999999</v>
      </c>
      <c r="W397" s="661">
        <v>28.310500000000001</v>
      </c>
      <c r="X397" s="661"/>
      <c r="Y397" s="640">
        <f t="shared" si="39"/>
        <v>26.860099999999999</v>
      </c>
      <c r="Z397" s="559">
        <f t="shared" si="35"/>
        <v>26.860099999999999</v>
      </c>
      <c r="AA397" s="106"/>
      <c r="AB397" s="669">
        <f t="shared" si="38"/>
        <v>44439</v>
      </c>
      <c r="AC397" s="668">
        <v>31.696300000000001</v>
      </c>
      <c r="AD397" s="668">
        <f t="shared" si="36"/>
        <v>1.1800514517816389</v>
      </c>
      <c r="AE397" s="300"/>
      <c r="AF397" s="300"/>
      <c r="AG397" s="300"/>
      <c r="AH397" s="300"/>
      <c r="AI397" s="659">
        <v>400</v>
      </c>
      <c r="AJ397" s="300"/>
      <c r="AK397" s="300"/>
      <c r="AL397" s="300"/>
      <c r="AM397" s="300"/>
      <c r="AN397" s="300"/>
      <c r="AO397" s="300"/>
      <c r="AP397" s="300"/>
      <c r="AQ397" s="280">
        <f t="shared" si="40"/>
        <v>0</v>
      </c>
      <c r="AR397" s="299">
        <v>44439</v>
      </c>
    </row>
    <row r="398" spans="20:44" x14ac:dyDescent="0.35">
      <c r="T398" s="683" t="str">
        <f t="shared" si="41"/>
        <v>19</v>
      </c>
      <c r="U398" s="299">
        <v>44440</v>
      </c>
      <c r="V398" s="286">
        <v>26.892800000000001</v>
      </c>
      <c r="W398" s="286">
        <v>27.561800000000002</v>
      </c>
      <c r="X398" s="661"/>
      <c r="Y398" s="640">
        <f t="shared" si="39"/>
        <v>26.892800000000001</v>
      </c>
      <c r="Z398" s="559">
        <f t="shared" si="35"/>
        <v>26.892800000000001</v>
      </c>
      <c r="AA398" s="106"/>
      <c r="AB398" s="669">
        <f t="shared" si="38"/>
        <v>44440</v>
      </c>
      <c r="AC398" s="668">
        <v>31.831700000000001</v>
      </c>
      <c r="AD398" s="668">
        <f t="shared" si="36"/>
        <v>1.1836513862446454</v>
      </c>
      <c r="AI398" s="548">
        <v>400</v>
      </c>
      <c r="AN398" s="238">
        <f>(1012+39.23+52.52+51.89+51.49+51.07+50.65+94.29+18.6)</f>
        <v>1421.74</v>
      </c>
      <c r="AO398" s="222">
        <f>((3.2536+0.1258)*1000)/27.2858186362817</f>
        <v>123.85188236597172</v>
      </c>
      <c r="AP398" s="284">
        <f>AO398*$BE$4</f>
        <v>16.297280966155437</v>
      </c>
      <c r="AQ398" s="658">
        <f t="shared" si="40"/>
        <v>1470.6318428984664</v>
      </c>
      <c r="AR398" s="299">
        <v>44440</v>
      </c>
    </row>
    <row r="399" spans="20:44" x14ac:dyDescent="0.35">
      <c r="T399" s="683" t="str">
        <f t="shared" si="41"/>
        <v>29</v>
      </c>
      <c r="U399" s="299">
        <v>44441</v>
      </c>
      <c r="V399" s="286">
        <v>27.0029</v>
      </c>
      <c r="W399" s="286">
        <v>27.604900000000001</v>
      </c>
      <c r="X399" s="661"/>
      <c r="Y399" s="640">
        <f t="shared" si="39"/>
        <v>27.0029</v>
      </c>
      <c r="Z399" s="559">
        <f t="shared" si="35"/>
        <v>27.0029</v>
      </c>
      <c r="AA399" s="106"/>
      <c r="AB399" s="669">
        <f>AR399</f>
        <v>44441</v>
      </c>
      <c r="AC399" s="668">
        <v>31.932300000000001</v>
      </c>
      <c r="AD399" s="668">
        <f t="shared" si="36"/>
        <v>1.1825507630661893</v>
      </c>
      <c r="AI399" s="548">
        <v>400</v>
      </c>
      <c r="AQ399" s="658">
        <f t="shared" si="40"/>
        <v>0</v>
      </c>
      <c r="AR399" s="299">
        <v>44441</v>
      </c>
    </row>
    <row r="400" spans="20:44" x14ac:dyDescent="0.35">
      <c r="T400" s="683" t="str">
        <f t="shared" si="41"/>
        <v>39</v>
      </c>
      <c r="U400" s="299">
        <v>44442</v>
      </c>
      <c r="V400" s="286">
        <v>27.024699999999999</v>
      </c>
      <c r="W400" s="286">
        <v>27.642800000000001</v>
      </c>
      <c r="X400" s="661"/>
      <c r="Y400" s="640">
        <f t="shared" si="39"/>
        <v>27.024699999999999</v>
      </c>
      <c r="Z400" s="559">
        <f t="shared" ref="Z400:Z431" si="42">V400</f>
        <v>27.024699999999999</v>
      </c>
      <c r="AA400" s="106"/>
      <c r="AB400" s="669">
        <f t="shared" ref="AB400:AB407" si="43">AR400</f>
        <v>44442</v>
      </c>
      <c r="AC400" s="668">
        <v>32.006700000000002</v>
      </c>
      <c r="AD400" s="668">
        <f t="shared" si="36"/>
        <v>1.1843498725240245</v>
      </c>
      <c r="AI400" s="548">
        <v>400</v>
      </c>
      <c r="AO400" s="222">
        <f>((0.135)*1000)/27.2858186362817</f>
        <v>4.9476250575268335</v>
      </c>
      <c r="AP400" s="284">
        <f>AO400*$BE$4</f>
        <v>0.65104247216398881</v>
      </c>
      <c r="AQ400" s="658">
        <f t="shared" si="40"/>
        <v>1.9531274164919665</v>
      </c>
      <c r="AR400" s="299">
        <v>44442</v>
      </c>
    </row>
    <row r="401" spans="20:44" x14ac:dyDescent="0.35">
      <c r="T401" s="683" t="str">
        <f t="shared" si="41"/>
        <v>69</v>
      </c>
      <c r="U401" s="299">
        <v>44445</v>
      </c>
      <c r="V401" s="286">
        <v>26.9298</v>
      </c>
      <c r="W401" s="286">
        <v>27.690799999999999</v>
      </c>
      <c r="X401" s="661"/>
      <c r="Y401" s="640">
        <f t="shared" si="39"/>
        <v>26.9298</v>
      </c>
      <c r="Z401" s="559">
        <f t="shared" si="42"/>
        <v>26.9298</v>
      </c>
      <c r="AA401" s="106"/>
      <c r="AB401" s="669">
        <f t="shared" si="43"/>
        <v>44445</v>
      </c>
      <c r="AC401" s="668">
        <v>31.968399999999999</v>
      </c>
      <c r="AD401" s="668">
        <f t="shared" si="36"/>
        <v>1.1871012781379735</v>
      </c>
      <c r="AI401" s="548">
        <v>400</v>
      </c>
      <c r="AQ401" s="658">
        <f t="shared" si="40"/>
        <v>0</v>
      </c>
      <c r="AR401" s="299">
        <v>44445</v>
      </c>
    </row>
    <row r="402" spans="20:44" x14ac:dyDescent="0.35">
      <c r="T402" s="683" t="str">
        <f t="shared" si="41"/>
        <v>79</v>
      </c>
      <c r="U402" s="299">
        <v>44446</v>
      </c>
      <c r="V402" s="286">
        <v>26.810199999999998</v>
      </c>
      <c r="W402" s="286">
        <v>27.732500000000002</v>
      </c>
      <c r="X402" s="661"/>
      <c r="Y402" s="640">
        <f t="shared" si="39"/>
        <v>26.810199999999998</v>
      </c>
      <c r="Z402" s="559">
        <f t="shared" si="42"/>
        <v>26.810199999999998</v>
      </c>
      <c r="AA402" s="106"/>
      <c r="AB402" s="669">
        <f t="shared" si="43"/>
        <v>44446</v>
      </c>
      <c r="AC402" s="668">
        <v>31.8063</v>
      </c>
      <c r="AD402" s="668">
        <f t="shared" si="36"/>
        <v>1.1863507172643248</v>
      </c>
      <c r="AI402" s="548">
        <v>400</v>
      </c>
      <c r="AQ402" s="658">
        <f t="shared" si="40"/>
        <v>0</v>
      </c>
      <c r="AR402" s="299">
        <v>44446</v>
      </c>
    </row>
    <row r="403" spans="20:44" x14ac:dyDescent="0.35">
      <c r="T403" s="683" t="str">
        <f t="shared" si="41"/>
        <v>89</v>
      </c>
      <c r="U403" s="299">
        <v>44447</v>
      </c>
      <c r="V403" s="286">
        <v>26.7317</v>
      </c>
      <c r="W403" s="642">
        <v>27.750900000000001</v>
      </c>
      <c r="X403" s="961"/>
      <c r="Y403" s="640">
        <f t="shared" si="39"/>
        <v>26.7317</v>
      </c>
      <c r="Z403" s="559">
        <f t="shared" si="42"/>
        <v>26.7317</v>
      </c>
      <c r="AA403" s="106"/>
      <c r="AB403" s="669">
        <f t="shared" si="43"/>
        <v>44447</v>
      </c>
      <c r="AC403" s="668">
        <v>31.709099999999999</v>
      </c>
      <c r="AD403" s="668">
        <f t="shared" ref="AD403:AD430" si="44">AC403/V403</f>
        <v>1.1861984086309512</v>
      </c>
      <c r="AI403" s="548">
        <v>400</v>
      </c>
      <c r="AO403" s="222">
        <f>((1.0427+0.024+0.1446+0.12+0.1998+0.2183)*1000)/27.2858186362817</f>
        <v>64.113890930647727</v>
      </c>
      <c r="AP403" s="284">
        <f>AO403*$BE$4</f>
        <v>8.4365459318791274</v>
      </c>
      <c r="AQ403" s="658">
        <f t="shared" si="40"/>
        <v>25.309637795637382</v>
      </c>
      <c r="AR403" s="299">
        <v>44447</v>
      </c>
    </row>
    <row r="404" spans="20:44" x14ac:dyDescent="0.35">
      <c r="T404" s="683" t="str">
        <f t="shared" si="41"/>
        <v>99</v>
      </c>
      <c r="U404" s="299">
        <v>44448</v>
      </c>
      <c r="V404" s="286">
        <v>26.745200000000001</v>
      </c>
      <c r="W404" s="642">
        <v>27.8032</v>
      </c>
      <c r="X404" s="961"/>
      <c r="Y404" s="640">
        <f t="shared" si="39"/>
        <v>26.745200000000001</v>
      </c>
      <c r="Z404" s="559">
        <f t="shared" si="42"/>
        <v>26.745200000000001</v>
      </c>
      <c r="AA404" s="106"/>
      <c r="AB404" s="669">
        <f t="shared" si="43"/>
        <v>44448</v>
      </c>
      <c r="AC404" s="668">
        <v>31.631499999999999</v>
      </c>
      <c r="AD404" s="668">
        <f t="shared" si="44"/>
        <v>1.1826982037898388</v>
      </c>
      <c r="AI404" s="548">
        <v>400</v>
      </c>
      <c r="AQ404" s="658">
        <f t="shared" si="40"/>
        <v>0</v>
      </c>
      <c r="AR404" s="299">
        <v>44448</v>
      </c>
    </row>
    <row r="405" spans="20:44" x14ac:dyDescent="0.35">
      <c r="T405" s="683" t="str">
        <f t="shared" si="41"/>
        <v>109</v>
      </c>
      <c r="U405" s="299">
        <v>44449</v>
      </c>
      <c r="V405" s="286">
        <v>26.726400000000002</v>
      </c>
      <c r="W405" s="642">
        <v>27.834599999999998</v>
      </c>
      <c r="X405" s="961"/>
      <c r="Y405" s="640">
        <f t="shared" si="39"/>
        <v>26.726400000000002</v>
      </c>
      <c r="Z405" s="559">
        <f t="shared" si="42"/>
        <v>26.726400000000002</v>
      </c>
      <c r="AA405" s="106"/>
      <c r="AB405" s="669">
        <f t="shared" si="43"/>
        <v>44449</v>
      </c>
      <c r="AC405" s="668">
        <v>31.623999999999999</v>
      </c>
      <c r="AD405" s="668">
        <f t="shared" si="44"/>
        <v>1.1832495210727969</v>
      </c>
      <c r="AI405" s="548">
        <v>400</v>
      </c>
      <c r="AQ405" s="658">
        <f t="shared" si="40"/>
        <v>0</v>
      </c>
      <c r="AR405" s="299">
        <v>44449</v>
      </c>
    </row>
    <row r="406" spans="20:44" x14ac:dyDescent="0.35">
      <c r="T406" s="683" t="str">
        <f t="shared" si="41"/>
        <v>139</v>
      </c>
      <c r="U406" s="299">
        <v>44452</v>
      </c>
      <c r="V406" s="286">
        <v>26.6782</v>
      </c>
      <c r="W406" s="642">
        <v>27.900300000000001</v>
      </c>
      <c r="X406" s="961"/>
      <c r="Y406" s="640">
        <f t="shared" si="39"/>
        <v>26.6782</v>
      </c>
      <c r="Z406" s="559">
        <f t="shared" si="42"/>
        <v>26.6782</v>
      </c>
      <c r="AA406" s="106"/>
      <c r="AB406" s="669">
        <f t="shared" si="43"/>
        <v>44452</v>
      </c>
      <c r="AC406" s="668">
        <v>31.584299999999999</v>
      </c>
      <c r="AD406" s="668">
        <f t="shared" si="44"/>
        <v>1.1838992135901223</v>
      </c>
      <c r="AI406" s="548">
        <v>400</v>
      </c>
      <c r="AN406" s="222">
        <v>419.60999999999996</v>
      </c>
      <c r="AQ406" s="658">
        <f t="shared" si="40"/>
        <v>419.60999999999996</v>
      </c>
      <c r="AR406" s="299">
        <v>44452</v>
      </c>
    </row>
    <row r="407" spans="20:44" x14ac:dyDescent="0.35">
      <c r="T407" s="683" t="str">
        <f t="shared" si="41"/>
        <v>149</v>
      </c>
      <c r="U407" s="299">
        <v>44453</v>
      </c>
      <c r="V407" s="286">
        <v>26.68</v>
      </c>
      <c r="W407" s="642">
        <v>28.000299999999999</v>
      </c>
      <c r="X407" s="961"/>
      <c r="Y407" s="640">
        <f t="shared" si="39"/>
        <v>26.68</v>
      </c>
      <c r="Z407" s="559">
        <f t="shared" si="42"/>
        <v>26.68</v>
      </c>
      <c r="AA407" s="106"/>
      <c r="AB407" s="669">
        <f t="shared" si="43"/>
        <v>44453</v>
      </c>
      <c r="AC407" s="668">
        <v>31.447199999999999</v>
      </c>
      <c r="AD407" s="668">
        <f t="shared" si="44"/>
        <v>1.1786806596701649</v>
      </c>
      <c r="AI407" s="548">
        <v>400</v>
      </c>
      <c r="AQ407" s="658">
        <f t="shared" si="40"/>
        <v>0</v>
      </c>
      <c r="AR407" s="299">
        <v>44453</v>
      </c>
    </row>
    <row r="408" spans="20:44" x14ac:dyDescent="0.35">
      <c r="T408" s="683" t="str">
        <f t="shared" si="41"/>
        <v>159</v>
      </c>
      <c r="U408" s="299">
        <v>44454</v>
      </c>
      <c r="V408" s="286">
        <v>26.68</v>
      </c>
      <c r="W408" s="642">
        <v>28.055599999999998</v>
      </c>
      <c r="X408" s="961"/>
      <c r="Y408" s="568">
        <f>V408*(((AQ408/AI408)*0.02)+1)</f>
        <v>26.705437126379298</v>
      </c>
      <c r="Z408" s="559">
        <f t="shared" si="42"/>
        <v>26.68</v>
      </c>
      <c r="AA408" s="106"/>
      <c r="AB408" s="649">
        <f>U408</f>
        <v>44454</v>
      </c>
      <c r="AC408" s="286">
        <v>31.462700000000002</v>
      </c>
      <c r="AD408" s="668">
        <f t="shared" si="44"/>
        <v>1.1792616191904048</v>
      </c>
      <c r="AI408" s="548">
        <v>400</v>
      </c>
      <c r="AO408" s="222">
        <f>((1.0463+0.0721+0.1996)*1000)/27.2858186362817</f>
        <v>48.303480191261976</v>
      </c>
      <c r="AP408" s="284">
        <f>AO408*$BE$4</f>
        <v>6.3561035430528694</v>
      </c>
      <c r="AQ408" s="658">
        <f t="shared" si="40"/>
        <v>19.06831062915861</v>
      </c>
      <c r="AR408" s="299">
        <v>44454</v>
      </c>
    </row>
    <row r="409" spans="20:44" x14ac:dyDescent="0.35">
      <c r="T409" s="683" t="str">
        <f t="shared" si="41"/>
        <v>169</v>
      </c>
      <c r="U409" s="299">
        <v>44455</v>
      </c>
      <c r="V409" s="286">
        <v>26.69</v>
      </c>
      <c r="W409" s="642">
        <v>28.119499999999999</v>
      </c>
      <c r="X409" s="961"/>
      <c r="Y409" s="568">
        <f t="shared" ref="Y409:Y441" si="45">V409*(((AQ409/AI409)*0.02)+1)</f>
        <v>26.803085106776667</v>
      </c>
      <c r="Z409" s="559">
        <f t="shared" si="42"/>
        <v>26.69</v>
      </c>
      <c r="AA409" s="106"/>
      <c r="AB409" s="649">
        <f t="shared" ref="AB409:AB472" si="46">U409</f>
        <v>44455</v>
      </c>
      <c r="AC409" s="286">
        <v>31.516999999999999</v>
      </c>
      <c r="AD409" s="668">
        <f t="shared" si="44"/>
        <v>1.1808542525290371</v>
      </c>
      <c r="AI409" s="548">
        <v>400</v>
      </c>
      <c r="AN409" s="222">
        <v>84.739682859999988</v>
      </c>
      <c r="AQ409" s="658">
        <f t="shared" si="40"/>
        <v>84.739682859999988</v>
      </c>
      <c r="AR409" s="299">
        <v>44455</v>
      </c>
    </row>
    <row r="410" spans="20:44" x14ac:dyDescent="0.35">
      <c r="T410" s="683" t="str">
        <f t="shared" si="41"/>
        <v>179</v>
      </c>
      <c r="U410" s="299">
        <v>44456</v>
      </c>
      <c r="V410" s="286">
        <v>26.71</v>
      </c>
      <c r="W410" s="642">
        <v>28.1127</v>
      </c>
      <c r="X410" s="961"/>
      <c r="Y410" s="568">
        <f t="shared" si="45"/>
        <v>26.71</v>
      </c>
      <c r="Z410" s="559">
        <f t="shared" si="42"/>
        <v>26.71</v>
      </c>
      <c r="AA410" s="106"/>
      <c r="AB410" s="649">
        <f t="shared" si="46"/>
        <v>44456</v>
      </c>
      <c r="AC410" s="286">
        <v>31.37</v>
      </c>
      <c r="AD410" s="668">
        <f t="shared" si="44"/>
        <v>1.1744664919505803</v>
      </c>
      <c r="AI410" s="548">
        <v>400</v>
      </c>
      <c r="AQ410" s="658">
        <f t="shared" si="40"/>
        <v>0</v>
      </c>
      <c r="AR410" s="299">
        <v>44456</v>
      </c>
    </row>
    <row r="411" spans="20:44" x14ac:dyDescent="0.35">
      <c r="T411" s="683" t="str">
        <f t="shared" si="41"/>
        <v>209</v>
      </c>
      <c r="U411" s="299">
        <v>44459</v>
      </c>
      <c r="V411" s="286">
        <v>26.684999999999999</v>
      </c>
      <c r="W411" s="642">
        <v>28.171800000000001</v>
      </c>
      <c r="X411" s="961"/>
      <c r="Y411" s="568">
        <f t="shared" si="45"/>
        <v>26.684999999999999</v>
      </c>
      <c r="Z411" s="559">
        <f t="shared" si="42"/>
        <v>26.684999999999999</v>
      </c>
      <c r="AA411" s="106"/>
      <c r="AB411" s="649">
        <f t="shared" si="46"/>
        <v>44459</v>
      </c>
      <c r="AC411" s="286">
        <v>31.462599999999998</v>
      </c>
      <c r="AD411" s="668">
        <f t="shared" si="44"/>
        <v>1.1790369121229154</v>
      </c>
      <c r="AI411" s="548">
        <v>400</v>
      </c>
      <c r="AQ411" s="658">
        <f t="shared" si="40"/>
        <v>0</v>
      </c>
      <c r="AR411" s="299">
        <v>44459</v>
      </c>
    </row>
    <row r="412" spans="20:44" x14ac:dyDescent="0.35">
      <c r="T412" s="683" t="str">
        <f t="shared" si="41"/>
        <v>219</v>
      </c>
      <c r="U412" s="299">
        <v>44460</v>
      </c>
      <c r="V412" s="286">
        <v>26.73</v>
      </c>
      <c r="W412" s="642">
        <v>28.202200000000001</v>
      </c>
      <c r="X412" s="961"/>
      <c r="Y412" s="568">
        <f t="shared" si="45"/>
        <v>26.73</v>
      </c>
      <c r="Z412" s="559">
        <f t="shared" si="42"/>
        <v>26.73</v>
      </c>
      <c r="AA412" s="106"/>
      <c r="AB412" s="649">
        <f t="shared" si="46"/>
        <v>44460</v>
      </c>
      <c r="AC412" s="286">
        <v>31.270099999999999</v>
      </c>
      <c r="AD412" s="668">
        <f t="shared" si="44"/>
        <v>1.169850355405911</v>
      </c>
      <c r="AI412" s="548">
        <v>400</v>
      </c>
      <c r="AQ412" s="658">
        <f t="shared" si="40"/>
        <v>0</v>
      </c>
      <c r="AR412" s="299">
        <v>44460</v>
      </c>
    </row>
    <row r="413" spans="20:44" x14ac:dyDescent="0.35">
      <c r="T413" s="683" t="str">
        <f t="shared" si="41"/>
        <v>229</v>
      </c>
      <c r="U413" s="299">
        <v>44461</v>
      </c>
      <c r="V413" s="286">
        <v>26.75</v>
      </c>
      <c r="W413" s="642">
        <v>28.2059</v>
      </c>
      <c r="X413" s="961"/>
      <c r="Y413" s="568">
        <f t="shared" si="45"/>
        <v>26.770563700934179</v>
      </c>
      <c r="Z413" s="559">
        <f t="shared" si="42"/>
        <v>26.75</v>
      </c>
      <c r="AA413" s="106"/>
      <c r="AB413" s="649">
        <f t="shared" si="46"/>
        <v>44461</v>
      </c>
      <c r="AC413" s="286">
        <v>31.3566</v>
      </c>
      <c r="AD413" s="668">
        <f t="shared" si="44"/>
        <v>1.1722093457943925</v>
      </c>
      <c r="AI413" s="548">
        <v>400</v>
      </c>
      <c r="AO413" s="222">
        <f>((0.1625+0.087+0.1522+0.12+0.12+0.12+0.2182+0.0828)*1000)/27.2858186362817</f>
        <v>38.94697147136123</v>
      </c>
      <c r="AP413" s="284">
        <f>AO413*$BE$4</f>
        <v>5.1249098901383032</v>
      </c>
      <c r="AQ413" s="658">
        <f t="shared" si="40"/>
        <v>15.37472967041491</v>
      </c>
      <c r="AR413" s="299">
        <v>44461</v>
      </c>
    </row>
    <row r="414" spans="20:44" x14ac:dyDescent="0.35">
      <c r="T414" s="683" t="str">
        <f t="shared" si="41"/>
        <v>239</v>
      </c>
      <c r="U414" s="299">
        <v>44462</v>
      </c>
      <c r="V414" s="286">
        <v>26.74</v>
      </c>
      <c r="W414" s="642">
        <v>28.1874</v>
      </c>
      <c r="X414" s="961"/>
      <c r="Y414" s="568">
        <f t="shared" si="45"/>
        <v>26.74</v>
      </c>
      <c r="Z414" s="559">
        <f t="shared" si="42"/>
        <v>26.74</v>
      </c>
      <c r="AA414" s="106"/>
      <c r="AB414" s="649">
        <f t="shared" si="46"/>
        <v>44462</v>
      </c>
      <c r="AC414" s="286">
        <v>31.285599999999999</v>
      </c>
      <c r="AD414" s="668">
        <f t="shared" si="44"/>
        <v>1.1699925205684367</v>
      </c>
      <c r="AI414" s="548">
        <v>400</v>
      </c>
      <c r="AQ414" s="658">
        <f t="shared" si="40"/>
        <v>0</v>
      </c>
      <c r="AR414" s="299">
        <v>44462</v>
      </c>
    </row>
    <row r="415" spans="20:44" x14ac:dyDescent="0.35">
      <c r="T415" s="113">
        <v>1</v>
      </c>
      <c r="U415" s="299">
        <v>44463</v>
      </c>
      <c r="V415" s="286">
        <v>26.527200000000001</v>
      </c>
      <c r="W415" s="642">
        <v>28.248699999999999</v>
      </c>
      <c r="X415" s="961"/>
      <c r="Y415" s="568">
        <f t="shared" si="45"/>
        <v>26.527200000000001</v>
      </c>
      <c r="Z415" s="559">
        <f t="shared" si="42"/>
        <v>26.527200000000001</v>
      </c>
      <c r="AA415" s="106"/>
      <c r="AB415" s="649">
        <f t="shared" si="46"/>
        <v>44463</v>
      </c>
      <c r="AC415" s="286">
        <v>31.084599999999998</v>
      </c>
      <c r="AD415" s="668">
        <f t="shared" si="44"/>
        <v>1.1718010193311015</v>
      </c>
      <c r="AI415" s="548">
        <v>400</v>
      </c>
      <c r="AQ415" s="658">
        <f t="shared" si="40"/>
        <v>0</v>
      </c>
      <c r="AR415" s="299">
        <v>44463</v>
      </c>
    </row>
    <row r="416" spans="20:44" x14ac:dyDescent="0.35">
      <c r="T416" s="113">
        <v>2</v>
      </c>
      <c r="U416" s="299">
        <v>44464</v>
      </c>
      <c r="V416" s="286">
        <v>26.527200000000001</v>
      </c>
      <c r="W416" s="642">
        <v>28.267299999999999</v>
      </c>
      <c r="X416" s="961"/>
      <c r="Y416" s="568">
        <f t="shared" si="45"/>
        <v>27.862844519999999</v>
      </c>
      <c r="Z416" s="559">
        <f t="shared" si="42"/>
        <v>26.527200000000001</v>
      </c>
      <c r="AA416" s="106"/>
      <c r="AB416" s="649">
        <f t="shared" si="46"/>
        <v>44464</v>
      </c>
      <c r="AC416" s="286">
        <v>31.084599999999998</v>
      </c>
      <c r="AD416" s="668">
        <f t="shared" si="44"/>
        <v>1.1718010193311015</v>
      </c>
      <c r="AI416" s="548">
        <v>400</v>
      </c>
      <c r="AN416">
        <f>(1007)</f>
        <v>1007</v>
      </c>
      <c r="AQ416" s="658">
        <f t="shared" si="40"/>
        <v>1007</v>
      </c>
      <c r="AR416" s="660">
        <v>44464</v>
      </c>
    </row>
    <row r="417" spans="20:50" x14ac:dyDescent="0.35">
      <c r="T417" s="113">
        <v>3</v>
      </c>
      <c r="U417" s="299">
        <v>44466</v>
      </c>
      <c r="V417" s="286">
        <v>26.642199999999999</v>
      </c>
      <c r="W417" s="642">
        <v>28.3062</v>
      </c>
      <c r="X417" s="961"/>
      <c r="Y417" s="568">
        <f t="shared" si="45"/>
        <v>26.642199999999999</v>
      </c>
      <c r="Z417" s="559">
        <f t="shared" si="42"/>
        <v>26.642199999999999</v>
      </c>
      <c r="AA417" s="106"/>
      <c r="AB417" s="649">
        <f t="shared" si="46"/>
        <v>44466</v>
      </c>
      <c r="AC417" s="286">
        <v>31.215299999999999</v>
      </c>
      <c r="AD417" s="668">
        <f t="shared" si="44"/>
        <v>1.1716487377168552</v>
      </c>
      <c r="AI417" s="548">
        <v>400</v>
      </c>
      <c r="AQ417" s="658">
        <f t="shared" si="40"/>
        <v>0</v>
      </c>
      <c r="AR417" s="299">
        <v>44466</v>
      </c>
    </row>
    <row r="418" spans="20:50" x14ac:dyDescent="0.35">
      <c r="T418" s="113">
        <v>4</v>
      </c>
      <c r="U418" s="299">
        <v>44467</v>
      </c>
      <c r="V418" s="286">
        <v>26.6556</v>
      </c>
      <c r="W418" s="642">
        <v>28.2989</v>
      </c>
      <c r="X418" s="961"/>
      <c r="Y418" s="568">
        <f t="shared" si="45"/>
        <v>26.6556</v>
      </c>
      <c r="Z418" s="559">
        <f t="shared" si="42"/>
        <v>26.6556</v>
      </c>
      <c r="AA418" s="106"/>
      <c r="AB418" s="649">
        <f t="shared" si="46"/>
        <v>44467</v>
      </c>
      <c r="AC418" s="286">
        <v>31.176400000000001</v>
      </c>
      <c r="AD418" s="668">
        <f t="shared" si="44"/>
        <v>1.1696003841594262</v>
      </c>
      <c r="AI418" s="548">
        <v>400</v>
      </c>
      <c r="AQ418" s="658">
        <f t="shared" si="40"/>
        <v>0</v>
      </c>
      <c r="AR418" s="299">
        <v>44467</v>
      </c>
    </row>
    <row r="419" spans="20:50" x14ac:dyDescent="0.35">
      <c r="T419" s="113">
        <v>5</v>
      </c>
      <c r="U419" s="299">
        <v>44468</v>
      </c>
      <c r="V419" s="286">
        <v>26.569800000000001</v>
      </c>
      <c r="W419" s="642">
        <v>28.310500000000001</v>
      </c>
      <c r="X419" s="961"/>
      <c r="Y419" s="568">
        <f t="shared" si="45"/>
        <v>26.824865782765691</v>
      </c>
      <c r="Z419" s="559">
        <f t="shared" si="42"/>
        <v>26.569800000000001</v>
      </c>
      <c r="AA419" s="106"/>
      <c r="AB419" s="649">
        <f t="shared" si="46"/>
        <v>44468</v>
      </c>
      <c r="AC419" s="286">
        <v>31.0335</v>
      </c>
      <c r="AD419" s="668">
        <f t="shared" si="44"/>
        <v>1.1679990063907142</v>
      </c>
      <c r="AI419" s="548">
        <v>400</v>
      </c>
      <c r="AO419" s="222">
        <f>((12.7583+0.125+0.1475+0.12+0.12)*1000)/27.2858186362817</f>
        <v>486.3625378772378</v>
      </c>
      <c r="AP419" s="284">
        <f>AO419*$BE$4</f>
        <v>63.998921774769357</v>
      </c>
      <c r="AQ419" s="658">
        <f t="shared" si="40"/>
        <v>191.99676532430806</v>
      </c>
      <c r="AR419" s="299">
        <v>44468</v>
      </c>
    </row>
    <row r="420" spans="20:50" x14ac:dyDescent="0.35">
      <c r="T420" s="113">
        <v>6</v>
      </c>
      <c r="U420" s="281">
        <v>44469</v>
      </c>
      <c r="V420" s="286">
        <v>26.576000000000001</v>
      </c>
      <c r="W420" s="642">
        <v>28.334299999999999</v>
      </c>
      <c r="X420" s="961"/>
      <c r="Y420" s="568">
        <f t="shared" si="45"/>
        <v>26.573209519999999</v>
      </c>
      <c r="Z420" s="559">
        <f t="shared" si="42"/>
        <v>26.576000000000001</v>
      </c>
      <c r="AA420" s="106"/>
      <c r="AB420" s="649">
        <f t="shared" si="46"/>
        <v>44469</v>
      </c>
      <c r="AC420" s="286">
        <v>30.981000000000002</v>
      </c>
      <c r="AD420" s="668">
        <f>AC420/V420</f>
        <v>1.1657510535821793</v>
      </c>
      <c r="AF420" s="300"/>
      <c r="AG420" s="300"/>
      <c r="AH420" s="300"/>
      <c r="AI420" s="548">
        <v>400</v>
      </c>
      <c r="AJ420" s="300"/>
      <c r="AK420" s="300"/>
      <c r="AL420" s="300"/>
      <c r="AM420" s="300">
        <f>(0.0021)*1000</f>
        <v>2.1</v>
      </c>
      <c r="AN420" s="300"/>
      <c r="AP420" s="300"/>
      <c r="AQ420" s="658">
        <f t="shared" si="40"/>
        <v>-2.1</v>
      </c>
      <c r="AR420" s="299">
        <v>44469</v>
      </c>
    </row>
    <row r="421" spans="20:50" x14ac:dyDescent="0.35">
      <c r="T421" s="113"/>
      <c r="U421" s="281">
        <v>44470</v>
      </c>
      <c r="V421" s="286">
        <v>26.6175</v>
      </c>
      <c r="W421" s="286">
        <v>28.334299999999999</v>
      </c>
      <c r="X421" s="661"/>
      <c r="Y421" s="568">
        <f t="shared" si="45"/>
        <v>26.6175</v>
      </c>
      <c r="Z421" s="559">
        <f t="shared" si="42"/>
        <v>26.6175</v>
      </c>
      <c r="AB421" s="649">
        <f t="shared" si="46"/>
        <v>44470</v>
      </c>
      <c r="AC421" s="286">
        <v>30.8231</v>
      </c>
      <c r="AD421" s="668">
        <f t="shared" si="44"/>
        <v>1.158001314924392</v>
      </c>
      <c r="AE421" s="113"/>
      <c r="AI421" s="548">
        <v>400</v>
      </c>
      <c r="AM421" s="682"/>
      <c r="AN421" s="675"/>
      <c r="AO421" s="675" t="s">
        <v>304</v>
      </c>
      <c r="AP421" s="675"/>
      <c r="AQ421" s="280">
        <f t="shared" si="40"/>
        <v>0</v>
      </c>
      <c r="AR421" s="281">
        <v>44470</v>
      </c>
      <c r="AV421" s="1"/>
      <c r="AX421" s="1"/>
    </row>
    <row r="422" spans="20:50" x14ac:dyDescent="0.35">
      <c r="U422" s="674">
        <f>AR422</f>
        <v>44473</v>
      </c>
      <c r="V422" s="286">
        <v>26.61</v>
      </c>
      <c r="W422" s="286">
        <v>28.4009</v>
      </c>
      <c r="X422" s="661"/>
      <c r="Y422" s="568">
        <f t="shared" si="45"/>
        <v>26.61</v>
      </c>
      <c r="Z422" s="559">
        <f t="shared" si="42"/>
        <v>26.61</v>
      </c>
      <c r="AB422" s="649">
        <f t="shared" si="46"/>
        <v>44473</v>
      </c>
      <c r="AC422" s="286">
        <v>30.871600000000001</v>
      </c>
      <c r="AD422" s="668">
        <f t="shared" si="44"/>
        <v>1.1601503194287863</v>
      </c>
      <c r="AE422" s="113"/>
      <c r="AI422" s="548">
        <v>400</v>
      </c>
      <c r="AM422" s="673"/>
      <c r="AN422" s="557"/>
      <c r="AO422" s="557" t="s">
        <v>304</v>
      </c>
      <c r="AP422" s="557"/>
      <c r="AQ422" s="658">
        <f t="shared" si="40"/>
        <v>0</v>
      </c>
      <c r="AR422" s="299">
        <v>44473</v>
      </c>
      <c r="AV422" s="1"/>
      <c r="AX422" s="1"/>
    </row>
    <row r="423" spans="20:50" x14ac:dyDescent="0.35">
      <c r="U423" s="674">
        <f t="shared" ref="U423:U442" si="47">AR423</f>
        <v>44474</v>
      </c>
      <c r="V423" s="286">
        <v>26.572199999999999</v>
      </c>
      <c r="W423" s="286">
        <v>28.363900000000001</v>
      </c>
      <c r="X423" s="661"/>
      <c r="Y423" s="568">
        <f t="shared" si="45"/>
        <v>26.687606496213625</v>
      </c>
      <c r="Z423" s="559">
        <f t="shared" si="42"/>
        <v>26.572199999999999</v>
      </c>
      <c r="AB423" s="649">
        <f t="shared" si="46"/>
        <v>44474</v>
      </c>
      <c r="AC423" s="286">
        <v>30.926100000000002</v>
      </c>
      <c r="AD423" s="668">
        <f t="shared" si="44"/>
        <v>1.1638516946282207</v>
      </c>
      <c r="AE423" s="113"/>
      <c r="AI423" s="548">
        <v>400</v>
      </c>
      <c r="AM423" s="673"/>
      <c r="AN423" s="557">
        <v>86.862582860000003</v>
      </c>
      <c r="AO423" s="557"/>
      <c r="AP423" s="557"/>
      <c r="AQ423" s="658">
        <f t="shared" si="40"/>
        <v>86.862582860000003</v>
      </c>
      <c r="AR423" s="299">
        <v>44474</v>
      </c>
      <c r="AV423" s="1"/>
      <c r="AX423" s="1"/>
    </row>
    <row r="424" spans="20:50" x14ac:dyDescent="0.35">
      <c r="T424" s="113"/>
      <c r="U424" s="674">
        <f t="shared" si="47"/>
        <v>44475</v>
      </c>
      <c r="V424" s="286">
        <v>26.424399999999999</v>
      </c>
      <c r="W424" s="286">
        <v>28.324000000000002</v>
      </c>
      <c r="X424" s="661"/>
      <c r="Y424" s="568">
        <f t="shared" si="45"/>
        <v>26.430409981250531</v>
      </c>
      <c r="Z424" s="559">
        <f t="shared" si="42"/>
        <v>26.424399999999999</v>
      </c>
      <c r="AB424" s="649">
        <f t="shared" si="46"/>
        <v>44475</v>
      </c>
      <c r="AC424" s="286">
        <v>30.653600000000001</v>
      </c>
      <c r="AD424" s="668">
        <f t="shared" si="44"/>
        <v>1.1600490455790862</v>
      </c>
      <c r="AE424" s="113"/>
      <c r="AI424" s="548">
        <v>400</v>
      </c>
      <c r="AM424" s="673"/>
      <c r="AN424" s="557"/>
      <c r="AO424" s="557">
        <v>14.516016688157276</v>
      </c>
      <c r="AP424" s="679">
        <f>AO424*$BF$4</f>
        <v>1.5162706313191763</v>
      </c>
      <c r="AQ424" s="658">
        <f t="shared" si="40"/>
        <v>4.5488118939575291</v>
      </c>
      <c r="AR424" s="299">
        <v>44475</v>
      </c>
    </row>
    <row r="425" spans="20:50" x14ac:dyDescent="0.35">
      <c r="T425" s="113"/>
      <c r="U425" s="674">
        <f t="shared" si="47"/>
        <v>44476</v>
      </c>
      <c r="V425" s="286">
        <v>26.350300000000001</v>
      </c>
      <c r="W425" s="286">
        <v>28.2836</v>
      </c>
      <c r="X425" s="661"/>
      <c r="Y425" s="568">
        <f t="shared" si="45"/>
        <v>26.344817861586723</v>
      </c>
      <c r="Z425" s="559">
        <f t="shared" si="42"/>
        <v>26.350300000000001</v>
      </c>
      <c r="AB425" s="649">
        <f t="shared" si="46"/>
        <v>44476</v>
      </c>
      <c r="AC425" s="286">
        <v>30.413499999999999</v>
      </c>
      <c r="AD425" s="668">
        <f t="shared" si="44"/>
        <v>1.1541993829292265</v>
      </c>
      <c r="AE425" s="113"/>
      <c r="AI425" s="548">
        <v>400</v>
      </c>
      <c r="AM425" s="673">
        <v>4.1609685000000001</v>
      </c>
      <c r="AN425" s="557"/>
      <c r="AO425" s="557" t="s">
        <v>304</v>
      </c>
      <c r="AP425" s="557"/>
      <c r="AQ425" s="658">
        <f t="shared" si="40"/>
        <v>-4.1609685000000001</v>
      </c>
      <c r="AR425" s="299">
        <v>44476</v>
      </c>
      <c r="AU425" s="557"/>
      <c r="AW425" s="681"/>
    </row>
    <row r="426" spans="20:50" x14ac:dyDescent="0.35">
      <c r="T426" s="113"/>
      <c r="U426" s="674">
        <f t="shared" si="47"/>
        <v>44477</v>
      </c>
      <c r="V426" s="286">
        <v>26.331399999999999</v>
      </c>
      <c r="W426" s="286">
        <v>28.2836</v>
      </c>
      <c r="X426" s="661"/>
      <c r="Y426" s="568">
        <f t="shared" si="45"/>
        <v>26.331399999999999</v>
      </c>
      <c r="Z426" s="559">
        <f t="shared" si="42"/>
        <v>26.331399999999999</v>
      </c>
      <c r="AB426" s="649">
        <f t="shared" si="46"/>
        <v>44477</v>
      </c>
      <c r="AC426" s="286">
        <v>30.437799999999999</v>
      </c>
      <c r="AD426" s="668">
        <f t="shared" si="44"/>
        <v>1.155950690050662</v>
      </c>
      <c r="AE426" s="113"/>
      <c r="AI426" s="548">
        <v>400</v>
      </c>
      <c r="AM426" s="673"/>
      <c r="AN426" s="557"/>
      <c r="AO426" s="557" t="s">
        <v>304</v>
      </c>
      <c r="AP426" s="557"/>
      <c r="AQ426" s="658">
        <f t="shared" si="40"/>
        <v>0</v>
      </c>
      <c r="AR426" s="299">
        <v>44477</v>
      </c>
      <c r="AU426" s="557"/>
      <c r="AW426" s="681"/>
    </row>
    <row r="427" spans="20:50" x14ac:dyDescent="0.35">
      <c r="T427" s="113"/>
      <c r="U427" s="674">
        <f t="shared" si="47"/>
        <v>44480</v>
      </c>
      <c r="V427" s="286">
        <v>26.351500000000001</v>
      </c>
      <c r="W427" s="286">
        <v>28.248100000000001</v>
      </c>
      <c r="X427" s="661"/>
      <c r="Y427" s="568">
        <f t="shared" si="45"/>
        <v>26.351500000000001</v>
      </c>
      <c r="Z427" s="559">
        <f t="shared" si="42"/>
        <v>26.351500000000001</v>
      </c>
      <c r="AB427" s="649">
        <f t="shared" si="46"/>
        <v>44480</v>
      </c>
      <c r="AC427" s="286">
        <v>30.476800000000001</v>
      </c>
      <c r="AD427" s="668">
        <f t="shared" si="44"/>
        <v>1.1565489630571315</v>
      </c>
      <c r="AE427" s="113"/>
      <c r="AI427" s="548">
        <v>400</v>
      </c>
      <c r="AM427" s="673"/>
      <c r="AN427" s="557"/>
      <c r="AO427" s="557" t="s">
        <v>304</v>
      </c>
      <c r="AP427" s="557"/>
      <c r="AQ427" s="658">
        <f t="shared" si="40"/>
        <v>0</v>
      </c>
      <c r="AR427" s="299">
        <v>44480</v>
      </c>
      <c r="AU427" s="557"/>
      <c r="AW427" s="681"/>
    </row>
    <row r="428" spans="20:50" x14ac:dyDescent="0.35">
      <c r="T428" s="113"/>
      <c r="U428" s="674">
        <f t="shared" si="47"/>
        <v>44481</v>
      </c>
      <c r="V428" s="286">
        <v>26.36</v>
      </c>
      <c r="W428" s="286">
        <v>28.248100000000001</v>
      </c>
      <c r="X428" s="661"/>
      <c r="Y428" s="568">
        <f t="shared" si="45"/>
        <v>26.36</v>
      </c>
      <c r="Z428" s="559">
        <f t="shared" si="42"/>
        <v>26.36</v>
      </c>
      <c r="AB428" s="649">
        <f t="shared" si="46"/>
        <v>44481</v>
      </c>
      <c r="AC428" s="286">
        <v>30.501200000000001</v>
      </c>
      <c r="AD428" s="668">
        <f t="shared" si="44"/>
        <v>1.1571016691957512</v>
      </c>
      <c r="AE428" s="113"/>
      <c r="AI428" s="548">
        <v>400</v>
      </c>
      <c r="AM428" s="673"/>
      <c r="AN428" s="557"/>
      <c r="AO428" s="557" t="s">
        <v>304</v>
      </c>
      <c r="AP428" s="557"/>
      <c r="AQ428" s="658">
        <f t="shared" si="40"/>
        <v>0</v>
      </c>
      <c r="AR428" s="299">
        <v>44481</v>
      </c>
      <c r="AU428" s="557"/>
    </row>
    <row r="429" spans="20:50" x14ac:dyDescent="0.35">
      <c r="T429" s="113"/>
      <c r="U429" s="674">
        <f t="shared" si="47"/>
        <v>44482</v>
      </c>
      <c r="V429" s="286">
        <v>26.349</v>
      </c>
      <c r="W429" s="286">
        <v>28.316400000000002</v>
      </c>
      <c r="X429" s="661"/>
      <c r="Y429" s="568">
        <f t="shared" si="45"/>
        <v>26.37467667536254</v>
      </c>
      <c r="Z429" s="559">
        <f t="shared" si="42"/>
        <v>26.349</v>
      </c>
      <c r="AB429" s="649">
        <f t="shared" si="46"/>
        <v>44482</v>
      </c>
      <c r="AC429" s="286">
        <v>30.426500000000001</v>
      </c>
      <c r="AD429" s="668">
        <f t="shared" si="44"/>
        <v>1.1547497058711906</v>
      </c>
      <c r="AE429" s="113"/>
      <c r="AI429" s="548">
        <v>400</v>
      </c>
      <c r="AM429" s="673"/>
      <c r="AN429" s="557"/>
      <c r="AO429" s="557">
        <v>62.194807692452521</v>
      </c>
      <c r="AP429" s="679">
        <f>AO429*$BF$4</f>
        <v>6.4965591009237889</v>
      </c>
      <c r="AQ429" s="658">
        <f t="shared" si="40"/>
        <v>19.489677302771366</v>
      </c>
      <c r="AR429" s="299">
        <v>44482</v>
      </c>
      <c r="AS429" s="649"/>
    </row>
    <row r="430" spans="20:50" x14ac:dyDescent="0.35">
      <c r="T430" s="113"/>
      <c r="U430" s="674">
        <f t="shared" si="47"/>
        <v>44483</v>
      </c>
      <c r="V430" s="286">
        <v>26.349</v>
      </c>
      <c r="W430" s="286">
        <v>28.336500000000001</v>
      </c>
      <c r="X430" s="661"/>
      <c r="Y430" s="568">
        <f t="shared" si="45"/>
        <v>26.33862138580275</v>
      </c>
      <c r="Z430" s="559">
        <f t="shared" si="42"/>
        <v>26.349</v>
      </c>
      <c r="AB430" s="649">
        <f t="shared" si="46"/>
        <v>44483</v>
      </c>
      <c r="AC430" s="286">
        <v>30.426500000000001</v>
      </c>
      <c r="AD430" s="668">
        <f t="shared" si="44"/>
        <v>1.1547497058711906</v>
      </c>
      <c r="AE430" s="113"/>
      <c r="AI430" s="548">
        <v>400</v>
      </c>
      <c r="AM430" s="673">
        <v>7.8778049999999995</v>
      </c>
      <c r="AN430" s="557"/>
      <c r="AO430" s="557" t="s">
        <v>304</v>
      </c>
      <c r="AP430" s="557"/>
      <c r="AQ430" s="658">
        <f t="shared" si="40"/>
        <v>-7.8778049999999995</v>
      </c>
      <c r="AR430" s="299">
        <v>44483</v>
      </c>
      <c r="AS430" s="649"/>
    </row>
    <row r="431" spans="20:50" x14ac:dyDescent="0.35">
      <c r="T431" s="113"/>
      <c r="U431" s="674">
        <f t="shared" si="47"/>
        <v>44484</v>
      </c>
      <c r="V431" s="286">
        <v>26.349</v>
      </c>
      <c r="W431" s="286">
        <v>28.336500000000001</v>
      </c>
      <c r="X431" s="661"/>
      <c r="Y431" s="568">
        <f t="shared" si="45"/>
        <v>26.349</v>
      </c>
      <c r="Z431" s="559">
        <f t="shared" si="42"/>
        <v>26.349</v>
      </c>
      <c r="AB431" s="649">
        <f t="shared" si="46"/>
        <v>44484</v>
      </c>
      <c r="AC431" s="286">
        <v>30.426500000000001</v>
      </c>
      <c r="AD431" s="668">
        <f>AC431/V431</f>
        <v>1.1547497058711906</v>
      </c>
      <c r="AE431" s="113"/>
      <c r="AI431" s="548">
        <v>400</v>
      </c>
      <c r="AM431" s="673"/>
      <c r="AN431" s="557"/>
      <c r="AO431" s="557" t="s">
        <v>304</v>
      </c>
      <c r="AP431" s="557"/>
      <c r="AQ431" s="658">
        <f t="shared" si="40"/>
        <v>0</v>
      </c>
      <c r="AR431" s="299">
        <v>44484</v>
      </c>
      <c r="AS431" s="649"/>
    </row>
    <row r="432" spans="20:50" x14ac:dyDescent="0.35">
      <c r="T432" s="113"/>
      <c r="U432" s="674">
        <f t="shared" si="47"/>
        <v>44487</v>
      </c>
      <c r="V432" s="286">
        <v>26.341899999999999</v>
      </c>
      <c r="W432" s="286">
        <v>28.376200000000001</v>
      </c>
      <c r="X432" s="661"/>
      <c r="Y432" s="568">
        <f t="shared" si="45"/>
        <v>26.341899999999999</v>
      </c>
      <c r="Z432" s="559">
        <f>((IF(Y432/Y431&gt;1,Y432*1.002,Y432/1.001))*2+V431)/3</f>
        <v>26.326722943722945</v>
      </c>
      <c r="AB432" s="649">
        <f t="shared" si="46"/>
        <v>44487</v>
      </c>
      <c r="AC432" s="286">
        <v>30.446000000000002</v>
      </c>
      <c r="AD432" s="668">
        <f t="shared" ref="AD432:AD459" si="48">AC432/V432</f>
        <v>1.1558012140354341</v>
      </c>
      <c r="AE432" s="113"/>
      <c r="AI432" s="548">
        <v>400</v>
      </c>
      <c r="AM432" s="673"/>
      <c r="AN432" s="557"/>
      <c r="AO432" s="557" t="s">
        <v>304</v>
      </c>
      <c r="AP432" s="557"/>
      <c r="AQ432" s="658">
        <f t="shared" ref="AQ432:AQ441" si="49">-AM432+AN432+(AP432*3)</f>
        <v>0</v>
      </c>
      <c r="AR432" s="299">
        <v>44487</v>
      </c>
      <c r="AS432" s="649"/>
    </row>
    <row r="433" spans="20:50" x14ac:dyDescent="0.35">
      <c r="T433" s="113"/>
      <c r="U433" s="674">
        <f t="shared" si="47"/>
        <v>44488</v>
      </c>
      <c r="V433" s="286">
        <v>26.335599999999999</v>
      </c>
      <c r="W433" s="286">
        <v>28.370699999999999</v>
      </c>
      <c r="X433" s="661"/>
      <c r="Y433" s="568">
        <f t="shared" si="45"/>
        <v>26.335599999999999</v>
      </c>
      <c r="Z433" s="559">
        <f t="shared" ref="Z433:Z496" si="50">((IF(Y433/Y432&gt;1,Y433*1.002,Y433/1.001))*2+V432)/3</f>
        <v>26.320160472860476</v>
      </c>
      <c r="AB433" s="649">
        <f t="shared" si="46"/>
        <v>44488</v>
      </c>
      <c r="AC433" s="286">
        <v>30.5611</v>
      </c>
      <c r="AD433" s="668">
        <f t="shared" si="48"/>
        <v>1.1604482145840611</v>
      </c>
      <c r="AE433" s="113"/>
      <c r="AI433" s="548">
        <v>400</v>
      </c>
      <c r="AM433" s="673"/>
      <c r="AN433" s="557"/>
      <c r="AO433" s="557" t="s">
        <v>304</v>
      </c>
      <c r="AP433" s="557"/>
      <c r="AQ433" s="658">
        <f t="shared" si="49"/>
        <v>0</v>
      </c>
      <c r="AR433" s="299">
        <v>44488</v>
      </c>
      <c r="AS433" s="649"/>
    </row>
    <row r="434" spans="20:50" x14ac:dyDescent="0.35">
      <c r="T434" s="113"/>
      <c r="U434" s="674">
        <f t="shared" si="47"/>
        <v>44489</v>
      </c>
      <c r="V434" s="286">
        <v>26.271999999999998</v>
      </c>
      <c r="W434" s="286">
        <v>28.265000000000001</v>
      </c>
      <c r="X434" s="661"/>
      <c r="Y434" s="568">
        <f t="shared" si="45"/>
        <v>26.29299859645517</v>
      </c>
      <c r="Z434" s="559">
        <f t="shared" si="50"/>
        <v>26.289687909727053</v>
      </c>
      <c r="AB434" s="649">
        <f t="shared" si="46"/>
        <v>44489</v>
      </c>
      <c r="AC434" s="286">
        <v>30.605599999999999</v>
      </c>
      <c r="AD434" s="668">
        <f t="shared" si="48"/>
        <v>1.1649512789281364</v>
      </c>
      <c r="AE434" s="113"/>
      <c r="AI434" s="548">
        <v>400</v>
      </c>
      <c r="AM434" s="673"/>
      <c r="AN434" s="557"/>
      <c r="AO434" s="557">
        <v>51.012500097206654</v>
      </c>
      <c r="AP434" s="679">
        <f>AO434*$BF$4</f>
        <v>5.3285110777438804</v>
      </c>
      <c r="AQ434" s="658">
        <f t="shared" si="49"/>
        <v>15.985533233231642</v>
      </c>
      <c r="AR434" s="299">
        <v>44489</v>
      </c>
      <c r="AS434" s="649"/>
    </row>
    <row r="435" spans="20:50" x14ac:dyDescent="0.35">
      <c r="T435" s="113"/>
      <c r="U435" s="674">
        <f t="shared" si="47"/>
        <v>44490</v>
      </c>
      <c r="V435" s="286">
        <v>26.207799999999999</v>
      </c>
      <c r="W435" s="286">
        <v>28.3352</v>
      </c>
      <c r="X435" s="661"/>
      <c r="Y435" s="568">
        <f t="shared" si="45"/>
        <v>27.089589722320099</v>
      </c>
      <c r="Z435" s="559">
        <v>26.4</v>
      </c>
      <c r="AB435" s="649">
        <f t="shared" si="46"/>
        <v>44490</v>
      </c>
      <c r="AC435" s="286">
        <v>30.483599999999999</v>
      </c>
      <c r="AD435" s="668">
        <f t="shared" si="48"/>
        <v>1.163149901937591</v>
      </c>
      <c r="AE435" s="113"/>
      <c r="AI435" s="548">
        <v>400</v>
      </c>
      <c r="AM435" s="673">
        <v>672.92159000000004</v>
      </c>
      <c r="AN435" s="557"/>
      <c r="AO435" s="557" t="s">
        <v>304</v>
      </c>
      <c r="AP435" s="557"/>
      <c r="AQ435" s="658">
        <f>AM435+AN435+(AP435*3)</f>
        <v>672.92159000000004</v>
      </c>
      <c r="AR435" s="299">
        <v>44490</v>
      </c>
      <c r="AS435" s="649"/>
    </row>
    <row r="436" spans="20:50" x14ac:dyDescent="0.35">
      <c r="T436" s="113"/>
      <c r="U436" s="674">
        <f t="shared" si="47"/>
        <v>44491</v>
      </c>
      <c r="V436" s="286">
        <v>26.201599999999999</v>
      </c>
      <c r="W436" s="286">
        <v>28.365500000000001</v>
      </c>
      <c r="X436" s="661"/>
      <c r="Y436" s="568">
        <f t="shared" si="45"/>
        <v>26.202571964295085</v>
      </c>
      <c r="Z436" s="559">
        <v>26.38</v>
      </c>
      <c r="AB436" s="649">
        <f t="shared" si="46"/>
        <v>44491</v>
      </c>
      <c r="AC436" s="286">
        <v>30.493400000000001</v>
      </c>
      <c r="AD436" s="668">
        <f t="shared" si="48"/>
        <v>1.1637991573033708</v>
      </c>
      <c r="AE436" s="113"/>
      <c r="AI436" s="548">
        <v>400</v>
      </c>
      <c r="AM436" s="673"/>
      <c r="AN436" s="557"/>
      <c r="AO436" s="557">
        <v>2.367565352322103</v>
      </c>
      <c r="AP436" s="679">
        <f>AO436*$BF$4</f>
        <v>0.24730405651735002</v>
      </c>
      <c r="AQ436" s="658">
        <f t="shared" si="49"/>
        <v>0.74191216955205008</v>
      </c>
      <c r="AR436" s="299">
        <v>44491</v>
      </c>
      <c r="AS436" s="649"/>
    </row>
    <row r="437" spans="20:50" x14ac:dyDescent="0.35">
      <c r="T437" s="113"/>
      <c r="U437" s="674">
        <f t="shared" si="47"/>
        <v>44494</v>
      </c>
      <c r="V437" s="286">
        <v>26.291799999999999</v>
      </c>
      <c r="W437" s="286">
        <v>28.398900000000001</v>
      </c>
      <c r="X437" s="661"/>
      <c r="Y437" s="568">
        <f t="shared" si="45"/>
        <v>26.291799999999999</v>
      </c>
      <c r="Z437" s="559">
        <f t="shared" si="50"/>
        <v>26.296789066666662</v>
      </c>
      <c r="AB437" s="649">
        <f t="shared" si="46"/>
        <v>44494</v>
      </c>
      <c r="AC437" s="286">
        <v>30.577400000000001</v>
      </c>
      <c r="AD437" s="668">
        <f t="shared" si="48"/>
        <v>1.1630013920690101</v>
      </c>
      <c r="AE437" s="113"/>
      <c r="AI437" s="548">
        <v>400</v>
      </c>
      <c r="AM437" s="673"/>
      <c r="AN437" s="557"/>
      <c r="AO437" s="557" t="s">
        <v>304</v>
      </c>
      <c r="AP437" s="557"/>
      <c r="AQ437" s="658">
        <f t="shared" si="49"/>
        <v>0</v>
      </c>
      <c r="AR437" s="299">
        <v>44494</v>
      </c>
      <c r="AS437" s="649"/>
    </row>
    <row r="438" spans="20:50" x14ac:dyDescent="0.35">
      <c r="T438" s="113"/>
      <c r="U438" s="674">
        <f t="shared" si="47"/>
        <v>44495</v>
      </c>
      <c r="V438" s="286">
        <v>26.350899999999999</v>
      </c>
      <c r="W438" s="286">
        <v>28.438300000000002</v>
      </c>
      <c r="X438" s="661"/>
      <c r="Y438" s="568">
        <f t="shared" si="45"/>
        <v>26.350899999999999</v>
      </c>
      <c r="Z438" s="559">
        <f t="shared" si="50"/>
        <v>26.366334533333333</v>
      </c>
      <c r="AB438" s="649">
        <f t="shared" si="46"/>
        <v>44495</v>
      </c>
      <c r="AC438" s="286">
        <v>30.5749</v>
      </c>
      <c r="AD438" s="668">
        <f t="shared" si="48"/>
        <v>1.1602981302346409</v>
      </c>
      <c r="AE438" s="113"/>
      <c r="AI438" s="548">
        <v>400</v>
      </c>
      <c r="AM438" s="673"/>
      <c r="AN438" s="557"/>
      <c r="AO438" s="557" t="s">
        <v>304</v>
      </c>
      <c r="AP438" s="557"/>
      <c r="AQ438" s="658">
        <f t="shared" si="49"/>
        <v>0</v>
      </c>
      <c r="AR438" s="299">
        <v>44495</v>
      </c>
      <c r="AS438" s="649"/>
    </row>
    <row r="439" spans="20:50" x14ac:dyDescent="0.35">
      <c r="T439" s="113"/>
      <c r="U439" s="674">
        <f t="shared" si="47"/>
        <v>44496</v>
      </c>
      <c r="V439" s="286">
        <v>26.419</v>
      </c>
      <c r="W439" s="286">
        <v>28.438300000000002</v>
      </c>
      <c r="X439" s="661"/>
      <c r="Y439" s="568">
        <f t="shared" si="45"/>
        <v>26.627829324923393</v>
      </c>
      <c r="Z439" s="559">
        <f>((IF(Y439/Y438&gt;1,Y439*1.002,Y439/1.001))*2+V438)/3-0.1</f>
        <v>26.471023322382159</v>
      </c>
      <c r="AB439" s="649">
        <f t="shared" si="46"/>
        <v>44496</v>
      </c>
      <c r="AC439" s="286">
        <v>30.679099999999998</v>
      </c>
      <c r="AD439" s="668">
        <f t="shared" si="48"/>
        <v>1.1612513721185509</v>
      </c>
      <c r="AE439" s="113"/>
      <c r="AI439" s="548">
        <v>400</v>
      </c>
      <c r="AM439" s="673"/>
      <c r="AN439" s="557"/>
      <c r="AO439" s="557">
        <v>504.49235133854967</v>
      </c>
      <c r="AP439" s="679">
        <f>AO439*$BF$4</f>
        <v>52.696752318001366</v>
      </c>
      <c r="AQ439" s="658">
        <f t="shared" si="49"/>
        <v>158.0902569540041</v>
      </c>
      <c r="AR439" s="299">
        <v>44496</v>
      </c>
      <c r="AS439" s="649"/>
    </row>
    <row r="440" spans="20:50" x14ac:dyDescent="0.35">
      <c r="T440" s="113"/>
      <c r="U440" s="674">
        <f t="shared" si="47"/>
        <v>44497</v>
      </c>
      <c r="V440" s="286">
        <v>26.371200000000002</v>
      </c>
      <c r="W440" s="643">
        <v>28.450700000000001</v>
      </c>
      <c r="X440" s="665"/>
      <c r="Y440" s="568">
        <f t="shared" si="45"/>
        <v>26.371200000000002</v>
      </c>
      <c r="Z440" s="559">
        <v>26.47</v>
      </c>
      <c r="AB440" s="649">
        <f t="shared" si="46"/>
        <v>44497</v>
      </c>
      <c r="AC440" s="286">
        <v>30.6447</v>
      </c>
      <c r="AD440" s="668">
        <f t="shared" si="48"/>
        <v>1.1620517837641062</v>
      </c>
      <c r="AE440" s="113"/>
      <c r="AI440" s="548">
        <v>450</v>
      </c>
      <c r="AM440" s="673"/>
      <c r="AN440" s="557"/>
      <c r="AO440" s="557" t="s">
        <v>304</v>
      </c>
      <c r="AP440" s="557"/>
      <c r="AQ440" s="658">
        <f t="shared" si="49"/>
        <v>0</v>
      </c>
      <c r="AR440" s="299">
        <v>44497</v>
      </c>
      <c r="AS440" s="649"/>
    </row>
    <row r="441" spans="20:50" x14ac:dyDescent="0.35">
      <c r="T441" s="113"/>
      <c r="U441" s="674">
        <f t="shared" si="47"/>
        <v>44498</v>
      </c>
      <c r="V441" s="286">
        <v>26.326499999999999</v>
      </c>
      <c r="W441" s="643">
        <v>28.582699999999999</v>
      </c>
      <c r="X441" s="665"/>
      <c r="Y441" s="568">
        <f t="shared" si="45"/>
        <v>26.326499999999999</v>
      </c>
      <c r="Z441" s="559">
        <f t="shared" si="50"/>
        <v>26.323866533466532</v>
      </c>
      <c r="AB441" s="649">
        <f t="shared" si="46"/>
        <v>44498</v>
      </c>
      <c r="AC441" s="286">
        <v>30.5032</v>
      </c>
      <c r="AD441" s="668">
        <f t="shared" si="48"/>
        <v>1.1586500294380186</v>
      </c>
      <c r="AE441" s="113"/>
      <c r="AI441" s="548">
        <v>450</v>
      </c>
      <c r="AM441" s="673"/>
      <c r="AN441" s="557"/>
      <c r="AO441" s="557"/>
      <c r="AP441" s="557"/>
      <c r="AQ441" s="966">
        <f t="shared" si="49"/>
        <v>0</v>
      </c>
      <c r="AR441" s="967">
        <v>44498</v>
      </c>
      <c r="AS441" s="649"/>
    </row>
    <row r="442" spans="20:50" x14ac:dyDescent="0.35">
      <c r="T442" s="113"/>
      <c r="U442" s="674">
        <f t="shared" si="47"/>
        <v>44501</v>
      </c>
      <c r="V442" s="981">
        <v>26.276700000000002</v>
      </c>
      <c r="W442" s="643">
        <v>28.6</v>
      </c>
      <c r="X442" s="665"/>
      <c r="Y442" s="568">
        <f>V442*(((AQ442/AI442)*0.02)+1)</f>
        <v>26.436564210695828</v>
      </c>
      <c r="Z442" s="559">
        <v>26.35</v>
      </c>
      <c r="AB442" s="649">
        <f t="shared" si="46"/>
        <v>44501</v>
      </c>
      <c r="AC442" s="286">
        <v>30.595300000000002</v>
      </c>
      <c r="AD442" s="668">
        <f t="shared" si="48"/>
        <v>1.1643509268667678</v>
      </c>
      <c r="AE442" s="113"/>
      <c r="AI442" s="548">
        <v>450</v>
      </c>
      <c r="AM442" s="675"/>
      <c r="AN442" s="675">
        <v>136.88723243999999</v>
      </c>
      <c r="AO442" s="675"/>
      <c r="AP442" s="672"/>
      <c r="AQ442" s="280">
        <f>-AM442+AN442+(AP442*3)</f>
        <v>136.88723243999999</v>
      </c>
      <c r="AR442" s="281">
        <v>44501</v>
      </c>
      <c r="AS442" s="649"/>
      <c r="AT442" s="965"/>
      <c r="AW442" s="557"/>
      <c r="AX442" s="557"/>
    </row>
    <row r="443" spans="20:50" x14ac:dyDescent="0.35">
      <c r="T443" s="113"/>
      <c r="U443" s="674">
        <f>AR443</f>
        <v>44502</v>
      </c>
      <c r="V443" s="981">
        <v>26.293299999999999</v>
      </c>
      <c r="W443" s="643">
        <v>28.507400000000001</v>
      </c>
      <c r="X443" s="665"/>
      <c r="Y443" s="640">
        <f>V443</f>
        <v>26.293299999999999</v>
      </c>
      <c r="Z443" s="559">
        <f t="shared" si="50"/>
        <v>26.270255311355314</v>
      </c>
      <c r="AB443" s="649">
        <f t="shared" si="46"/>
        <v>44502</v>
      </c>
      <c r="AC443" s="286">
        <v>30.4358</v>
      </c>
      <c r="AD443" s="668">
        <f t="shared" si="48"/>
        <v>1.1575496419239883</v>
      </c>
      <c r="AI443" s="548">
        <v>450</v>
      </c>
      <c r="AM443" s="557"/>
      <c r="AN443" s="557"/>
      <c r="AO443" s="557"/>
      <c r="AQ443" s="280">
        <f t="shared" ref="AQ443:AQ506" si="51">-AM443+AN443+(AP443*3)</f>
        <v>0</v>
      </c>
      <c r="AR443" s="299">
        <v>44502</v>
      </c>
      <c r="AS443" s="649"/>
      <c r="AT443" s="557"/>
    </row>
    <row r="444" spans="20:50" x14ac:dyDescent="0.35">
      <c r="T444" s="113"/>
      <c r="U444" s="674">
        <f>AR444</f>
        <v>44503</v>
      </c>
      <c r="V444" s="981">
        <v>26.290400000000002</v>
      </c>
      <c r="W444" s="643">
        <v>28.3643</v>
      </c>
      <c r="X444" s="665"/>
      <c r="Y444" s="640">
        <f t="shared" ref="Y444:Y480" si="52">V444</f>
        <v>26.290400000000002</v>
      </c>
      <c r="Z444" s="559">
        <f t="shared" si="50"/>
        <v>26.273857242757245</v>
      </c>
      <c r="AB444" s="649">
        <f t="shared" si="46"/>
        <v>44503</v>
      </c>
      <c r="AC444" s="286">
        <v>30.490300000000001</v>
      </c>
      <c r="AD444" s="668">
        <f t="shared" si="48"/>
        <v>1.1597503271156011</v>
      </c>
      <c r="AI444" s="548">
        <v>450</v>
      </c>
      <c r="AM444" s="557"/>
      <c r="AN444" s="557"/>
      <c r="AO444" s="557">
        <v>4.2425899642821001</v>
      </c>
      <c r="AP444" s="284">
        <f>AO444*$BF$4</f>
        <v>0.44315976633029364</v>
      </c>
      <c r="AQ444" s="280">
        <f t="shared" si="51"/>
        <v>1.329479298990881</v>
      </c>
      <c r="AR444" s="299">
        <v>44503</v>
      </c>
      <c r="AS444" s="649"/>
      <c r="AT444" s="964"/>
    </row>
    <row r="445" spans="20:50" x14ac:dyDescent="0.35">
      <c r="T445" s="113"/>
      <c r="U445" s="674">
        <f t="shared" ref="U445:U508" si="53">AR445</f>
        <v>44504</v>
      </c>
      <c r="V445" s="981">
        <v>26.243099999999998</v>
      </c>
      <c r="W445" s="643">
        <v>28.137499999999999</v>
      </c>
      <c r="X445" s="665"/>
      <c r="Y445" s="640">
        <f t="shared" si="52"/>
        <v>26.243099999999998</v>
      </c>
      <c r="Z445" s="559">
        <f t="shared" si="50"/>
        <v>26.241388744588747</v>
      </c>
      <c r="AB445" s="649">
        <f t="shared" si="46"/>
        <v>44504</v>
      </c>
      <c r="AC445" s="286">
        <v>30.364599999999999</v>
      </c>
      <c r="AD445" s="668">
        <f t="shared" si="48"/>
        <v>1.157050805735603</v>
      </c>
      <c r="AI445" s="548">
        <v>450</v>
      </c>
      <c r="AM445" s="557">
        <v>248.27956395000001</v>
      </c>
      <c r="AN445" s="557"/>
      <c r="AO445" s="557"/>
      <c r="AQ445" s="280">
        <f t="shared" si="51"/>
        <v>-248.27956395000001</v>
      </c>
      <c r="AR445" s="299">
        <v>44504</v>
      </c>
      <c r="AS445" s="649"/>
      <c r="AT445" s="964"/>
    </row>
    <row r="446" spans="20:50" x14ac:dyDescent="0.35">
      <c r="T446" s="113"/>
      <c r="U446" s="674">
        <f t="shared" si="53"/>
        <v>44505</v>
      </c>
      <c r="V446" s="981">
        <v>26.19</v>
      </c>
      <c r="W446" s="643">
        <v>28.111599999999999</v>
      </c>
      <c r="X446" s="665"/>
      <c r="Y446" s="640">
        <f t="shared" si="52"/>
        <v>26.19</v>
      </c>
      <c r="Z446" s="559">
        <f t="shared" si="50"/>
        <v>26.190257442557442</v>
      </c>
      <c r="AB446" s="649">
        <f t="shared" si="46"/>
        <v>44505</v>
      </c>
      <c r="AC446" s="286">
        <v>30.284800000000001</v>
      </c>
      <c r="AD446" s="668">
        <f t="shared" si="48"/>
        <v>1.1563497518136694</v>
      </c>
      <c r="AI446" s="548">
        <v>450</v>
      </c>
      <c r="AM446" s="557"/>
      <c r="AN446" s="557"/>
      <c r="AO446" s="557">
        <v>7.7224922583</v>
      </c>
      <c r="AP446" s="284">
        <f>AO446*$BF$4</f>
        <v>0.80665298638041394</v>
      </c>
      <c r="AQ446" s="280">
        <f t="shared" si="51"/>
        <v>2.4199589591412418</v>
      </c>
      <c r="AR446" s="299">
        <v>44505</v>
      </c>
      <c r="AS446" s="649"/>
      <c r="AT446" s="964"/>
    </row>
    <row r="447" spans="20:50" x14ac:dyDescent="0.35">
      <c r="T447" s="113"/>
      <c r="U447" s="674">
        <f t="shared" si="53"/>
        <v>44508</v>
      </c>
      <c r="V447" s="981">
        <v>26.102</v>
      </c>
      <c r="W447" s="643">
        <v>28.1206</v>
      </c>
      <c r="X447" s="665"/>
      <c r="Y447" s="640">
        <f t="shared" si="52"/>
        <v>26.102</v>
      </c>
      <c r="Z447" s="559">
        <f t="shared" si="50"/>
        <v>26.113949383949386</v>
      </c>
      <c r="AB447" s="649">
        <f t="shared" si="46"/>
        <v>44508</v>
      </c>
      <c r="AC447" s="286">
        <v>30.096900000000002</v>
      </c>
      <c r="AD447" s="668">
        <f t="shared" si="48"/>
        <v>1.1530495747452303</v>
      </c>
      <c r="AI447" s="548">
        <v>450</v>
      </c>
      <c r="AM447" s="557"/>
      <c r="AN447" s="557"/>
      <c r="AO447" s="557"/>
      <c r="AQ447" s="280">
        <f t="shared" si="51"/>
        <v>0</v>
      </c>
      <c r="AR447" s="299">
        <v>44508</v>
      </c>
      <c r="AS447" s="649"/>
      <c r="AT447" s="964"/>
    </row>
    <row r="448" spans="20:50" x14ac:dyDescent="0.35">
      <c r="T448" s="113"/>
      <c r="U448" s="674">
        <f t="shared" si="53"/>
        <v>44509</v>
      </c>
      <c r="V448" s="981">
        <v>26.0806</v>
      </c>
      <c r="W448" s="643">
        <v>28.161000000000001</v>
      </c>
      <c r="X448" s="665"/>
      <c r="Y448" s="640">
        <f t="shared" si="52"/>
        <v>26.0806</v>
      </c>
      <c r="Z448" s="559">
        <f t="shared" si="50"/>
        <v>26.070363636363638</v>
      </c>
      <c r="AB448" s="649">
        <f t="shared" si="46"/>
        <v>44509</v>
      </c>
      <c r="AC448" s="286">
        <v>30.2026</v>
      </c>
      <c r="AD448" s="668">
        <f t="shared" si="48"/>
        <v>1.1580485111538845</v>
      </c>
      <c r="AI448" s="548">
        <v>450</v>
      </c>
      <c r="AM448" s="557"/>
      <c r="AN448" s="557"/>
      <c r="AO448" s="557"/>
      <c r="AQ448" s="280">
        <f t="shared" si="51"/>
        <v>0</v>
      </c>
      <c r="AR448" s="299">
        <v>44509</v>
      </c>
      <c r="AS448" s="649"/>
      <c r="AT448" s="964"/>
    </row>
    <row r="449" spans="20:46" x14ac:dyDescent="0.35">
      <c r="T449" s="113"/>
      <c r="U449" s="674">
        <f t="shared" si="53"/>
        <v>44510</v>
      </c>
      <c r="V449" s="981">
        <v>26.092700000000001</v>
      </c>
      <c r="W449" s="643">
        <v>28.196300000000001</v>
      </c>
      <c r="X449" s="665"/>
      <c r="Y449" s="640">
        <f t="shared" si="52"/>
        <v>26.092700000000001</v>
      </c>
      <c r="Z449" s="559">
        <f t="shared" si="50"/>
        <v>26.123456933333333</v>
      </c>
      <c r="AB449" s="649">
        <f t="shared" si="46"/>
        <v>44510</v>
      </c>
      <c r="AC449" s="286">
        <v>30.2075</v>
      </c>
      <c r="AD449" s="668">
        <f t="shared" si="48"/>
        <v>1.1576992798752141</v>
      </c>
      <c r="AI449" s="548">
        <v>450</v>
      </c>
      <c r="AM449" s="557"/>
      <c r="AN449" s="557"/>
      <c r="AO449" s="557">
        <v>31.859388443364999</v>
      </c>
      <c r="AP449" s="284">
        <f>AO449*$BF$4</f>
        <v>3.3278726572335091</v>
      </c>
      <c r="AQ449" s="280">
        <f t="shared" si="51"/>
        <v>9.9836179717005269</v>
      </c>
      <c r="AR449" s="299">
        <v>44510</v>
      </c>
      <c r="AS449" s="649"/>
      <c r="AT449" s="964"/>
    </row>
    <row r="450" spans="20:46" x14ac:dyDescent="0.35">
      <c r="T450" s="113"/>
      <c r="U450" s="674">
        <f t="shared" si="53"/>
        <v>44511</v>
      </c>
      <c r="V450" s="981">
        <v>26.057500000000001</v>
      </c>
      <c r="W450" s="643">
        <v>28.1158</v>
      </c>
      <c r="X450" s="665"/>
      <c r="Y450" s="640">
        <f t="shared" si="52"/>
        <v>26.057500000000001</v>
      </c>
      <c r="Z450" s="559">
        <f t="shared" si="50"/>
        <v>26.051879020979026</v>
      </c>
      <c r="AB450" s="649">
        <f t="shared" si="46"/>
        <v>44511</v>
      </c>
      <c r="AC450" s="286">
        <v>30.118600000000001</v>
      </c>
      <c r="AD450" s="668">
        <f t="shared" si="48"/>
        <v>1.1558514822987624</v>
      </c>
      <c r="AI450" s="548">
        <v>450</v>
      </c>
      <c r="AM450" s="557"/>
      <c r="AN450" s="557"/>
      <c r="AO450" s="557"/>
      <c r="AQ450" s="280">
        <f t="shared" si="51"/>
        <v>0</v>
      </c>
      <c r="AR450" s="299">
        <v>44511</v>
      </c>
      <c r="AS450" s="649"/>
      <c r="AT450" s="964"/>
    </row>
    <row r="451" spans="20:46" x14ac:dyDescent="0.35">
      <c r="T451" s="113"/>
      <c r="U451" s="674">
        <f t="shared" si="53"/>
        <v>44512</v>
      </c>
      <c r="V451" s="981">
        <v>26.1022</v>
      </c>
      <c r="W451" s="286">
        <v>28.1067</v>
      </c>
      <c r="X451" s="661"/>
      <c r="Y451" s="640">
        <f t="shared" si="52"/>
        <v>26.1022</v>
      </c>
      <c r="Z451" s="559">
        <f t="shared" si="50"/>
        <v>26.122102933333334</v>
      </c>
      <c r="AB451" s="649">
        <f t="shared" si="46"/>
        <v>44512</v>
      </c>
      <c r="AC451" s="286">
        <v>29.914400000000001</v>
      </c>
      <c r="AD451" s="668">
        <f t="shared" si="48"/>
        <v>1.1460489920389851</v>
      </c>
      <c r="AI451" s="548">
        <v>450</v>
      </c>
      <c r="AM451" s="557"/>
      <c r="AN451" s="557"/>
      <c r="AO451" s="557"/>
      <c r="AQ451" s="280">
        <f t="shared" si="51"/>
        <v>0</v>
      </c>
      <c r="AR451" s="299">
        <v>44512</v>
      </c>
      <c r="AS451" s="649"/>
      <c r="AT451" s="964"/>
    </row>
    <row r="452" spans="20:46" x14ac:dyDescent="0.35">
      <c r="T452" s="113"/>
      <c r="U452" s="674">
        <f t="shared" si="53"/>
        <v>44513</v>
      </c>
      <c r="V452" s="981">
        <v>26.1022</v>
      </c>
      <c r="W452" s="286">
        <v>28.13</v>
      </c>
      <c r="X452" s="661"/>
      <c r="Y452" s="640">
        <f t="shared" si="52"/>
        <v>26.1022</v>
      </c>
      <c r="Z452" s="559">
        <f t="shared" si="50"/>
        <v>26.08481591741592</v>
      </c>
      <c r="AB452" s="649">
        <f t="shared" si="46"/>
        <v>44513</v>
      </c>
      <c r="AC452" s="286">
        <v>29.914400000000001</v>
      </c>
      <c r="AD452" s="668">
        <f t="shared" si="48"/>
        <v>1.1460489920389851</v>
      </c>
      <c r="AI452" s="548">
        <v>450</v>
      </c>
      <c r="AM452" s="557"/>
      <c r="AN452" s="557"/>
      <c r="AO452" s="557">
        <v>5.3697884553178898</v>
      </c>
      <c r="AP452" s="284">
        <f>AO452*$BF$4</f>
        <v>0.56090129311010506</v>
      </c>
      <c r="AQ452" s="280">
        <f t="shared" si="51"/>
        <v>1.6827038793303153</v>
      </c>
      <c r="AR452" s="299">
        <v>44513</v>
      </c>
      <c r="AS452" s="649"/>
      <c r="AT452" s="964"/>
    </row>
    <row r="453" spans="20:46" x14ac:dyDescent="0.35">
      <c r="T453" s="113"/>
      <c r="U453" s="674">
        <f t="shared" si="53"/>
        <v>44515</v>
      </c>
      <c r="V453" s="981">
        <v>26.110700000000001</v>
      </c>
      <c r="W453" s="286">
        <v>28.257200000000001</v>
      </c>
      <c r="X453" s="661"/>
      <c r="Y453" s="640">
        <f t="shared" si="52"/>
        <v>26.110700000000001</v>
      </c>
      <c r="Z453" s="559">
        <f t="shared" si="50"/>
        <v>26.142680933333335</v>
      </c>
      <c r="AB453" s="649">
        <f t="shared" si="46"/>
        <v>44515</v>
      </c>
      <c r="AC453" s="286">
        <v>29.900700000000001</v>
      </c>
      <c r="AD453" s="668">
        <f t="shared" si="48"/>
        <v>1.1451512215298709</v>
      </c>
      <c r="AI453" s="548">
        <v>450</v>
      </c>
      <c r="AM453" s="557"/>
      <c r="AN453" s="557"/>
      <c r="AO453" s="557">
        <v>16.415395787654973</v>
      </c>
      <c r="AP453" s="284">
        <f>AO453*$BF$4</f>
        <v>1.7146702893093337</v>
      </c>
      <c r="AQ453" s="280">
        <f t="shared" si="51"/>
        <v>5.1440108679280012</v>
      </c>
      <c r="AR453" s="299">
        <v>44515</v>
      </c>
      <c r="AS453" s="649"/>
      <c r="AT453" s="964"/>
    </row>
    <row r="454" spans="20:46" x14ac:dyDescent="0.35">
      <c r="T454" s="113"/>
      <c r="U454" s="674">
        <f t="shared" si="53"/>
        <v>44516</v>
      </c>
      <c r="V454" s="981">
        <v>26.3371</v>
      </c>
      <c r="W454" s="286">
        <v>28.3553</v>
      </c>
      <c r="X454" s="661"/>
      <c r="Y454" s="640">
        <f t="shared" si="52"/>
        <v>26.3371</v>
      </c>
      <c r="Z454" s="559">
        <f t="shared" si="50"/>
        <v>26.296749466666665</v>
      </c>
      <c r="AB454" s="649">
        <f t="shared" si="46"/>
        <v>44516</v>
      </c>
      <c r="AC454" s="286">
        <v>30.146799999999999</v>
      </c>
      <c r="AD454" s="668">
        <f t="shared" si="48"/>
        <v>1.1446514612466825</v>
      </c>
      <c r="AI454" s="548">
        <v>450</v>
      </c>
      <c r="AM454" s="557"/>
      <c r="AN454" s="557"/>
      <c r="AO454" s="557"/>
      <c r="AQ454" s="280">
        <f t="shared" si="51"/>
        <v>0</v>
      </c>
      <c r="AR454" s="299">
        <v>44516</v>
      </c>
      <c r="AS454" s="649"/>
      <c r="AT454" s="964"/>
    </row>
    <row r="455" spans="20:46" x14ac:dyDescent="0.35">
      <c r="T455" s="113"/>
      <c r="U455" s="674">
        <f t="shared" si="53"/>
        <v>44517</v>
      </c>
      <c r="V455" s="981">
        <v>26.4133</v>
      </c>
      <c r="W455" s="286">
        <v>28.369399999999999</v>
      </c>
      <c r="X455" s="661"/>
      <c r="Y455" s="640">
        <f t="shared" si="52"/>
        <v>26.4133</v>
      </c>
      <c r="Z455" s="559">
        <f t="shared" si="50"/>
        <v>26.423117733333331</v>
      </c>
      <c r="AB455" s="649">
        <f t="shared" si="46"/>
        <v>44517</v>
      </c>
      <c r="AC455" s="286">
        <v>30.026599999999998</v>
      </c>
      <c r="AD455" s="668">
        <f t="shared" si="48"/>
        <v>1.1367985068128557</v>
      </c>
      <c r="AI455" s="548">
        <v>450</v>
      </c>
      <c r="AM455" s="557"/>
      <c r="AN455" s="557"/>
      <c r="AO455" s="557">
        <v>524.73476441467005</v>
      </c>
      <c r="AP455" s="284">
        <f>AO455*$BF$4</f>
        <v>54.811173726692161</v>
      </c>
      <c r="AQ455" s="280">
        <f t="shared" si="51"/>
        <v>164.43352118007647</v>
      </c>
      <c r="AR455" s="299">
        <v>44517</v>
      </c>
      <c r="AS455" s="649"/>
      <c r="AT455" s="964"/>
    </row>
    <row r="456" spans="20:46" x14ac:dyDescent="0.35">
      <c r="T456" s="113"/>
      <c r="U456" s="674">
        <f t="shared" si="53"/>
        <v>44518</v>
      </c>
      <c r="V456" s="981">
        <v>26.514700000000001</v>
      </c>
      <c r="W456" s="286">
        <v>28.374099999999999</v>
      </c>
      <c r="X456" s="661"/>
      <c r="Y456" s="640">
        <f t="shared" si="52"/>
        <v>26.514700000000001</v>
      </c>
      <c r="Z456" s="559">
        <f t="shared" si="50"/>
        <v>26.516252933333334</v>
      </c>
      <c r="AB456" s="649">
        <f t="shared" si="46"/>
        <v>44518</v>
      </c>
      <c r="AC456" s="286">
        <v>29.997399999999999</v>
      </c>
      <c r="AD456" s="668">
        <f t="shared" si="48"/>
        <v>1.1313497795562462</v>
      </c>
      <c r="AI456" s="548">
        <v>450</v>
      </c>
      <c r="AM456" s="557"/>
      <c r="AN456" s="557"/>
      <c r="AO456" s="557">
        <v>7.4359694319849998</v>
      </c>
      <c r="AP456" s="284">
        <f>AO456*$BF$4</f>
        <v>0.77672424242282134</v>
      </c>
      <c r="AQ456" s="280">
        <f t="shared" si="51"/>
        <v>2.3301727272684643</v>
      </c>
      <c r="AR456" s="299">
        <v>44518</v>
      </c>
      <c r="AS456" s="649"/>
      <c r="AT456" s="964"/>
    </row>
    <row r="457" spans="20:46" x14ac:dyDescent="0.35">
      <c r="T457" s="113"/>
      <c r="U457" s="674">
        <f t="shared" si="53"/>
        <v>44519</v>
      </c>
      <c r="V457" s="981">
        <v>26.442699999999999</v>
      </c>
      <c r="W457" s="286">
        <v>28.381599999999999</v>
      </c>
      <c r="X457" s="661"/>
      <c r="Y457" s="640">
        <f t="shared" si="52"/>
        <v>26.442699999999999</v>
      </c>
      <c r="Z457" s="559">
        <f t="shared" si="50"/>
        <v>26.449089144189145</v>
      </c>
      <c r="AB457" s="649">
        <f t="shared" si="46"/>
        <v>44519</v>
      </c>
      <c r="AC457" s="286">
        <v>29.968800000000002</v>
      </c>
      <c r="AD457" s="668">
        <f t="shared" si="48"/>
        <v>1.133348712499102</v>
      </c>
      <c r="AI457" s="548">
        <v>450</v>
      </c>
      <c r="AM457" s="557"/>
      <c r="AN457" s="557"/>
      <c r="AO457" s="557"/>
      <c r="AQ457" s="280">
        <f t="shared" si="51"/>
        <v>0</v>
      </c>
      <c r="AR457" s="299">
        <v>44519</v>
      </c>
      <c r="AS457" s="649"/>
      <c r="AT457" s="964"/>
    </row>
    <row r="458" spans="20:46" x14ac:dyDescent="0.35">
      <c r="T458" s="113"/>
      <c r="U458" s="674">
        <f t="shared" si="53"/>
        <v>44520</v>
      </c>
      <c r="V458" s="981">
        <v>26.442699999999999</v>
      </c>
      <c r="W458" s="286">
        <v>28.442799999999998</v>
      </c>
      <c r="X458" s="661"/>
      <c r="Y458" s="640">
        <f t="shared" si="52"/>
        <v>26.442699999999999</v>
      </c>
      <c r="Z458" s="559">
        <f t="shared" si="50"/>
        <v>26.425089144189144</v>
      </c>
      <c r="AB458" s="649">
        <f t="shared" si="46"/>
        <v>44520</v>
      </c>
      <c r="AC458" s="286">
        <v>29.968800000000002</v>
      </c>
      <c r="AD458" s="668">
        <f t="shared" si="48"/>
        <v>1.133348712499102</v>
      </c>
      <c r="AI458" s="548">
        <v>450</v>
      </c>
      <c r="AM458" s="557"/>
      <c r="AN458" s="557"/>
      <c r="AO458" s="557">
        <v>9.4595513587888007</v>
      </c>
      <c r="AP458" s="284">
        <f>AO458*$BF$4</f>
        <v>0.98809750766466342</v>
      </c>
      <c r="AQ458" s="280">
        <f t="shared" si="51"/>
        <v>2.9642925229939903</v>
      </c>
      <c r="AR458" s="299">
        <v>44520</v>
      </c>
      <c r="AS458" s="649"/>
      <c r="AT458" s="964"/>
    </row>
    <row r="459" spans="20:46" x14ac:dyDescent="0.35">
      <c r="T459" s="113"/>
      <c r="U459" s="674">
        <f t="shared" si="53"/>
        <v>44521</v>
      </c>
      <c r="V459" s="981">
        <v>26.442699999999999</v>
      </c>
      <c r="W459" s="286">
        <v>28.4681</v>
      </c>
      <c r="X459" s="661"/>
      <c r="Y459" s="640">
        <f t="shared" si="52"/>
        <v>26.442699999999999</v>
      </c>
      <c r="Z459" s="559">
        <f t="shared" si="50"/>
        <v>26.425089144189144</v>
      </c>
      <c r="AB459" s="649">
        <f t="shared" si="46"/>
        <v>44521</v>
      </c>
      <c r="AC459" s="286">
        <v>29.968800000000002</v>
      </c>
      <c r="AD459" s="668">
        <f t="shared" si="48"/>
        <v>1.133348712499102</v>
      </c>
      <c r="AI459" s="548">
        <v>450</v>
      </c>
      <c r="AM459" s="557"/>
      <c r="AN459" s="557">
        <v>58.725000000000001</v>
      </c>
      <c r="AO459" s="557"/>
      <c r="AQ459" s="280">
        <f t="shared" si="51"/>
        <v>58.725000000000001</v>
      </c>
      <c r="AR459" s="299">
        <v>44521</v>
      </c>
      <c r="AS459" s="649"/>
      <c r="AT459" s="964"/>
    </row>
    <row r="460" spans="20:46" x14ac:dyDescent="0.35">
      <c r="T460" s="113"/>
      <c r="U460" s="674">
        <f t="shared" si="53"/>
        <v>44522</v>
      </c>
      <c r="V460" s="981">
        <v>26.569400000000002</v>
      </c>
      <c r="W460" s="286">
        <v>28.4681</v>
      </c>
      <c r="X460" s="661"/>
      <c r="Y460" s="640">
        <f t="shared" si="52"/>
        <v>26.569400000000002</v>
      </c>
      <c r="Z460" s="559">
        <f t="shared" si="50"/>
        <v>26.562592533333333</v>
      </c>
      <c r="AB460" s="649">
        <f t="shared" si="46"/>
        <v>44522</v>
      </c>
      <c r="AC460" s="286">
        <v>29.979600000000001</v>
      </c>
      <c r="AD460" s="668">
        <f>AC460/V460</f>
        <v>1.1283506590288075</v>
      </c>
      <c r="AI460" s="548">
        <v>450</v>
      </c>
      <c r="AM460" s="557"/>
      <c r="AN460" s="557"/>
      <c r="AO460" s="557">
        <v>11.922637936923167</v>
      </c>
      <c r="AP460" s="284">
        <f t="shared" ref="AP460:AP465" si="54">AO460*$BF$4</f>
        <v>1.2453792345359547</v>
      </c>
      <c r="AQ460" s="280">
        <f t="shared" si="51"/>
        <v>3.7361377036078638</v>
      </c>
      <c r="AR460" s="299">
        <v>44522</v>
      </c>
      <c r="AS460" s="557"/>
      <c r="AT460" s="964"/>
    </row>
    <row r="461" spans="20:46" x14ac:dyDescent="0.35">
      <c r="T461" s="113"/>
      <c r="U461" s="674">
        <f t="shared" si="53"/>
        <v>44523</v>
      </c>
      <c r="V461" s="981">
        <v>26.658799999999999</v>
      </c>
      <c r="W461" s="286">
        <v>28.496200000000002</v>
      </c>
      <c r="X461" s="661"/>
      <c r="Y461" s="640">
        <f t="shared" si="52"/>
        <v>26.658799999999999</v>
      </c>
      <c r="Z461" s="559">
        <f t="shared" si="50"/>
        <v>26.664545066666665</v>
      </c>
      <c r="AB461" s="649">
        <f t="shared" si="46"/>
        <v>44523</v>
      </c>
      <c r="AC461" s="286">
        <f>AD461*Z461</f>
        <v>30.097311144587447</v>
      </c>
      <c r="AD461" s="668">
        <f>(($AD$490-$AD$460)/30)*AE461+$AD$460</f>
        <v>1.1287389703945139</v>
      </c>
      <c r="AE461">
        <v>1</v>
      </c>
      <c r="AI461" s="548">
        <v>450</v>
      </c>
      <c r="AM461" s="557"/>
      <c r="AN461" s="557"/>
      <c r="AO461" s="557">
        <v>9.9225641479839997</v>
      </c>
      <c r="AP461" s="284">
        <f t="shared" si="54"/>
        <v>1.0364615120099201</v>
      </c>
      <c r="AQ461" s="280">
        <f t="shared" si="51"/>
        <v>3.1093845360297605</v>
      </c>
      <c r="AR461" s="299">
        <v>44523</v>
      </c>
      <c r="AS461" s="557"/>
      <c r="AT461" s="964"/>
    </row>
    <row r="462" spans="20:46" x14ac:dyDescent="0.35">
      <c r="T462" s="113"/>
      <c r="U462" s="674">
        <f t="shared" si="53"/>
        <v>44524</v>
      </c>
      <c r="V462" s="981">
        <v>26.860399999999998</v>
      </c>
      <c r="W462" s="286">
        <v>28.558299999999999</v>
      </c>
      <c r="X462" s="661"/>
      <c r="Y462" s="640">
        <f t="shared" si="52"/>
        <v>26.860399999999998</v>
      </c>
      <c r="Z462" s="559">
        <f t="shared" si="50"/>
        <v>26.829013866666667</v>
      </c>
      <c r="AB462" s="649">
        <f t="shared" si="46"/>
        <v>44524</v>
      </c>
      <c r="AC462" s="286">
        <f t="shared" ref="AC462:AC510" si="55">AD462*Z462</f>
        <v>30.29337149957659</v>
      </c>
      <c r="AD462" s="668">
        <f t="shared" ref="AD462:AD489" si="56">(($AD$490-$AD$460)/30)*AE462+$AD$460</f>
        <v>1.1291272817602203</v>
      </c>
      <c r="AE462">
        <v>2</v>
      </c>
      <c r="AI462" s="548">
        <v>450</v>
      </c>
      <c r="AM462" s="557"/>
      <c r="AN462" s="557"/>
      <c r="AO462" s="557">
        <v>183.54331143900001</v>
      </c>
      <c r="AP462" s="284">
        <f t="shared" si="54"/>
        <v>19.172017963927644</v>
      </c>
      <c r="AQ462" s="280">
        <f t="shared" si="51"/>
        <v>57.516053891782931</v>
      </c>
      <c r="AR462" s="299">
        <v>44524</v>
      </c>
      <c r="AS462" s="557"/>
      <c r="AT462" s="964"/>
    </row>
    <row r="463" spans="20:46" x14ac:dyDescent="0.35">
      <c r="T463" s="113"/>
      <c r="U463" s="674">
        <f t="shared" si="53"/>
        <v>44525</v>
      </c>
      <c r="V463" s="981">
        <v>26.927299999999999</v>
      </c>
      <c r="W463" s="286">
        <v>28.436699999999998</v>
      </c>
      <c r="X463" s="661"/>
      <c r="Y463" s="640">
        <f t="shared" si="52"/>
        <v>26.927299999999999</v>
      </c>
      <c r="Z463" s="559">
        <f t="shared" si="50"/>
        <v>26.940903066666664</v>
      </c>
      <c r="AB463" s="649">
        <f t="shared" si="46"/>
        <v>44525</v>
      </c>
      <c r="AC463" s="286">
        <f t="shared" si="55"/>
        <v>30.430170106694092</v>
      </c>
      <c r="AD463" s="668">
        <f t="shared" si="56"/>
        <v>1.1295155931259266</v>
      </c>
      <c r="AE463">
        <v>3</v>
      </c>
      <c r="AI463" s="548">
        <v>450</v>
      </c>
      <c r="AM463" s="557"/>
      <c r="AN463" s="557"/>
      <c r="AO463" s="557">
        <v>19.247244926632529</v>
      </c>
      <c r="AP463" s="284">
        <f t="shared" si="54"/>
        <v>2.0104711122211216</v>
      </c>
      <c r="AQ463" s="280">
        <f t="shared" si="51"/>
        <v>6.0314133366633644</v>
      </c>
      <c r="AR463" s="299">
        <v>44525</v>
      </c>
      <c r="AS463" s="557"/>
      <c r="AT463" s="964"/>
    </row>
    <row r="464" spans="20:46" x14ac:dyDescent="0.35">
      <c r="T464" s="113"/>
      <c r="U464" s="674">
        <f t="shared" si="53"/>
        <v>44526</v>
      </c>
      <c r="V464" s="981">
        <v>27.025600000000001</v>
      </c>
      <c r="W464" s="286">
        <v>28.303799999999999</v>
      </c>
      <c r="X464" s="661"/>
      <c r="Y464" s="640">
        <f t="shared" si="52"/>
        <v>27.025600000000001</v>
      </c>
      <c r="Z464" s="559">
        <f t="shared" si="50"/>
        <v>27.028867466666668</v>
      </c>
      <c r="AB464" s="649">
        <f t="shared" si="46"/>
        <v>44526</v>
      </c>
      <c r="AC464" s="286">
        <f>AD464*Z464</f>
        <v>30.540022884573549</v>
      </c>
      <c r="AD464" s="668">
        <f t="shared" si="56"/>
        <v>1.1299039044916332</v>
      </c>
      <c r="AE464">
        <v>4</v>
      </c>
      <c r="AI464" s="548">
        <v>450</v>
      </c>
      <c r="AM464" s="557"/>
      <c r="AN464" s="557"/>
      <c r="AO464" s="557">
        <v>9.5546359223659003</v>
      </c>
      <c r="AP464" s="284">
        <f t="shared" si="54"/>
        <v>0.99802956646157703</v>
      </c>
      <c r="AQ464" s="280">
        <f t="shared" si="51"/>
        <v>2.9940886993847311</v>
      </c>
      <c r="AR464" s="299">
        <v>44526</v>
      </c>
      <c r="AS464" s="557"/>
      <c r="AT464" s="964"/>
    </row>
    <row r="465" spans="20:50" x14ac:dyDescent="0.35">
      <c r="T465" s="113"/>
      <c r="U465" s="674">
        <f t="shared" si="53"/>
        <v>44527</v>
      </c>
      <c r="V465" s="981">
        <v>27.025600000000001</v>
      </c>
      <c r="W465" s="286">
        <v>28.2913</v>
      </c>
      <c r="X465" s="661"/>
      <c r="Y465" s="640">
        <f t="shared" si="52"/>
        <v>27.025600000000001</v>
      </c>
      <c r="Z465" s="559">
        <f t="shared" si="50"/>
        <v>27.007600932400933</v>
      </c>
      <c r="AB465" s="649">
        <f t="shared" si="46"/>
        <v>44527</v>
      </c>
      <c r="AC465" s="286">
        <f t="shared" si="55"/>
        <v>30.526481102874204</v>
      </c>
      <c r="AD465" s="668">
        <f t="shared" si="56"/>
        <v>1.1302922158573396</v>
      </c>
      <c r="AE465">
        <v>5</v>
      </c>
      <c r="AI465" s="548">
        <v>450</v>
      </c>
      <c r="AM465" s="557"/>
      <c r="AN465" s="557"/>
      <c r="AO465" s="557">
        <v>9.336178542667632</v>
      </c>
      <c r="AP465" s="284">
        <f t="shared" si="54"/>
        <v>0.97521059923748554</v>
      </c>
      <c r="AQ465" s="280">
        <f t="shared" si="51"/>
        <v>2.9256317977124566</v>
      </c>
      <c r="AR465" s="299">
        <v>44527</v>
      </c>
      <c r="AS465" s="557"/>
      <c r="AT465" s="964"/>
    </row>
    <row r="466" spans="20:50" x14ac:dyDescent="0.35">
      <c r="T466" s="113"/>
      <c r="U466" s="674">
        <f t="shared" si="53"/>
        <v>44529</v>
      </c>
      <c r="V466" s="981">
        <v>27.103300000000001</v>
      </c>
      <c r="W466" s="286">
        <v>28.2394</v>
      </c>
      <c r="X466" s="661"/>
      <c r="Y466" s="640">
        <f t="shared" si="52"/>
        <v>27.103300000000001</v>
      </c>
      <c r="Z466" s="559">
        <f t="shared" si="50"/>
        <v>27.113537733333335</v>
      </c>
      <c r="AB466" s="649">
        <f t="shared" si="46"/>
        <v>44529</v>
      </c>
      <c r="AC466" s="286">
        <f t="shared" si="55"/>
        <v>30.656749139207285</v>
      </c>
      <c r="AD466" s="668">
        <f t="shared" si="56"/>
        <v>1.130680527223046</v>
      </c>
      <c r="AE466">
        <v>6</v>
      </c>
      <c r="AI466" s="548">
        <v>450</v>
      </c>
      <c r="AM466" s="557"/>
      <c r="AN466" s="557"/>
      <c r="AO466" s="557"/>
      <c r="AQ466" s="280">
        <f t="shared" si="51"/>
        <v>0</v>
      </c>
      <c r="AR466" s="299">
        <v>44529</v>
      </c>
      <c r="AS466" s="557"/>
      <c r="AT466" s="964"/>
    </row>
    <row r="467" spans="20:50" x14ac:dyDescent="0.35">
      <c r="T467" s="113"/>
      <c r="U467" s="674">
        <f t="shared" si="53"/>
        <v>44530</v>
      </c>
      <c r="V467" s="981">
        <v>27.1739</v>
      </c>
      <c r="W467" s="286">
        <v>28.082799999999999</v>
      </c>
      <c r="X467" s="661"/>
      <c r="Y467" s="640">
        <f t="shared" si="52"/>
        <v>27.1739</v>
      </c>
      <c r="Z467" s="559">
        <f t="shared" si="50"/>
        <v>27.186598533333335</v>
      </c>
      <c r="AB467" s="649">
        <f t="shared" si="46"/>
        <v>44530</v>
      </c>
      <c r="AC467" s="286">
        <f t="shared" si="55"/>
        <v>30.749914428276014</v>
      </c>
      <c r="AD467" s="668">
        <f t="shared" si="56"/>
        <v>1.1310688385887524</v>
      </c>
      <c r="AE467">
        <v>7</v>
      </c>
      <c r="AI467" s="548">
        <v>450</v>
      </c>
      <c r="AM467" s="562"/>
      <c r="AN467" s="562"/>
      <c r="AO467" s="562"/>
      <c r="AP467" s="300"/>
      <c r="AQ467" s="280">
        <f t="shared" si="51"/>
        <v>0</v>
      </c>
      <c r="AR467" s="299">
        <v>44530</v>
      </c>
      <c r="AS467" s="557"/>
      <c r="AT467" s="964"/>
    </row>
    <row r="468" spans="20:50" x14ac:dyDescent="0.35">
      <c r="T468" s="113"/>
      <c r="U468" s="674">
        <f t="shared" si="53"/>
        <v>44531</v>
      </c>
      <c r="V468" s="982">
        <v>27.214200000000002</v>
      </c>
      <c r="W468" s="286">
        <v>28.040600000000001</v>
      </c>
      <c r="X468" s="661"/>
      <c r="Y468" s="640">
        <f t="shared" si="52"/>
        <v>27.214200000000002</v>
      </c>
      <c r="Z468" s="559">
        <f t="shared" si="50"/>
        <v>27.237052266666666</v>
      </c>
      <c r="AB468" s="649">
        <f t="shared" si="46"/>
        <v>44531</v>
      </c>
      <c r="AC468" s="286">
        <f t="shared" si="55"/>
        <v>30.817557530803299</v>
      </c>
      <c r="AD468" s="668">
        <f t="shared" si="56"/>
        <v>1.1314571499544588</v>
      </c>
      <c r="AE468">
        <v>8</v>
      </c>
      <c r="AI468" s="548">
        <v>450</v>
      </c>
      <c r="AM468" s="678"/>
      <c r="AN468" s="672"/>
      <c r="AO468" s="675">
        <v>527.54178414234002</v>
      </c>
      <c r="AP468" s="284">
        <f>AO468*$BF$4</f>
        <v>55.104380993260811</v>
      </c>
      <c r="AQ468" s="280">
        <f t="shared" si="51"/>
        <v>165.31314297978244</v>
      </c>
      <c r="AR468" s="299">
        <v>44531</v>
      </c>
      <c r="AS468" s="557"/>
      <c r="AW468" s="557"/>
      <c r="AX468" s="557"/>
    </row>
    <row r="469" spans="20:50" x14ac:dyDescent="0.35">
      <c r="T469" s="113"/>
      <c r="U469" s="674">
        <f t="shared" si="53"/>
        <v>44532</v>
      </c>
      <c r="V469" s="982">
        <v>27.229600000000001</v>
      </c>
      <c r="W469" s="286">
        <v>28.074999999999999</v>
      </c>
      <c r="X469" s="661"/>
      <c r="Y469" s="640">
        <f t="shared" si="52"/>
        <v>27.229600000000001</v>
      </c>
      <c r="Z469" s="559">
        <f t="shared" si="50"/>
        <v>27.260772800000002</v>
      </c>
      <c r="AB469" s="649">
        <f t="shared" si="46"/>
        <v>44532</v>
      </c>
      <c r="AC469" s="286">
        <f t="shared" si="55"/>
        <v>30.854981965760214</v>
      </c>
      <c r="AD469" s="668">
        <f t="shared" si="56"/>
        <v>1.1318454613201652</v>
      </c>
      <c r="AE469">
        <v>9</v>
      </c>
      <c r="AI469" s="548">
        <v>450</v>
      </c>
      <c r="AM469" s="673"/>
      <c r="AO469" s="557"/>
      <c r="AP469" s="676"/>
      <c r="AQ469" s="280">
        <f t="shared" si="51"/>
        <v>0</v>
      </c>
      <c r="AR469" s="299">
        <v>44532</v>
      </c>
      <c r="AS469" s="557"/>
    </row>
    <row r="470" spans="20:50" x14ac:dyDescent="0.35">
      <c r="T470" s="306">
        <f>AVERAGE(V468:V490)</f>
        <v>26.989155434782621</v>
      </c>
      <c r="U470" s="674">
        <f t="shared" si="53"/>
        <v>44533</v>
      </c>
      <c r="V470" s="982">
        <v>27.293299999999999</v>
      </c>
      <c r="W470" s="286">
        <v>27.866099999999999</v>
      </c>
      <c r="X470" s="306"/>
      <c r="Y470" s="640">
        <f t="shared" si="52"/>
        <v>27.293299999999999</v>
      </c>
      <c r="Z470" s="559">
        <f t="shared" si="50"/>
        <v>27.308457733333331</v>
      </c>
      <c r="AB470" s="649">
        <f t="shared" si="46"/>
        <v>44533</v>
      </c>
      <c r="AC470" s="286">
        <f t="shared" si="55"/>
        <v>30.919558125644663</v>
      </c>
      <c r="AD470" s="668">
        <f t="shared" si="56"/>
        <v>1.1322337726858716</v>
      </c>
      <c r="AE470">
        <v>10</v>
      </c>
      <c r="AI470" s="548">
        <v>450</v>
      </c>
      <c r="AM470" s="673"/>
      <c r="AO470" s="557"/>
      <c r="AP470" s="676"/>
      <c r="AQ470" s="280">
        <f t="shared" si="51"/>
        <v>0</v>
      </c>
      <c r="AR470" s="299">
        <v>44533</v>
      </c>
      <c r="AS470" s="557"/>
    </row>
    <row r="471" spans="20:50" x14ac:dyDescent="0.35">
      <c r="U471" s="674">
        <f t="shared" si="53"/>
        <v>44536</v>
      </c>
      <c r="V471" s="982">
        <v>27.298100000000002</v>
      </c>
      <c r="W471" s="286">
        <v>27.759</v>
      </c>
      <c r="X471" s="306"/>
      <c r="Y471" s="640">
        <f t="shared" si="52"/>
        <v>27.298100000000002</v>
      </c>
      <c r="Z471" s="559">
        <f t="shared" si="50"/>
        <v>27.332897466666665</v>
      </c>
      <c r="AB471" s="649">
        <f t="shared" si="46"/>
        <v>44536</v>
      </c>
      <c r="AC471" s="286">
        <f t="shared" si="55"/>
        <v>30.957843291864094</v>
      </c>
      <c r="AD471" s="668">
        <f t="shared" si="56"/>
        <v>1.1326220840515779</v>
      </c>
      <c r="AE471">
        <v>11</v>
      </c>
      <c r="AI471" s="548">
        <v>450</v>
      </c>
      <c r="AM471" s="673"/>
      <c r="AO471" s="557"/>
      <c r="AP471" s="676"/>
      <c r="AQ471" s="280">
        <f t="shared" si="51"/>
        <v>0</v>
      </c>
      <c r="AR471" s="299">
        <v>44536</v>
      </c>
      <c r="AS471" s="557"/>
    </row>
    <row r="472" spans="20:50" x14ac:dyDescent="0.35">
      <c r="U472" s="674">
        <f t="shared" si="53"/>
        <v>44537</v>
      </c>
      <c r="V472" s="982">
        <v>27.379100000000001</v>
      </c>
      <c r="W472" s="286">
        <v>27.737300000000001</v>
      </c>
      <c r="X472" s="306"/>
      <c r="Y472" s="640">
        <f t="shared" si="52"/>
        <v>27.379100000000001</v>
      </c>
      <c r="Z472" s="559">
        <f t="shared" si="50"/>
        <v>27.388605466666665</v>
      </c>
      <c r="AB472" s="649">
        <f t="shared" si="46"/>
        <v>44537</v>
      </c>
      <c r="AC472" s="286">
        <f t="shared" si="55"/>
        <v>31.031574709715997</v>
      </c>
      <c r="AD472" s="668">
        <f t="shared" si="56"/>
        <v>1.1330103954172845</v>
      </c>
      <c r="AE472">
        <v>12</v>
      </c>
      <c r="AI472" s="548">
        <v>450</v>
      </c>
      <c r="AM472" s="673"/>
      <c r="AO472" s="557"/>
      <c r="AP472" s="676"/>
      <c r="AQ472" s="280">
        <f t="shared" si="51"/>
        <v>0</v>
      </c>
      <c r="AR472" s="299">
        <v>44537</v>
      </c>
      <c r="AS472" s="557"/>
    </row>
    <row r="473" spans="20:50" x14ac:dyDescent="0.35">
      <c r="U473" s="674">
        <f t="shared" si="53"/>
        <v>44538</v>
      </c>
      <c r="V473" s="982">
        <v>27.331700000000001</v>
      </c>
      <c r="W473" s="642">
        <v>27.8184</v>
      </c>
      <c r="X473" s="962"/>
      <c r="Y473" s="640">
        <f t="shared" si="52"/>
        <v>27.331700000000001</v>
      </c>
      <c r="Z473" s="559">
        <f t="shared" si="50"/>
        <v>27.329297069597072</v>
      </c>
      <c r="AB473" s="649">
        <f t="shared" ref="AB473:AB512" si="57">U473</f>
        <v>44538</v>
      </c>
      <c r="AC473" s="286">
        <f t="shared" si="55"/>
        <v>30.974989955969505</v>
      </c>
      <c r="AD473" s="668">
        <f t="shared" si="56"/>
        <v>1.1333987067829909</v>
      </c>
      <c r="AE473">
        <v>13</v>
      </c>
      <c r="AI473" s="548">
        <v>450</v>
      </c>
      <c r="AM473" s="673"/>
      <c r="AO473" s="557">
        <v>12.46315623133</v>
      </c>
      <c r="AP473" s="284">
        <f>AO473*$BF$4</f>
        <v>1.3018390770055801</v>
      </c>
      <c r="AQ473" s="280">
        <f t="shared" si="51"/>
        <v>3.9055172310167405</v>
      </c>
      <c r="AR473" s="299">
        <v>44538</v>
      </c>
      <c r="AS473" s="557"/>
    </row>
    <row r="474" spans="20:50" x14ac:dyDescent="0.35">
      <c r="U474" s="674">
        <f t="shared" si="53"/>
        <v>44539</v>
      </c>
      <c r="V474" s="982">
        <v>27.216699999999999</v>
      </c>
      <c r="W474" s="286">
        <v>28.251300000000001</v>
      </c>
      <c r="X474" s="306"/>
      <c r="Y474" s="640">
        <f t="shared" si="52"/>
        <v>27.216699999999999</v>
      </c>
      <c r="Z474" s="559">
        <f t="shared" si="50"/>
        <v>27.236906993006997</v>
      </c>
      <c r="AB474" s="649">
        <f t="shared" si="57"/>
        <v>44539</v>
      </c>
      <c r="AC474" s="286">
        <f t="shared" si="55"/>
        <v>30.880851563194806</v>
      </c>
      <c r="AD474" s="668">
        <f t="shared" si="56"/>
        <v>1.1337870181486973</v>
      </c>
      <c r="AE474">
        <v>14</v>
      </c>
      <c r="AI474" s="548">
        <v>450</v>
      </c>
      <c r="AM474" s="673">
        <v>0.98141175000000003</v>
      </c>
      <c r="AO474" s="557"/>
      <c r="AP474" s="676"/>
      <c r="AQ474" s="280">
        <f t="shared" si="51"/>
        <v>-0.98141175000000003</v>
      </c>
      <c r="AR474" s="299">
        <v>44539</v>
      </c>
      <c r="AS474" s="557"/>
    </row>
    <row r="475" spans="20:50" x14ac:dyDescent="0.35">
      <c r="U475" s="674">
        <f t="shared" si="53"/>
        <v>44540</v>
      </c>
      <c r="V475" s="982">
        <v>27.101299999999998</v>
      </c>
      <c r="W475" s="286">
        <v>28.455100000000002</v>
      </c>
      <c r="X475" s="306"/>
      <c r="Y475" s="640">
        <f t="shared" si="52"/>
        <v>27.101299999999998</v>
      </c>
      <c r="Z475" s="559">
        <f t="shared" si="50"/>
        <v>27.121717182817182</v>
      </c>
      <c r="AB475" s="649">
        <f t="shared" si="57"/>
        <v>44540</v>
      </c>
      <c r="AC475" s="286">
        <f t="shared" si="55"/>
        <v>30.760782522818143</v>
      </c>
      <c r="AD475" s="668">
        <f t="shared" si="56"/>
        <v>1.1341753295144037</v>
      </c>
      <c r="AE475">
        <v>15</v>
      </c>
      <c r="AI475" s="548">
        <v>450</v>
      </c>
      <c r="AK475" s="673"/>
      <c r="AM475" s="673"/>
      <c r="AO475" s="557"/>
      <c r="AP475" s="676"/>
      <c r="AQ475" s="280">
        <f t="shared" si="51"/>
        <v>0</v>
      </c>
      <c r="AR475" s="299">
        <v>44540</v>
      </c>
      <c r="AS475" s="557"/>
    </row>
    <row r="476" spans="20:50" x14ac:dyDescent="0.35">
      <c r="U476" s="674">
        <f t="shared" si="53"/>
        <v>44543</v>
      </c>
      <c r="V476" s="982">
        <v>27.024100000000001</v>
      </c>
      <c r="W476" s="286">
        <v>28.354700000000001</v>
      </c>
      <c r="X476" s="306"/>
      <c r="Y476" s="640">
        <f t="shared" si="52"/>
        <v>27.024100000000001</v>
      </c>
      <c r="Z476" s="559">
        <f t="shared" si="50"/>
        <v>27.031835264735268</v>
      </c>
      <c r="AB476" s="649">
        <f t="shared" si="57"/>
        <v>44543</v>
      </c>
      <c r="AC476" s="286">
        <f t="shared" si="55"/>
        <v>30.669337437629398</v>
      </c>
      <c r="AD476" s="668">
        <f t="shared" si="56"/>
        <v>1.1345636408801101</v>
      </c>
      <c r="AE476">
        <v>16</v>
      </c>
      <c r="AI476" s="548">
        <v>450</v>
      </c>
      <c r="AK476" s="673">
        <v>0.99862949999999995</v>
      </c>
      <c r="AM476" s="673"/>
      <c r="AO476" s="557"/>
      <c r="AP476" s="676"/>
      <c r="AQ476" s="280">
        <f t="shared" si="51"/>
        <v>0</v>
      </c>
      <c r="AR476" s="299">
        <v>44543</v>
      </c>
    </row>
    <row r="477" spans="20:50" x14ac:dyDescent="0.35">
      <c r="T477" s="113">
        <v>1</v>
      </c>
      <c r="U477" s="674">
        <f t="shared" si="53"/>
        <v>44544</v>
      </c>
      <c r="V477" s="982">
        <v>26.884599999999999</v>
      </c>
      <c r="W477" s="286">
        <v>28.366800000000001</v>
      </c>
      <c r="X477" s="306"/>
      <c r="Y477" s="640">
        <f t="shared" si="52"/>
        <v>26.884599999999999</v>
      </c>
      <c r="Z477" s="559">
        <f t="shared" si="50"/>
        <v>26.913194838494842</v>
      </c>
      <c r="AB477" s="649">
        <f t="shared" si="57"/>
        <v>44544</v>
      </c>
      <c r="AC477" s="286">
        <f t="shared" si="55"/>
        <v>30.545183023121751</v>
      </c>
      <c r="AD477" s="668">
        <f t="shared" si="56"/>
        <v>1.1349519522458165</v>
      </c>
      <c r="AE477">
        <v>17</v>
      </c>
      <c r="AI477" s="548">
        <v>450</v>
      </c>
      <c r="AL477" s="673"/>
      <c r="AM477" s="673"/>
      <c r="AO477" s="557"/>
      <c r="AP477" s="676"/>
      <c r="AQ477" s="280">
        <f t="shared" si="51"/>
        <v>0</v>
      </c>
      <c r="AR477" s="299">
        <v>44544</v>
      </c>
    </row>
    <row r="478" spans="20:50" x14ac:dyDescent="0.35">
      <c r="T478" s="113">
        <v>2</v>
      </c>
      <c r="U478" s="674">
        <f t="shared" si="53"/>
        <v>44545</v>
      </c>
      <c r="V478" s="982">
        <v>26.9985</v>
      </c>
      <c r="W478" s="286">
        <v>28.2605</v>
      </c>
      <c r="X478" s="306"/>
      <c r="Y478" s="640">
        <f t="shared" si="52"/>
        <v>26.9985</v>
      </c>
      <c r="Z478" s="559">
        <f t="shared" si="50"/>
        <v>26.996531333333333</v>
      </c>
      <c r="AB478" s="649">
        <f t="shared" si="57"/>
        <v>44545</v>
      </c>
      <c r="AC478" s="286">
        <f t="shared" si="55"/>
        <v>30.650249000583404</v>
      </c>
      <c r="AD478" s="668">
        <f t="shared" si="56"/>
        <v>1.1353402636115228</v>
      </c>
      <c r="AE478">
        <v>18</v>
      </c>
      <c r="AI478" s="548">
        <v>450</v>
      </c>
      <c r="AM478" s="673"/>
      <c r="AO478" s="557">
        <v>79.913143456124004</v>
      </c>
      <c r="AP478" s="284">
        <f>AO478*$BF$4</f>
        <v>8.3473279951360304</v>
      </c>
      <c r="AQ478" s="280">
        <f t="shared" si="51"/>
        <v>25.041983985408091</v>
      </c>
      <c r="AR478" s="299">
        <v>44545</v>
      </c>
    </row>
    <row r="479" spans="20:50" x14ac:dyDescent="0.35">
      <c r="T479" s="113">
        <v>3</v>
      </c>
      <c r="U479" s="674">
        <f t="shared" si="53"/>
        <v>44546</v>
      </c>
      <c r="V479" s="982">
        <v>27.196000000000002</v>
      </c>
      <c r="W479" s="286">
        <v>28.354700000000001</v>
      </c>
      <c r="X479" s="306"/>
      <c r="Y479" s="640">
        <f t="shared" si="52"/>
        <v>27.196000000000002</v>
      </c>
      <c r="Z479" s="559">
        <f t="shared" si="50"/>
        <v>27.166428</v>
      </c>
      <c r="AB479" s="649">
        <f t="shared" si="57"/>
        <v>44546</v>
      </c>
      <c r="AC479" s="286">
        <f t="shared" si="55"/>
        <v>30.853688559661506</v>
      </c>
      <c r="AD479" s="668">
        <f t="shared" si="56"/>
        <v>1.1357285749772295</v>
      </c>
      <c r="AE479">
        <v>19</v>
      </c>
      <c r="AI479" s="548">
        <v>450</v>
      </c>
      <c r="AM479" s="673">
        <v>584.64375600000005</v>
      </c>
      <c r="AO479" s="557"/>
      <c r="AP479" s="676"/>
      <c r="AQ479" s="280">
        <f t="shared" si="51"/>
        <v>-584.64375600000005</v>
      </c>
      <c r="AR479" s="299">
        <v>44546</v>
      </c>
      <c r="AS479" s="557"/>
    </row>
    <row r="480" spans="20:50" x14ac:dyDescent="0.35">
      <c r="T480" s="113">
        <v>4</v>
      </c>
      <c r="U480" s="674">
        <f t="shared" si="53"/>
        <v>44547</v>
      </c>
      <c r="V480" s="982">
        <v>27.192900000000002</v>
      </c>
      <c r="W480" s="286">
        <v>28.366800000000001</v>
      </c>
      <c r="X480" s="306"/>
      <c r="Y480" s="640">
        <f t="shared" si="52"/>
        <v>27.192900000000002</v>
      </c>
      <c r="Z480" s="559">
        <f t="shared" si="50"/>
        <v>27.175822843822846</v>
      </c>
      <c r="AB480" s="649">
        <f t="shared" si="57"/>
        <v>44547</v>
      </c>
      <c r="AC480" s="286">
        <f t="shared" si="55"/>
        <v>30.87491123313124</v>
      </c>
      <c r="AD480" s="668">
        <f t="shared" si="56"/>
        <v>1.1361168863429358</v>
      </c>
      <c r="AE480">
        <v>20</v>
      </c>
      <c r="AI480" s="548">
        <v>450</v>
      </c>
      <c r="AM480" s="673"/>
      <c r="AO480" s="557"/>
      <c r="AP480" s="676"/>
      <c r="AQ480" s="280">
        <f t="shared" si="51"/>
        <v>0</v>
      </c>
      <c r="AR480" s="299">
        <v>44547</v>
      </c>
      <c r="AS480" s="557"/>
    </row>
    <row r="481" spans="20:50" x14ac:dyDescent="0.35">
      <c r="T481" s="113">
        <v>5</v>
      </c>
      <c r="U481" s="674">
        <f t="shared" si="53"/>
        <v>44550</v>
      </c>
      <c r="V481" s="989">
        <v>27.2483</v>
      </c>
      <c r="W481" s="644">
        <v>28.2605</v>
      </c>
      <c r="X481" s="963"/>
      <c r="Y481" s="640">
        <f>V481*(((AP481/AI481)*0.02)+1)</f>
        <v>27.2483</v>
      </c>
      <c r="Z481" s="559">
        <f t="shared" si="50"/>
        <v>27.266164399999997</v>
      </c>
      <c r="AB481" s="649">
        <f t="shared" si="57"/>
        <v>44550</v>
      </c>
      <c r="AC481" s="286">
        <f t="shared" si="55"/>
        <v>30.988137562178338</v>
      </c>
      <c r="AD481" s="668">
        <f t="shared" si="56"/>
        <v>1.1365051977086422</v>
      </c>
      <c r="AE481">
        <v>21</v>
      </c>
      <c r="AI481" s="548">
        <v>450</v>
      </c>
      <c r="AM481" s="673"/>
      <c r="AO481" s="557"/>
      <c r="AP481" s="676"/>
      <c r="AQ481" s="280">
        <f t="shared" si="51"/>
        <v>0</v>
      </c>
      <c r="AR481" s="299">
        <v>44550</v>
      </c>
      <c r="AS481" s="557"/>
    </row>
    <row r="482" spans="20:50" x14ac:dyDescent="0.35">
      <c r="T482" s="113">
        <v>6</v>
      </c>
      <c r="U482" s="674">
        <f t="shared" si="53"/>
        <v>44551</v>
      </c>
      <c r="V482" s="982">
        <f t="shared" ref="V482:V488" si="58">$V$476-(($V$476-$V$489)/12)*T482</f>
        <v>26.812049999999999</v>
      </c>
      <c r="W482" s="286">
        <v>28.2746</v>
      </c>
      <c r="X482" s="306"/>
      <c r="Y482" s="640">
        <f t="shared" ref="Y482:Y511" si="59">V482*(((AP482/AI482)*0.02)+1)</f>
        <v>26.812049999999999</v>
      </c>
      <c r="Z482" s="559">
        <f t="shared" si="50"/>
        <v>26.939609823509823</v>
      </c>
      <c r="AB482" s="649">
        <f t="shared" si="57"/>
        <v>44551</v>
      </c>
      <c r="AC482" s="286">
        <f t="shared" si="55"/>
        <v>30.627467545343876</v>
      </c>
      <c r="AD482" s="668">
        <f t="shared" si="56"/>
        <v>1.1368935090743486</v>
      </c>
      <c r="AE482">
        <v>22</v>
      </c>
      <c r="AI482" s="548">
        <v>450</v>
      </c>
      <c r="AM482" s="673"/>
      <c r="AO482" s="557"/>
      <c r="AP482" s="676"/>
      <c r="AQ482" s="280">
        <f t="shared" si="51"/>
        <v>0</v>
      </c>
      <c r="AR482" s="299">
        <v>44551</v>
      </c>
      <c r="AS482" s="557"/>
    </row>
    <row r="483" spans="20:50" x14ac:dyDescent="0.35">
      <c r="T483" s="113">
        <v>7</v>
      </c>
      <c r="U483" s="674">
        <f t="shared" si="53"/>
        <v>44552</v>
      </c>
      <c r="V483" s="982">
        <f t="shared" si="58"/>
        <v>26.776708333333335</v>
      </c>
      <c r="W483" s="286">
        <v>28.431000000000001</v>
      </c>
      <c r="X483" s="306">
        <f>W483-W472</f>
        <v>0.69369999999999976</v>
      </c>
      <c r="Y483" s="640">
        <f t="shared" si="59"/>
        <v>26.779811986553273</v>
      </c>
      <c r="Z483" s="559">
        <f t="shared" si="50"/>
        <v>26.772722618417102</v>
      </c>
      <c r="AB483" s="649">
        <f t="shared" si="57"/>
        <v>44552</v>
      </c>
      <c r="AC483" s="286">
        <f t="shared" si="55"/>
        <v>30.448130717610038</v>
      </c>
      <c r="AD483" s="668">
        <f t="shared" si="56"/>
        <v>1.137281820440055</v>
      </c>
      <c r="AE483">
        <v>23</v>
      </c>
      <c r="AI483" s="548">
        <v>450</v>
      </c>
      <c r="AM483" s="673"/>
      <c r="AO483" s="557">
        <v>24.96716641586</v>
      </c>
      <c r="AP483" s="284">
        <f>AO483*$BF$4</f>
        <v>2.6079455539970655</v>
      </c>
      <c r="AQ483" s="280">
        <f t="shared" si="51"/>
        <v>7.8238366619911961</v>
      </c>
      <c r="AR483" s="299">
        <v>44552</v>
      </c>
      <c r="AS483" s="557" t="str">
        <f t="shared" ref="AS483:AS488" si="60">IF(AM481=0,"",AM481)</f>
        <v/>
      </c>
    </row>
    <row r="484" spans="20:50" x14ac:dyDescent="0.35">
      <c r="T484" s="113">
        <v>8</v>
      </c>
      <c r="U484" s="674">
        <f t="shared" si="53"/>
        <v>44553</v>
      </c>
      <c r="V484" s="982">
        <f t="shared" si="58"/>
        <v>26.741366666666668</v>
      </c>
      <c r="W484" s="286">
        <v>28.402799999999999</v>
      </c>
      <c r="X484" s="306"/>
      <c r="Y484" s="640">
        <f t="shared" si="59"/>
        <v>26.741366666666668</v>
      </c>
      <c r="Z484" s="559">
        <f t="shared" si="50"/>
        <v>26.735337454212456</v>
      </c>
      <c r="AB484" s="649">
        <f t="shared" si="57"/>
        <v>44553</v>
      </c>
      <c r="AC484" s="286">
        <f t="shared" si="55"/>
        <v>30.415994885405393</v>
      </c>
      <c r="AD484" s="668">
        <f>(($AD$490-$AD$460)/30)*AE484+$AD$460</f>
        <v>1.1376701318057614</v>
      </c>
      <c r="AE484">
        <v>24</v>
      </c>
      <c r="AI484" s="548">
        <v>450</v>
      </c>
      <c r="AM484" s="673"/>
      <c r="AO484" s="557"/>
      <c r="AP484" s="676"/>
      <c r="AQ484" s="280">
        <f t="shared" si="51"/>
        <v>0</v>
      </c>
      <c r="AR484" s="299">
        <v>44553</v>
      </c>
      <c r="AS484" s="557" t="str">
        <f t="shared" si="60"/>
        <v/>
      </c>
    </row>
    <row r="485" spans="20:50" x14ac:dyDescent="0.35">
      <c r="T485" s="113">
        <v>9</v>
      </c>
      <c r="U485" s="674">
        <f t="shared" si="53"/>
        <v>44554</v>
      </c>
      <c r="V485" s="982">
        <f t="shared" si="58"/>
        <v>26.706025</v>
      </c>
      <c r="W485" s="286">
        <v>28.284700000000001</v>
      </c>
      <c r="X485" s="306"/>
      <c r="Y485" s="640">
        <f t="shared" si="59"/>
        <v>26.706025</v>
      </c>
      <c r="Z485" s="559">
        <f t="shared" si="50"/>
        <v>26.700019325119328</v>
      </c>
      <c r="AB485" s="649">
        <f t="shared" si="57"/>
        <v>44554</v>
      </c>
      <c r="AC485" s="286">
        <f t="shared" si="55"/>
        <v>30.386182425793407</v>
      </c>
      <c r="AD485" s="668">
        <f t="shared" si="56"/>
        <v>1.1380584431714678</v>
      </c>
      <c r="AE485">
        <v>25</v>
      </c>
      <c r="AI485" s="548">
        <v>450</v>
      </c>
      <c r="AM485" s="673"/>
      <c r="AO485" s="557"/>
      <c r="AP485" s="676"/>
      <c r="AQ485" s="280">
        <f t="shared" si="51"/>
        <v>0</v>
      </c>
      <c r="AR485" s="299">
        <v>44554</v>
      </c>
      <c r="AS485" s="557" t="str">
        <f t="shared" si="60"/>
        <v/>
      </c>
    </row>
    <row r="486" spans="20:50" x14ac:dyDescent="0.35">
      <c r="T486" s="113">
        <v>10</v>
      </c>
      <c r="U486" s="674">
        <f t="shared" si="53"/>
        <v>44557</v>
      </c>
      <c r="V486" s="982">
        <f t="shared" si="58"/>
        <v>26.670683333333336</v>
      </c>
      <c r="W486" s="286">
        <v>28.203800000000001</v>
      </c>
      <c r="X486" s="306"/>
      <c r="Y486" s="640">
        <f t="shared" si="59"/>
        <v>26.670683333333336</v>
      </c>
      <c r="Z486" s="559">
        <f t="shared" si="50"/>
        <v>26.664701196026201</v>
      </c>
      <c r="AB486" s="649">
        <f t="shared" si="57"/>
        <v>44557</v>
      </c>
      <c r="AC486" s="286">
        <f t="shared" si="55"/>
        <v>30.356342537319534</v>
      </c>
      <c r="AD486" s="668">
        <f t="shared" si="56"/>
        <v>1.1384467545371741</v>
      </c>
      <c r="AE486">
        <v>26</v>
      </c>
      <c r="AI486" s="548">
        <v>450</v>
      </c>
      <c r="AM486" s="673"/>
      <c r="AO486" s="557"/>
      <c r="AP486" s="676"/>
      <c r="AQ486" s="280">
        <f t="shared" si="51"/>
        <v>0</v>
      </c>
      <c r="AR486" s="299">
        <v>44557</v>
      </c>
      <c r="AS486" s="557" t="str">
        <f t="shared" si="60"/>
        <v/>
      </c>
    </row>
    <row r="487" spans="20:50" x14ac:dyDescent="0.35">
      <c r="T487" s="113">
        <v>11</v>
      </c>
      <c r="U487" s="674">
        <f t="shared" si="53"/>
        <v>44558</v>
      </c>
      <c r="V487" s="982">
        <f t="shared" si="58"/>
        <v>26.635341666666669</v>
      </c>
      <c r="W487" s="286">
        <v>28.045999999999999</v>
      </c>
      <c r="X487" s="306"/>
      <c r="Y487" s="640">
        <f t="shared" si="59"/>
        <v>26.635341666666669</v>
      </c>
      <c r="Z487" s="559">
        <f t="shared" si="50"/>
        <v>26.62938306693307</v>
      </c>
      <c r="AB487" s="649">
        <f t="shared" si="57"/>
        <v>44558</v>
      </c>
      <c r="AC487" s="286">
        <f t="shared" si="55"/>
        <v>30.326475219983777</v>
      </c>
      <c r="AD487" s="668">
        <f t="shared" si="56"/>
        <v>1.1388350659028807</v>
      </c>
      <c r="AE487">
        <v>27</v>
      </c>
      <c r="AI487" s="548">
        <v>450</v>
      </c>
      <c r="AM487" s="673"/>
      <c r="AO487" s="557"/>
      <c r="AP487" s="676"/>
      <c r="AQ487" s="280">
        <f t="shared" si="51"/>
        <v>0</v>
      </c>
      <c r="AR487" s="299">
        <v>44558</v>
      </c>
      <c r="AS487" s="557" t="str">
        <f t="shared" si="60"/>
        <v/>
      </c>
    </row>
    <row r="488" spans="20:50" x14ac:dyDescent="0.35">
      <c r="T488" s="113">
        <v>12</v>
      </c>
      <c r="U488" s="674">
        <f t="shared" si="53"/>
        <v>44559</v>
      </c>
      <c r="V488" s="982">
        <f t="shared" si="58"/>
        <v>26.6</v>
      </c>
      <c r="W488" s="286">
        <v>27.970500000000001</v>
      </c>
      <c r="X488" s="306"/>
      <c r="Y488" s="640">
        <f t="shared" si="59"/>
        <v>26.602689278646498</v>
      </c>
      <c r="Z488" s="559">
        <f t="shared" si="50"/>
        <v>26.595855999209572</v>
      </c>
      <c r="AB488" s="649">
        <f t="shared" si="57"/>
        <v>44559</v>
      </c>
      <c r="AC488" s="286">
        <f t="shared" si="55"/>
        <v>30.298620892768543</v>
      </c>
      <c r="AD488" s="668">
        <f t="shared" si="56"/>
        <v>1.1392233772685871</v>
      </c>
      <c r="AE488">
        <v>28</v>
      </c>
      <c r="AI488" s="548">
        <v>450</v>
      </c>
      <c r="AM488" s="673"/>
      <c r="AO488" s="557">
        <v>21.777469821</v>
      </c>
      <c r="AP488" s="284">
        <f>AO488*$BF$4</f>
        <v>2.2747657724147841</v>
      </c>
      <c r="AQ488" s="280">
        <f t="shared" si="51"/>
        <v>6.8242973172443522</v>
      </c>
      <c r="AR488" s="299">
        <v>44559</v>
      </c>
      <c r="AS488" s="557" t="str">
        <f t="shared" si="60"/>
        <v/>
      </c>
    </row>
    <row r="489" spans="20:50" x14ac:dyDescent="0.35">
      <c r="U489" s="674">
        <f t="shared" si="53"/>
        <v>44560</v>
      </c>
      <c r="V489" s="982">
        <v>26.6</v>
      </c>
      <c r="W489" s="286">
        <v>28.0609</v>
      </c>
      <c r="X489" s="306"/>
      <c r="Y489" s="640">
        <f t="shared" si="59"/>
        <v>26.6</v>
      </c>
      <c r="Z489" s="559">
        <f t="shared" si="50"/>
        <v>26.582284382284385</v>
      </c>
      <c r="AB489" s="649">
        <f t="shared" si="57"/>
        <v>44560</v>
      </c>
      <c r="AC489" s="286">
        <f t="shared" si="55"/>
        <v>30.293481992652115</v>
      </c>
      <c r="AD489" s="668">
        <f t="shared" si="56"/>
        <v>1.1396116886342935</v>
      </c>
      <c r="AE489">
        <v>29</v>
      </c>
      <c r="AI489" s="548">
        <v>450</v>
      </c>
      <c r="AL489" s="673"/>
      <c r="AM489" s="673"/>
      <c r="AO489" s="557"/>
      <c r="AP489" s="676"/>
      <c r="AQ489" s="280">
        <f t="shared" si="51"/>
        <v>0</v>
      </c>
      <c r="AR489" s="299">
        <v>44560</v>
      </c>
      <c r="AS489" s="557" t="str">
        <f>IF(AL489=0,"",AL489)</f>
        <v/>
      </c>
    </row>
    <row r="490" spans="20:50" x14ac:dyDescent="0.35">
      <c r="U490" s="674">
        <f t="shared" si="53"/>
        <v>44561</v>
      </c>
      <c r="V490" s="982">
        <v>26.6</v>
      </c>
      <c r="W490" s="286">
        <v>28.052399999999999</v>
      </c>
      <c r="X490" s="306"/>
      <c r="Y490" s="640">
        <f t="shared" si="59"/>
        <v>26.6</v>
      </c>
      <c r="Z490" s="559">
        <f t="shared" si="50"/>
        <v>26.582284382284385</v>
      </c>
      <c r="AB490" s="649">
        <f t="shared" si="57"/>
        <v>44561</v>
      </c>
      <c r="AC490" s="286">
        <f t="shared" si="55"/>
        <v>30.303804195804197</v>
      </c>
      <c r="AD490" s="668">
        <v>1.1399999999999999</v>
      </c>
      <c r="AI490" s="548">
        <v>450</v>
      </c>
      <c r="AL490" s="673"/>
      <c r="AM490" s="680"/>
      <c r="AN490" s="300"/>
      <c r="AO490" s="562"/>
      <c r="AP490" s="677"/>
      <c r="AQ490" s="280">
        <f t="shared" si="51"/>
        <v>0</v>
      </c>
      <c r="AR490" s="299">
        <v>44561</v>
      </c>
    </row>
    <row r="491" spans="20:50" x14ac:dyDescent="0.35">
      <c r="T491" s="113">
        <v>1</v>
      </c>
      <c r="U491" s="674">
        <f t="shared" si="53"/>
        <v>44564</v>
      </c>
      <c r="V491" s="286">
        <f t="shared" ref="V491:V496" si="61">$V$490-(($V$490-$V$497)/7)*T491</f>
        <v>26.635714285714286</v>
      </c>
      <c r="W491" s="286">
        <v>28.192599999999999</v>
      </c>
      <c r="X491" s="306"/>
      <c r="Y491" s="640">
        <f t="shared" si="59"/>
        <v>26.635714285714286</v>
      </c>
      <c r="Z491" s="559">
        <f t="shared" si="50"/>
        <v>26.659323809523812</v>
      </c>
      <c r="AB491" s="649">
        <f t="shared" si="57"/>
        <v>44564</v>
      </c>
      <c r="AC491" s="286">
        <f t="shared" si="55"/>
        <v>30.364969819047623</v>
      </c>
      <c r="AD491" s="668">
        <v>1.139</v>
      </c>
      <c r="AI491" s="548">
        <v>450</v>
      </c>
      <c r="AM491" s="678"/>
      <c r="AN491" s="672"/>
      <c r="AO491" s="675"/>
      <c r="AP491" s="672"/>
      <c r="AQ491" s="280">
        <f t="shared" si="51"/>
        <v>0</v>
      </c>
      <c r="AR491" s="299">
        <v>44564</v>
      </c>
      <c r="AT491" s="557"/>
      <c r="AU491" s="557"/>
      <c r="AW491" s="557"/>
      <c r="AX491" s="557"/>
    </row>
    <row r="492" spans="20:50" x14ac:dyDescent="0.35">
      <c r="T492" s="113">
        <v>2</v>
      </c>
      <c r="U492" s="674">
        <f t="shared" si="53"/>
        <v>44565</v>
      </c>
      <c r="V492" s="286">
        <f t="shared" si="61"/>
        <v>26.671428571428574</v>
      </c>
      <c r="W492" s="286">
        <v>28.154399999999999</v>
      </c>
      <c r="X492" s="306"/>
      <c r="Y492" s="640">
        <f t="shared" si="59"/>
        <v>26.671428571428574</v>
      </c>
      <c r="Z492" s="559">
        <f t="shared" si="50"/>
        <v>26.695085714285721</v>
      </c>
      <c r="AB492" s="649">
        <f t="shared" si="57"/>
        <v>44565</v>
      </c>
      <c r="AC492" s="286">
        <f t="shared" si="55"/>
        <v>30.379007542857149</v>
      </c>
      <c r="AD492" s="668">
        <v>1.1379999999999999</v>
      </c>
      <c r="AI492" s="548">
        <v>450</v>
      </c>
      <c r="AM492" s="673"/>
      <c r="AO492" s="557"/>
      <c r="AQ492" s="280">
        <f t="shared" si="51"/>
        <v>0</v>
      </c>
      <c r="AR492" s="299">
        <v>44565</v>
      </c>
      <c r="AS492" s="557" t="str">
        <f>IF(AM490=0,"",AM490)</f>
        <v/>
      </c>
    </row>
    <row r="493" spans="20:50" x14ac:dyDescent="0.35">
      <c r="T493" s="113">
        <v>3</v>
      </c>
      <c r="U493" s="674">
        <f t="shared" si="53"/>
        <v>44566</v>
      </c>
      <c r="V493" s="286">
        <f t="shared" si="61"/>
        <v>26.707142857142859</v>
      </c>
      <c r="W493" s="286">
        <v>28.203499999999998</v>
      </c>
      <c r="X493" s="306"/>
      <c r="Y493" s="640">
        <f t="shared" si="59"/>
        <v>26.759233992667681</v>
      </c>
      <c r="Z493" s="559">
        <f t="shared" si="50"/>
        <v>26.765644497578204</v>
      </c>
      <c r="AB493" s="649">
        <f t="shared" si="57"/>
        <v>44566</v>
      </c>
      <c r="AC493" s="286">
        <f t="shared" si="55"/>
        <v>30.448597180444963</v>
      </c>
      <c r="AD493" s="668">
        <v>1.1375999999999999</v>
      </c>
      <c r="AI493" s="548">
        <v>450</v>
      </c>
      <c r="AM493" s="673"/>
      <c r="AO493" s="557">
        <v>457.4168871558</v>
      </c>
      <c r="AP493" s="284">
        <f>AO493*$BG$4</f>
        <v>43.885284007275757</v>
      </c>
      <c r="AQ493" s="280">
        <f t="shared" si="51"/>
        <v>131.65585202182729</v>
      </c>
      <c r="AR493" s="299">
        <v>44566</v>
      </c>
    </row>
    <row r="494" spans="20:50" x14ac:dyDescent="0.35">
      <c r="T494" s="113">
        <v>4</v>
      </c>
      <c r="U494" s="674">
        <f t="shared" si="53"/>
        <v>44567</v>
      </c>
      <c r="V494" s="286">
        <f t="shared" si="61"/>
        <v>26.742857142857144</v>
      </c>
      <c r="W494" s="286">
        <v>28.2561</v>
      </c>
      <c r="X494" s="306"/>
      <c r="Y494" s="640">
        <f t="shared" si="59"/>
        <v>26.742857142857144</v>
      </c>
      <c r="Z494" s="559">
        <f t="shared" si="50"/>
        <v>26.713141620284478</v>
      </c>
      <c r="AB494" s="649">
        <f t="shared" si="57"/>
        <v>44567</v>
      </c>
      <c r="AC494" s="286">
        <f t="shared" si="55"/>
        <v>30.38886990723562</v>
      </c>
      <c r="AD494" s="668">
        <v>1.1375999999999999</v>
      </c>
      <c r="AI494" s="548">
        <v>450</v>
      </c>
      <c r="AM494" s="673"/>
      <c r="AO494" s="557"/>
      <c r="AQ494" s="280">
        <f t="shared" si="51"/>
        <v>0</v>
      </c>
      <c r="AR494" s="299">
        <v>44567</v>
      </c>
    </row>
    <row r="495" spans="20:50" x14ac:dyDescent="0.35">
      <c r="T495" s="113">
        <v>5</v>
      </c>
      <c r="U495" s="674">
        <f t="shared" si="53"/>
        <v>44568</v>
      </c>
      <c r="V495" s="286">
        <f t="shared" si="61"/>
        <v>26.778571428571428</v>
      </c>
      <c r="W495" s="306">
        <v>28.1648</v>
      </c>
      <c r="X495" s="306"/>
      <c r="Y495" s="640">
        <f t="shared" si="59"/>
        <v>26.778571428571428</v>
      </c>
      <c r="Z495" s="559">
        <f t="shared" si="50"/>
        <v>26.80237142857143</v>
      </c>
      <c r="AB495" s="649">
        <f t="shared" si="57"/>
        <v>44568</v>
      </c>
      <c r="AC495" s="286">
        <f t="shared" si="55"/>
        <v>30.490377737142857</v>
      </c>
      <c r="AD495" s="668">
        <v>1.1375999999999999</v>
      </c>
      <c r="AI495" s="548">
        <v>450</v>
      </c>
      <c r="AM495" s="673"/>
      <c r="AO495" s="557"/>
      <c r="AQ495" s="280">
        <f t="shared" si="51"/>
        <v>0</v>
      </c>
      <c r="AR495" s="299">
        <v>44568</v>
      </c>
    </row>
    <row r="496" spans="20:50" x14ac:dyDescent="0.35">
      <c r="T496" s="113">
        <v>6</v>
      </c>
      <c r="U496" s="674">
        <f t="shared" si="53"/>
        <v>44571</v>
      </c>
      <c r="V496" s="286">
        <f t="shared" si="61"/>
        <v>26.814285714285717</v>
      </c>
      <c r="W496" s="306">
        <v>28.166499999999999</v>
      </c>
      <c r="X496" s="306"/>
      <c r="Y496" s="640">
        <f t="shared" si="59"/>
        <v>26.814285714285717</v>
      </c>
      <c r="Z496" s="559">
        <f t="shared" si="50"/>
        <v>26.838133333333335</v>
      </c>
      <c r="AB496" s="649">
        <f t="shared" si="57"/>
        <v>44571</v>
      </c>
      <c r="AC496" s="286">
        <f t="shared" si="55"/>
        <v>30.531060480000001</v>
      </c>
      <c r="AD496" s="668">
        <v>1.1375999999999999</v>
      </c>
      <c r="AI496" s="548">
        <v>450</v>
      </c>
      <c r="AM496" s="673"/>
      <c r="AO496" s="557"/>
      <c r="AQ496" s="280">
        <f t="shared" si="51"/>
        <v>0</v>
      </c>
      <c r="AR496" s="299">
        <v>44571</v>
      </c>
    </row>
    <row r="497" spans="20:50" x14ac:dyDescent="0.35">
      <c r="T497" s="113">
        <v>7</v>
      </c>
      <c r="U497" s="674">
        <f t="shared" si="53"/>
        <v>44572</v>
      </c>
      <c r="V497" s="122">
        <f>26.85</f>
        <v>26.85</v>
      </c>
      <c r="W497" s="306">
        <v>28.1524</v>
      </c>
      <c r="X497" s="306"/>
      <c r="Y497" s="640">
        <f t="shared" si="59"/>
        <v>26.85</v>
      </c>
      <c r="Z497" s="559">
        <f t="shared" ref="Z497:Z512" si="62">((IF(Y497/Y496&gt;1,Y497*1.002,Y497/1.001))*2+V496)/3</f>
        <v>26.873895238095241</v>
      </c>
      <c r="AB497" s="649">
        <f t="shared" si="57"/>
        <v>44572</v>
      </c>
      <c r="AC497" s="286">
        <f t="shared" si="55"/>
        <v>30.571743222857144</v>
      </c>
      <c r="AD497" s="668">
        <v>1.1375999999999999</v>
      </c>
      <c r="AI497" s="548">
        <v>450</v>
      </c>
      <c r="AM497" s="673"/>
      <c r="AO497" s="557"/>
      <c r="AQ497" s="280">
        <f t="shared" si="51"/>
        <v>0</v>
      </c>
      <c r="AR497" s="299">
        <v>44572</v>
      </c>
    </row>
    <row r="498" spans="20:50" x14ac:dyDescent="0.35">
      <c r="T498" s="113">
        <v>1</v>
      </c>
      <c r="U498" s="674">
        <f t="shared" si="53"/>
        <v>44573</v>
      </c>
      <c r="V498" s="286">
        <f>$V$497-(($V$497-$V$505)/7)*T498</f>
        <v>26.814285714285717</v>
      </c>
      <c r="W498" s="306">
        <v>28.165199999999999</v>
      </c>
      <c r="X498" s="306"/>
      <c r="Y498" s="640">
        <f t="shared" si="59"/>
        <v>26.815245911156666</v>
      </c>
      <c r="Z498" s="559">
        <f t="shared" si="62"/>
        <v>26.808971635801978</v>
      </c>
      <c r="AB498" s="649">
        <f t="shared" si="57"/>
        <v>44573</v>
      </c>
      <c r="AC498" s="286">
        <f t="shared" si="55"/>
        <v>30.497886132888329</v>
      </c>
      <c r="AD498" s="668">
        <v>1.1375999999999999</v>
      </c>
      <c r="AI498" s="548">
        <v>450</v>
      </c>
      <c r="AM498" s="673"/>
      <c r="AO498" s="557">
        <v>8.3978836374199997</v>
      </c>
      <c r="AP498" s="284">
        <f>AO498*$BG$4</f>
        <v>0.8057059519158104</v>
      </c>
      <c r="AQ498" s="280">
        <f t="shared" si="51"/>
        <v>2.4171178557474313</v>
      </c>
      <c r="AR498" s="299">
        <v>44573</v>
      </c>
    </row>
    <row r="499" spans="20:50" x14ac:dyDescent="0.35">
      <c r="T499" s="113">
        <v>2</v>
      </c>
      <c r="U499" s="674">
        <f t="shared" si="53"/>
        <v>44574</v>
      </c>
      <c r="V499" s="286">
        <f t="shared" ref="V499:V504" si="63">$V$497-(($V$497-$V$505)/7)*T499</f>
        <v>26.778571428571428</v>
      </c>
      <c r="W499" s="306">
        <v>28.192900000000002</v>
      </c>
      <c r="X499" s="306"/>
      <c r="Y499" s="640">
        <f t="shared" si="59"/>
        <v>26.778571428571428</v>
      </c>
      <c r="Z499" s="559">
        <f t="shared" si="62"/>
        <v>26.772641644070216</v>
      </c>
      <c r="AB499" s="649">
        <f t="shared" si="57"/>
        <v>44574</v>
      </c>
      <c r="AC499" s="286">
        <f t="shared" si="55"/>
        <v>30.456557134294275</v>
      </c>
      <c r="AD499" s="668">
        <v>1.1375999999999999</v>
      </c>
      <c r="AI499" s="548">
        <v>450</v>
      </c>
      <c r="AM499" s="673">
        <v>186.18737849999999</v>
      </c>
      <c r="AO499" s="557"/>
      <c r="AQ499" s="280">
        <f t="shared" si="51"/>
        <v>-186.18737849999999</v>
      </c>
      <c r="AR499" s="299">
        <v>44574</v>
      </c>
    </row>
    <row r="500" spans="20:50" x14ac:dyDescent="0.35">
      <c r="T500" s="113">
        <v>3</v>
      </c>
      <c r="U500" s="674">
        <f t="shared" si="53"/>
        <v>44575</v>
      </c>
      <c r="V500" s="286">
        <f t="shared" si="63"/>
        <v>26.742857142857144</v>
      </c>
      <c r="Y500" s="640">
        <f t="shared" si="59"/>
        <v>26.742857142857144</v>
      </c>
      <c r="Z500" s="559">
        <f t="shared" si="62"/>
        <v>26.736951144094004</v>
      </c>
      <c r="AB500" s="649">
        <f t="shared" si="57"/>
        <v>44575</v>
      </c>
      <c r="AC500" s="286">
        <f t="shared" si="55"/>
        <v>30.415955621521338</v>
      </c>
      <c r="AD500" s="668">
        <v>1.1375999999999999</v>
      </c>
      <c r="AI500" s="548">
        <v>450</v>
      </c>
      <c r="AM500" s="673"/>
      <c r="AO500" s="557"/>
      <c r="AQ500" s="280">
        <f t="shared" si="51"/>
        <v>0</v>
      </c>
      <c r="AR500" s="299">
        <v>44575</v>
      </c>
    </row>
    <row r="501" spans="20:50" x14ac:dyDescent="0.35">
      <c r="T501" s="113">
        <v>4</v>
      </c>
      <c r="U501" s="674">
        <f t="shared" si="53"/>
        <v>44578</v>
      </c>
      <c r="V501" s="286">
        <f t="shared" si="63"/>
        <v>26.707142857142859</v>
      </c>
      <c r="Y501" s="640">
        <f t="shared" si="59"/>
        <v>26.707142857142859</v>
      </c>
      <c r="Z501" s="559">
        <f t="shared" si="62"/>
        <v>26.701260644117792</v>
      </c>
      <c r="AB501" s="649">
        <f t="shared" si="57"/>
        <v>44578</v>
      </c>
      <c r="AC501" s="286">
        <f t="shared" si="55"/>
        <v>30.375354108748397</v>
      </c>
      <c r="AD501" s="668">
        <v>1.1375999999999999</v>
      </c>
      <c r="AI501" s="548">
        <v>450</v>
      </c>
      <c r="AM501" s="673"/>
      <c r="AO501" s="557"/>
      <c r="AQ501" s="280">
        <f t="shared" si="51"/>
        <v>0</v>
      </c>
      <c r="AR501" s="299">
        <v>44578</v>
      </c>
    </row>
    <row r="502" spans="20:50" x14ac:dyDescent="0.35">
      <c r="T502" s="113">
        <v>5</v>
      </c>
      <c r="U502" s="674">
        <f t="shared" si="53"/>
        <v>44579</v>
      </c>
      <c r="V502" s="286">
        <f t="shared" si="63"/>
        <v>26.671428571428574</v>
      </c>
      <c r="Y502" s="640">
        <f t="shared" si="59"/>
        <v>26.671428571428574</v>
      </c>
      <c r="Z502" s="559">
        <f t="shared" si="62"/>
        <v>26.665570144141579</v>
      </c>
      <c r="AB502" s="649">
        <f t="shared" si="57"/>
        <v>44579</v>
      </c>
      <c r="AC502" s="286">
        <f t="shared" si="55"/>
        <v>30.334752595975459</v>
      </c>
      <c r="AD502" s="668">
        <v>1.1375999999999999</v>
      </c>
      <c r="AI502" s="548">
        <v>450</v>
      </c>
      <c r="AM502" s="673"/>
      <c r="AO502" s="557"/>
      <c r="AQ502" s="280">
        <f t="shared" si="51"/>
        <v>0</v>
      </c>
      <c r="AR502" s="299">
        <v>44579</v>
      </c>
    </row>
    <row r="503" spans="20:50" x14ac:dyDescent="0.35">
      <c r="T503" s="113">
        <v>6</v>
      </c>
      <c r="U503" s="674">
        <f t="shared" si="53"/>
        <v>44580</v>
      </c>
      <c r="V503" s="286">
        <f t="shared" si="63"/>
        <v>26.635714285714286</v>
      </c>
      <c r="Y503" s="640">
        <f t="shared" si="59"/>
        <v>26.652048096902902</v>
      </c>
      <c r="Z503" s="559">
        <f t="shared" si="62"/>
        <v>26.640757973295308</v>
      </c>
      <c r="AB503" s="649">
        <f t="shared" si="57"/>
        <v>44580</v>
      </c>
      <c r="AC503" s="286">
        <f t="shared" si="55"/>
        <v>30.30652627042074</v>
      </c>
      <c r="AD503" s="668">
        <v>1.1375999999999999</v>
      </c>
      <c r="AI503" s="548">
        <v>450</v>
      </c>
      <c r="AM503" s="673"/>
      <c r="AO503" s="557">
        <v>143.81327694199999</v>
      </c>
      <c r="AP503" s="284">
        <f>AO503*$BG$4</f>
        <v>13.797668341149361</v>
      </c>
      <c r="AQ503" s="280">
        <f t="shared" si="51"/>
        <v>41.393005023448083</v>
      </c>
      <c r="AR503" s="299">
        <v>44580</v>
      </c>
    </row>
    <row r="504" spans="20:50" x14ac:dyDescent="0.35">
      <c r="T504" s="113">
        <v>7</v>
      </c>
      <c r="U504" s="674">
        <f t="shared" si="53"/>
        <v>44581</v>
      </c>
      <c r="V504" s="286">
        <f t="shared" si="63"/>
        <v>26.6</v>
      </c>
      <c r="Y504" s="640">
        <f t="shared" si="59"/>
        <v>26.6</v>
      </c>
      <c r="Z504" s="559">
        <f t="shared" si="62"/>
        <v>26.594189144189148</v>
      </c>
      <c r="AB504" s="649">
        <f t="shared" si="57"/>
        <v>44581</v>
      </c>
      <c r="AC504" s="286">
        <f t="shared" si="55"/>
        <v>30.253549570429573</v>
      </c>
      <c r="AD504" s="668">
        <v>1.1375999999999999</v>
      </c>
      <c r="AI504" s="548">
        <v>450</v>
      </c>
      <c r="AM504" s="673"/>
      <c r="AO504" s="557"/>
      <c r="AQ504" s="280">
        <f t="shared" si="51"/>
        <v>0</v>
      </c>
      <c r="AR504" s="299">
        <v>44581</v>
      </c>
    </row>
    <row r="505" spans="20:50" x14ac:dyDescent="0.35">
      <c r="T505" s="113">
        <v>8</v>
      </c>
      <c r="U505" s="674">
        <f t="shared" si="53"/>
        <v>44582</v>
      </c>
      <c r="V505" s="306">
        <v>26.6</v>
      </c>
      <c r="Y505" s="640">
        <f t="shared" si="59"/>
        <v>26.6</v>
      </c>
      <c r="Z505" s="559">
        <f t="shared" si="62"/>
        <v>26.582284382284385</v>
      </c>
      <c r="AB505" s="649">
        <f t="shared" si="57"/>
        <v>44582</v>
      </c>
      <c r="AC505" s="286">
        <f t="shared" si="55"/>
        <v>30.240006713286714</v>
      </c>
      <c r="AD505" s="668">
        <v>1.1375999999999999</v>
      </c>
      <c r="AI505" s="548">
        <v>450</v>
      </c>
      <c r="AM505" s="673"/>
      <c r="AO505" s="557"/>
      <c r="AQ505" s="280">
        <f t="shared" si="51"/>
        <v>0</v>
      </c>
      <c r="AR505" s="299">
        <v>44582</v>
      </c>
    </row>
    <row r="506" spans="20:50" x14ac:dyDescent="0.35">
      <c r="T506" s="113">
        <v>1</v>
      </c>
      <c r="U506" s="674">
        <f t="shared" si="53"/>
        <v>44585</v>
      </c>
      <c r="V506" s="306">
        <v>26.6</v>
      </c>
      <c r="Y506" s="640">
        <f t="shared" si="59"/>
        <v>26.6</v>
      </c>
      <c r="Z506" s="559">
        <f t="shared" si="62"/>
        <v>26.582284382284385</v>
      </c>
      <c r="AB506" s="649">
        <f t="shared" si="57"/>
        <v>44585</v>
      </c>
      <c r="AC506" s="286">
        <f t="shared" si="55"/>
        <v>30.240006713286714</v>
      </c>
      <c r="AD506" s="668">
        <v>1.1375999999999999</v>
      </c>
      <c r="AI506" s="548">
        <v>450</v>
      </c>
      <c r="AM506" s="673"/>
      <c r="AO506" s="557"/>
      <c r="AQ506" s="280">
        <f t="shared" si="51"/>
        <v>0</v>
      </c>
      <c r="AR506" s="299">
        <v>44585</v>
      </c>
    </row>
    <row r="507" spans="20:50" x14ac:dyDescent="0.35">
      <c r="U507" s="674">
        <f t="shared" si="53"/>
        <v>44586</v>
      </c>
      <c r="V507" s="306">
        <v>26.6</v>
      </c>
      <c r="Y507" s="640">
        <f t="shared" si="59"/>
        <v>26.6</v>
      </c>
      <c r="Z507" s="559">
        <f t="shared" si="62"/>
        <v>26.582284382284385</v>
      </c>
      <c r="AB507" s="649">
        <f t="shared" si="57"/>
        <v>44586</v>
      </c>
      <c r="AC507" s="286">
        <f t="shared" si="55"/>
        <v>30.240006713286714</v>
      </c>
      <c r="AD507" s="668">
        <v>1.1375999999999999</v>
      </c>
      <c r="AI507" s="548">
        <v>450</v>
      </c>
      <c r="AM507" s="673"/>
      <c r="AO507" s="557"/>
      <c r="AQ507" s="280">
        <f t="shared" ref="AQ507:AQ512" si="64">-AM507+AN507+(AP507*3)</f>
        <v>0</v>
      </c>
      <c r="AR507" s="299">
        <v>44586</v>
      </c>
    </row>
    <row r="508" spans="20:50" x14ac:dyDescent="0.35">
      <c r="U508" s="674">
        <f t="shared" si="53"/>
        <v>44587</v>
      </c>
      <c r="V508" s="306">
        <v>26.6</v>
      </c>
      <c r="Y508" s="640">
        <f t="shared" si="59"/>
        <v>26.602024408430346</v>
      </c>
      <c r="Z508" s="559">
        <f t="shared" si="62"/>
        <v>26.636818971498133</v>
      </c>
      <c r="AB508" s="649">
        <f t="shared" si="57"/>
        <v>44587</v>
      </c>
      <c r="AC508" s="286">
        <f t="shared" si="55"/>
        <v>30.302045261976275</v>
      </c>
      <c r="AD508" s="668">
        <v>1.1375999999999999</v>
      </c>
      <c r="AI508" s="548">
        <v>450</v>
      </c>
      <c r="AM508" s="673"/>
      <c r="AO508" s="557">
        <v>17.848112695369998</v>
      </c>
      <c r="AP508" s="284">
        <f>AO508*$BG$4</f>
        <v>1.7123755519839132</v>
      </c>
      <c r="AQ508" s="280">
        <f t="shared" si="64"/>
        <v>5.1371266559517395</v>
      </c>
      <c r="AR508" s="299">
        <v>44587</v>
      </c>
    </row>
    <row r="509" spans="20:50" x14ac:dyDescent="0.35">
      <c r="U509" s="674">
        <f t="shared" ref="U509:U531" si="65">AR509</f>
        <v>44588</v>
      </c>
      <c r="V509" s="306">
        <v>26.6</v>
      </c>
      <c r="Y509" s="640">
        <f t="shared" si="59"/>
        <v>26.6</v>
      </c>
      <c r="Z509" s="559">
        <f t="shared" si="62"/>
        <v>26.582284382284385</v>
      </c>
      <c r="AB509" s="649">
        <f t="shared" si="57"/>
        <v>44588</v>
      </c>
      <c r="AC509" s="286">
        <f t="shared" si="55"/>
        <v>30.240006713286714</v>
      </c>
      <c r="AD509" s="668">
        <v>1.1375999999999999</v>
      </c>
      <c r="AI509" s="548">
        <v>450</v>
      </c>
      <c r="AM509" s="673"/>
      <c r="AN509" s="557">
        <v>30.078125000000004</v>
      </c>
      <c r="AO509" s="557"/>
      <c r="AQ509" s="280">
        <f t="shared" si="64"/>
        <v>30.078125000000004</v>
      </c>
      <c r="AR509" s="299">
        <v>44588</v>
      </c>
    </row>
    <row r="510" spans="20:50" x14ac:dyDescent="0.35">
      <c r="U510" s="674">
        <f t="shared" si="65"/>
        <v>44589</v>
      </c>
      <c r="V510" s="306">
        <v>26.6</v>
      </c>
      <c r="Y510" s="640">
        <f t="shared" si="59"/>
        <v>26.6</v>
      </c>
      <c r="Z510" s="559">
        <f t="shared" si="62"/>
        <v>26.582284382284385</v>
      </c>
      <c r="AB510" s="649">
        <f t="shared" si="57"/>
        <v>44589</v>
      </c>
      <c r="AC510" s="286">
        <f t="shared" si="55"/>
        <v>30.240006713286714</v>
      </c>
      <c r="AD510" s="668">
        <v>1.1375999999999999</v>
      </c>
      <c r="AI510" s="548">
        <v>450</v>
      </c>
      <c r="AM510" s="673"/>
      <c r="AO510" s="557"/>
      <c r="AQ510" s="280">
        <f t="shared" si="64"/>
        <v>0</v>
      </c>
      <c r="AR510" s="299">
        <v>44589</v>
      </c>
    </row>
    <row r="511" spans="20:50" x14ac:dyDescent="0.35">
      <c r="U511" s="674">
        <f t="shared" si="65"/>
        <v>44592</v>
      </c>
      <c r="V511" s="306">
        <v>26.6</v>
      </c>
      <c r="Y511" s="640">
        <f t="shared" si="59"/>
        <v>26.6</v>
      </c>
      <c r="Z511" s="559">
        <f t="shared" si="62"/>
        <v>26.582284382284385</v>
      </c>
      <c r="AB511" s="649">
        <f t="shared" si="57"/>
        <v>44592</v>
      </c>
      <c r="AC511" s="286">
        <f>AD511*Z511</f>
        <v>30.240006713286714</v>
      </c>
      <c r="AD511" s="668">
        <v>1.1375999999999999</v>
      </c>
      <c r="AI511" s="548">
        <v>450</v>
      </c>
      <c r="AM511" s="680"/>
      <c r="AN511" s="300"/>
      <c r="AO511" s="562"/>
      <c r="AP511" s="300"/>
      <c r="AQ511" s="280">
        <f t="shared" si="64"/>
        <v>0</v>
      </c>
      <c r="AR511" s="299">
        <v>44592</v>
      </c>
    </row>
    <row r="512" spans="20:50" x14ac:dyDescent="0.35">
      <c r="U512" s="674">
        <f t="shared" si="65"/>
        <v>44593</v>
      </c>
      <c r="V512" s="306">
        <v>26.6</v>
      </c>
      <c r="Y512" s="640">
        <f>V512*(((AP512/AI512)*0.02)+1)</f>
        <v>26.6</v>
      </c>
      <c r="Z512" s="559">
        <f t="shared" si="62"/>
        <v>26.582284382284385</v>
      </c>
      <c r="AB512" s="649">
        <f t="shared" si="57"/>
        <v>44593</v>
      </c>
      <c r="AC512" s="286">
        <f>AD512*Z512</f>
        <v>30.240006713286714</v>
      </c>
      <c r="AD512" s="668">
        <v>1.1375999999999999</v>
      </c>
      <c r="AI512" s="548">
        <v>450</v>
      </c>
      <c r="AM512" s="678"/>
      <c r="AN512" s="675">
        <v>89.67847064</v>
      </c>
      <c r="AO512" s="675"/>
      <c r="AP512" s="672"/>
      <c r="AQ512" s="280">
        <f t="shared" si="64"/>
        <v>89.67847064</v>
      </c>
      <c r="AR512" s="299">
        <v>44593</v>
      </c>
      <c r="AT512" s="557"/>
      <c r="AU512" s="557"/>
      <c r="AW512" s="557"/>
      <c r="AX512" s="557"/>
    </row>
    <row r="513" spans="21:46" x14ac:dyDescent="0.35">
      <c r="U513" s="674">
        <f t="shared" si="65"/>
        <v>44594</v>
      </c>
      <c r="AB513" s="649"/>
      <c r="AI513" s="548">
        <v>450</v>
      </c>
      <c r="AM513" s="673"/>
      <c r="AO513" s="557">
        <v>493.97663631580002</v>
      </c>
      <c r="AP513" s="284">
        <f>AO513*$BG$4</f>
        <v>47.39288291797115</v>
      </c>
      <c r="AQ513" s="280">
        <f t="shared" ref="AQ513:AQ531" si="66">-AM513+AN513+(AP513*3)</f>
        <v>142.17864875391345</v>
      </c>
      <c r="AR513" s="299">
        <v>44594</v>
      </c>
      <c r="AT513" s="557"/>
    </row>
    <row r="514" spans="21:46" x14ac:dyDescent="0.35">
      <c r="U514" s="674">
        <f t="shared" si="65"/>
        <v>44595</v>
      </c>
      <c r="AB514" s="649"/>
      <c r="AI514" s="548">
        <v>450</v>
      </c>
      <c r="AM514" s="673">
        <v>38.917290000000001</v>
      </c>
      <c r="AO514" s="557"/>
      <c r="AQ514" s="280">
        <f t="shared" si="66"/>
        <v>-38.917290000000001</v>
      </c>
      <c r="AR514" s="299">
        <v>44595</v>
      </c>
    </row>
    <row r="515" spans="21:46" x14ac:dyDescent="0.35">
      <c r="U515" s="674">
        <f t="shared" si="65"/>
        <v>44596</v>
      </c>
      <c r="AB515" s="649"/>
      <c r="AI515" s="548">
        <v>450</v>
      </c>
      <c r="AM515" s="673"/>
      <c r="AN515" s="557">
        <v>139.88183285999997</v>
      </c>
      <c r="AO515" s="557"/>
      <c r="AQ515" s="280">
        <f t="shared" si="66"/>
        <v>139.88183285999997</v>
      </c>
      <c r="AR515" s="299">
        <v>44596</v>
      </c>
    </row>
    <row r="516" spans="21:46" x14ac:dyDescent="0.35">
      <c r="U516" s="674">
        <f t="shared" si="65"/>
        <v>44599</v>
      </c>
      <c r="AB516" s="649"/>
      <c r="AI516" s="548">
        <v>450</v>
      </c>
      <c r="AM516" s="673"/>
      <c r="AO516" s="557"/>
      <c r="AQ516" s="280">
        <f t="shared" si="66"/>
        <v>0</v>
      </c>
      <c r="AR516" s="299">
        <v>44599</v>
      </c>
    </row>
    <row r="517" spans="21:46" x14ac:dyDescent="0.35">
      <c r="U517" s="674">
        <f t="shared" si="65"/>
        <v>44600</v>
      </c>
      <c r="AB517" s="649"/>
      <c r="AI517" s="548">
        <v>450</v>
      </c>
      <c r="AM517" s="673"/>
      <c r="AO517" s="557"/>
      <c r="AQ517" s="280">
        <f t="shared" si="66"/>
        <v>0</v>
      </c>
      <c r="AR517" s="299">
        <v>44600</v>
      </c>
    </row>
    <row r="518" spans="21:46" x14ac:dyDescent="0.35">
      <c r="U518" s="674">
        <f t="shared" si="65"/>
        <v>44601</v>
      </c>
      <c r="AB518" s="649"/>
      <c r="AI518" s="548">
        <v>450</v>
      </c>
      <c r="AM518" s="673"/>
      <c r="AO518" s="557">
        <v>16.831975637576001</v>
      </c>
      <c r="AP518" s="284">
        <f>AO518*$BG$4</f>
        <v>1.6148857901850266</v>
      </c>
      <c r="AQ518" s="280">
        <f t="shared" si="66"/>
        <v>4.8446573705550797</v>
      </c>
      <c r="AR518" s="299">
        <v>44601</v>
      </c>
    </row>
    <row r="519" spans="21:46" x14ac:dyDescent="0.35">
      <c r="U519" s="674">
        <f t="shared" si="65"/>
        <v>44602</v>
      </c>
      <c r="AB519" s="649"/>
      <c r="AI519" s="548">
        <v>450</v>
      </c>
      <c r="AM519" s="673"/>
      <c r="AO519" s="557"/>
      <c r="AQ519" s="280">
        <f t="shared" si="66"/>
        <v>0</v>
      </c>
      <c r="AR519" s="299">
        <v>44602</v>
      </c>
    </row>
    <row r="520" spans="21:46" x14ac:dyDescent="0.35">
      <c r="U520" s="674">
        <f t="shared" si="65"/>
        <v>44603</v>
      </c>
      <c r="AB520" s="649"/>
      <c r="AI520" s="548">
        <v>450</v>
      </c>
      <c r="AM520" s="673"/>
      <c r="AO520" s="557"/>
      <c r="AQ520" s="280">
        <f t="shared" si="66"/>
        <v>0</v>
      </c>
      <c r="AR520" s="299">
        <v>44603</v>
      </c>
    </row>
    <row r="521" spans="21:46" x14ac:dyDescent="0.35">
      <c r="U521" s="674">
        <f t="shared" si="65"/>
        <v>44606</v>
      </c>
      <c r="AB521" s="649"/>
      <c r="AI521" s="548">
        <v>450</v>
      </c>
      <c r="AM521" s="673"/>
      <c r="AO521" s="557"/>
      <c r="AQ521" s="280">
        <f t="shared" si="66"/>
        <v>0</v>
      </c>
      <c r="AR521" s="299">
        <v>44606</v>
      </c>
    </row>
    <row r="522" spans="21:46" x14ac:dyDescent="0.35">
      <c r="U522" s="674">
        <f t="shared" si="65"/>
        <v>44607</v>
      </c>
      <c r="AB522" s="649"/>
      <c r="AI522" s="548">
        <v>450</v>
      </c>
      <c r="AM522" s="673"/>
      <c r="AO522" s="557"/>
      <c r="AQ522" s="280">
        <f t="shared" si="66"/>
        <v>0</v>
      </c>
      <c r="AR522" s="299">
        <v>44607</v>
      </c>
    </row>
    <row r="523" spans="21:46" x14ac:dyDescent="0.35">
      <c r="U523" s="674">
        <f t="shared" si="65"/>
        <v>44608</v>
      </c>
      <c r="AB523" s="649"/>
      <c r="AI523" s="548">
        <v>450</v>
      </c>
      <c r="AM523" s="673"/>
      <c r="AO523" s="557">
        <v>29.822415799186</v>
      </c>
      <c r="AP523" s="284">
        <f>AO523*$BG$4</f>
        <v>2.8612087220220377</v>
      </c>
      <c r="AQ523" s="280">
        <f t="shared" si="66"/>
        <v>8.5836261660661126</v>
      </c>
      <c r="AR523" s="299">
        <v>44608</v>
      </c>
    </row>
    <row r="524" spans="21:46" x14ac:dyDescent="0.35">
      <c r="U524" s="674">
        <f t="shared" si="65"/>
        <v>44609</v>
      </c>
      <c r="AB524" s="649"/>
      <c r="AI524" s="548">
        <v>450</v>
      </c>
      <c r="AM524" s="673">
        <v>43.798866750000002</v>
      </c>
      <c r="AO524" s="557"/>
      <c r="AQ524" s="280">
        <f t="shared" si="66"/>
        <v>-43.798866750000002</v>
      </c>
      <c r="AR524" s="299">
        <v>44609</v>
      </c>
    </row>
    <row r="525" spans="21:46" x14ac:dyDescent="0.35">
      <c r="U525" s="674">
        <f t="shared" si="65"/>
        <v>44610</v>
      </c>
      <c r="AB525" s="649"/>
      <c r="AI525" s="548">
        <v>450</v>
      </c>
      <c r="AM525" s="673"/>
      <c r="AO525" s="557"/>
      <c r="AQ525" s="280">
        <f t="shared" si="66"/>
        <v>0</v>
      </c>
      <c r="AR525" s="299">
        <v>44610</v>
      </c>
    </row>
    <row r="526" spans="21:46" x14ac:dyDescent="0.35">
      <c r="U526" s="674">
        <f t="shared" si="65"/>
        <v>44613</v>
      </c>
      <c r="AB526" s="649"/>
      <c r="AI526" s="548">
        <v>450</v>
      </c>
      <c r="AM526" s="673"/>
      <c r="AO526" s="557"/>
      <c r="AQ526" s="280">
        <f t="shared" si="66"/>
        <v>0</v>
      </c>
      <c r="AR526" s="299">
        <v>44613</v>
      </c>
    </row>
    <row r="527" spans="21:46" x14ac:dyDescent="0.35">
      <c r="U527" s="674">
        <f t="shared" si="65"/>
        <v>44614</v>
      </c>
      <c r="AB527" s="649"/>
      <c r="AI527" s="548">
        <v>450</v>
      </c>
      <c r="AM527" s="673"/>
      <c r="AO527" s="557"/>
      <c r="AQ527" s="280">
        <f t="shared" si="66"/>
        <v>0</v>
      </c>
      <c r="AR527" s="299">
        <v>44614</v>
      </c>
    </row>
    <row r="528" spans="21:46" x14ac:dyDescent="0.35">
      <c r="U528" s="674">
        <f t="shared" si="65"/>
        <v>44615</v>
      </c>
      <c r="AB528" s="649"/>
      <c r="AI528" s="548">
        <v>450</v>
      </c>
      <c r="AM528" s="673"/>
      <c r="AO528" s="557">
        <v>419.97749586562475</v>
      </c>
      <c r="AP528" s="284">
        <f>AO528*$BG$4</f>
        <v>40.293290869363396</v>
      </c>
      <c r="AQ528" s="280">
        <f t="shared" si="66"/>
        <v>120.87987260809018</v>
      </c>
      <c r="AR528" s="299">
        <v>44615</v>
      </c>
    </row>
    <row r="529" spans="21:44" x14ac:dyDescent="0.35">
      <c r="U529" s="674">
        <f t="shared" si="65"/>
        <v>44616</v>
      </c>
      <c r="AB529" s="649"/>
      <c r="AI529" s="548">
        <v>450</v>
      </c>
      <c r="AM529" s="673"/>
      <c r="AO529" s="557"/>
      <c r="AQ529" s="280">
        <f t="shared" si="66"/>
        <v>0</v>
      </c>
      <c r="AR529" s="299">
        <v>44616</v>
      </c>
    </row>
    <row r="530" spans="21:44" x14ac:dyDescent="0.35">
      <c r="U530" s="674">
        <f t="shared" si="65"/>
        <v>44617</v>
      </c>
      <c r="AB530" s="649"/>
      <c r="AI530" s="548">
        <v>450</v>
      </c>
      <c r="AM530" s="673"/>
      <c r="AO530" s="557">
        <v>25.67746693231517</v>
      </c>
      <c r="AP530" s="284">
        <f>AO530*$BG$4</f>
        <v>2.4635359134177834</v>
      </c>
      <c r="AQ530" s="280">
        <f t="shared" si="66"/>
        <v>7.3906077402533503</v>
      </c>
      <c r="AR530" s="299">
        <v>44617</v>
      </c>
    </row>
    <row r="531" spans="21:44" x14ac:dyDescent="0.35">
      <c r="U531" s="674">
        <f t="shared" si="65"/>
        <v>44620</v>
      </c>
      <c r="AB531" s="649"/>
      <c r="AI531" s="548">
        <v>450</v>
      </c>
      <c r="AM531" s="680"/>
      <c r="AN531" s="300"/>
      <c r="AO531" s="562"/>
      <c r="AP531" s="300"/>
      <c r="AQ531" s="280">
        <f t="shared" si="66"/>
        <v>0</v>
      </c>
      <c r="AR531" s="299">
        <v>44620</v>
      </c>
    </row>
    <row r="532" spans="21:44" x14ac:dyDescent="0.35">
      <c r="U532" s="674"/>
      <c r="AM532" s="675"/>
      <c r="AN532" s="672"/>
      <c r="AO532" s="675"/>
      <c r="AP532" s="672"/>
      <c r="AQ532" s="968"/>
      <c r="AR532" s="299" t="e">
        <f ca="1">_xll.РАБДЕНЬ(AR531,1,1)</f>
        <v>#NAME?</v>
      </c>
    </row>
    <row r="533" spans="21:44" x14ac:dyDescent="0.35">
      <c r="U533" s="674"/>
      <c r="AR533" s="281"/>
    </row>
    <row r="534" spans="21:44" x14ac:dyDescent="0.35">
      <c r="U534" s="674"/>
    </row>
    <row r="535" spans="21:44" x14ac:dyDescent="0.35">
      <c r="U535" s="674"/>
    </row>
    <row r="536" spans="21:44" x14ac:dyDescent="0.35">
      <c r="U536" s="674"/>
    </row>
    <row r="537" spans="21:44" x14ac:dyDescent="0.35">
      <c r="U537" s="674"/>
    </row>
    <row r="543" spans="21:44" x14ac:dyDescent="0.35">
      <c r="AN543" s="969"/>
    </row>
    <row r="544" spans="21:44" x14ac:dyDescent="0.35">
      <c r="AN544" s="970"/>
    </row>
    <row r="545" spans="40:40" x14ac:dyDescent="0.35">
      <c r="AN545" s="971"/>
    </row>
  </sheetData>
  <mergeCells count="5">
    <mergeCell ref="C9:N9"/>
    <mergeCell ref="AS4:AW4"/>
    <mergeCell ref="AO4:AP4"/>
    <mergeCell ref="AJ4:AL4"/>
    <mergeCell ref="AB4:AG4"/>
  </mergeCells>
  <conditionalFormatting sqref="AH87:AH108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48:Z512">
    <cfRule type="colorScale" priority="10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78:Y512">
    <cfRule type="colorScale" priority="10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109:Z512">
    <cfRule type="colorScale" priority="10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360:Z512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AFDEE-8D11-4093-830A-1F2B5CCFD413}">
  <dimension ref="A4:U26"/>
  <sheetViews>
    <sheetView topLeftCell="B1" zoomScale="115" zoomScaleNormal="115" workbookViewId="0">
      <selection activeCell="M10" sqref="M10"/>
    </sheetView>
  </sheetViews>
  <sheetFormatPr defaultRowHeight="18" x14ac:dyDescent="0.35"/>
  <cols>
    <col min="1" max="1" width="26.59765625" customWidth="1"/>
  </cols>
  <sheetData>
    <row r="4" spans="1:21" x14ac:dyDescent="0.35">
      <c r="B4" t="s">
        <v>228</v>
      </c>
      <c r="C4" t="s">
        <v>229</v>
      </c>
      <c r="D4" t="s">
        <v>230</v>
      </c>
      <c r="E4" t="s">
        <v>231</v>
      </c>
      <c r="F4" t="s">
        <v>232</v>
      </c>
      <c r="G4" t="s">
        <v>233</v>
      </c>
      <c r="H4" t="s">
        <v>234</v>
      </c>
      <c r="I4" t="s">
        <v>235</v>
      </c>
      <c r="J4" t="s">
        <v>236</v>
      </c>
      <c r="K4" t="s">
        <v>237</v>
      </c>
      <c r="L4" t="s">
        <v>238</v>
      </c>
      <c r="M4" t="s">
        <v>239</v>
      </c>
      <c r="S4" t="s">
        <v>336</v>
      </c>
      <c r="T4" t="s">
        <v>337</v>
      </c>
      <c r="U4" t="s">
        <v>334</v>
      </c>
    </row>
    <row r="5" spans="1:21" ht="18.75" x14ac:dyDescent="0.35">
      <c r="A5" t="str">
        <f>INDEX($S5:$U5,1,MATCH(Чарти!$B$1,$S$4:$U$4,0))</f>
        <v>Экспорт товаров</v>
      </c>
      <c r="B5" s="1257">
        <f>'ПБ V-1 (fin min)'!AL7</f>
        <v>5589</v>
      </c>
      <c r="C5" s="1257">
        <f>'ПБ V-1 (fin min)'!AM7</f>
        <v>4889</v>
      </c>
      <c r="D5" s="1257">
        <f>'ПБ V-1 (fin min)'!AN7</f>
        <v>2293</v>
      </c>
      <c r="E5" s="1257">
        <f>'ПБ V-1 (fin min)'!AO7</f>
        <v>2375</v>
      </c>
      <c r="F5" s="1257">
        <f>'ПБ V-1 (fin min)'!AP7</f>
        <v>2632</v>
      </c>
      <c r="G5" s="1257">
        <f>'ПБ V-1 (fin min)'!AQ7</f>
        <v>2930</v>
      </c>
      <c r="H5" s="1257">
        <f>'ПБ V-1 (fin min)'!AR7</f>
        <v>2678</v>
      </c>
      <c r="I5" s="1257">
        <f>'ПБ V-1 (fin min)'!AS7</f>
        <v>3123</v>
      </c>
      <c r="J5" s="1257">
        <f>'ПБ V-1 (fin min)'!AT7</f>
        <v>3899</v>
      </c>
      <c r="K5" s="1257">
        <f>'ПБ V-1 (fin min)'!AU7</f>
        <v>3599</v>
      </c>
      <c r="L5" s="1257">
        <f>'ПБ V-1 (fin min)'!AV7</f>
        <v>3593</v>
      </c>
      <c r="M5" s="1257">
        <f>'ПБ V-1 (fin min)'!AW7</f>
        <v>3299</v>
      </c>
      <c r="N5" s="1">
        <f>SUM(B5:M5)</f>
        <v>40899</v>
      </c>
      <c r="O5" s="609">
        <f>N5/1000</f>
        <v>40.899000000000001</v>
      </c>
      <c r="P5" s="609">
        <f>O5+O7-O6-O8</f>
        <v>-25.737000000000005</v>
      </c>
      <c r="S5" t="s">
        <v>339</v>
      </c>
      <c r="T5" t="s">
        <v>382</v>
      </c>
      <c r="U5" t="s">
        <v>26</v>
      </c>
    </row>
    <row r="6" spans="1:21" ht="18.75" x14ac:dyDescent="0.35">
      <c r="A6" t="str">
        <f>INDEX($S6:$U6,1,MATCH(Чарти!$B$1,$S$4:$U$4,0))</f>
        <v>Импорт товаров</v>
      </c>
      <c r="B6" s="1257">
        <f>'ПБ V-1 (fin min)'!AL8</f>
        <v>5886</v>
      </c>
      <c r="C6" s="1257">
        <f>'ПБ V-1 (fin min)'!AM8</f>
        <v>5874</v>
      </c>
      <c r="D6" s="1257">
        <f>'ПБ V-1 (fin min)'!AN8</f>
        <v>1993</v>
      </c>
      <c r="E6" s="1257">
        <f>'ПБ V-1 (fin min)'!AO8</f>
        <v>2780</v>
      </c>
      <c r="F6" s="1257">
        <f>'ПБ V-1 (fin min)'!AP8</f>
        <v>3841</v>
      </c>
      <c r="G6" s="1257">
        <f>'ПБ V-1 (fin min)'!AQ8</f>
        <v>4827</v>
      </c>
      <c r="H6" s="1257">
        <f>'ПБ V-1 (fin min)'!AR8</f>
        <v>4597</v>
      </c>
      <c r="I6" s="1257">
        <f>'ПБ V-1 (fin min)'!AS8</f>
        <v>4669</v>
      </c>
      <c r="J6" s="1257">
        <f>'ПБ V-1 (fin min)'!AT8</f>
        <v>4584</v>
      </c>
      <c r="K6" s="1257">
        <f>'ПБ V-1 (fin min)'!AU8</f>
        <v>4818</v>
      </c>
      <c r="L6" s="1257">
        <f>'ПБ V-1 (fin min)'!AV8</f>
        <v>5493</v>
      </c>
      <c r="M6" s="1257">
        <f>'ПБ V-1 (fin min)'!AW8</f>
        <v>6189</v>
      </c>
      <c r="N6" s="1">
        <f>SUM(B6:M6)</f>
        <v>55551</v>
      </c>
      <c r="O6" s="609">
        <f>N6/1000</f>
        <v>55.551000000000002</v>
      </c>
      <c r="S6" t="s">
        <v>340</v>
      </c>
      <c r="T6" t="s">
        <v>383</v>
      </c>
      <c r="U6" t="s">
        <v>27</v>
      </c>
    </row>
    <row r="7" spans="1:21" ht="18.75" x14ac:dyDescent="0.35">
      <c r="A7" t="str">
        <f>INDEX($S7:$U7,1,MATCH(Чарти!$B$1,$S$4:$U$4,0))</f>
        <v>Экспорт услуг</v>
      </c>
      <c r="B7" s="1257">
        <f>'ПБ V-1 (fin min)'!AL10</f>
        <v>1756</v>
      </c>
      <c r="C7" s="1257">
        <f>'ПБ V-1 (fin min)'!AM10</f>
        <v>1778</v>
      </c>
      <c r="D7" s="1257">
        <f>'ПБ V-1 (fin min)'!AN10</f>
        <v>1100</v>
      </c>
      <c r="E7" s="1257">
        <f>'ПБ V-1 (fin min)'!AO10</f>
        <v>1212</v>
      </c>
      <c r="F7" s="1257">
        <f>'ПБ V-1 (fin min)'!AP10</f>
        <v>1293</v>
      </c>
      <c r="G7" s="1257">
        <f>'ПБ V-1 (fin min)'!AQ10</f>
        <v>1236</v>
      </c>
      <c r="H7" s="1257">
        <f>'ПБ V-1 (fin min)'!AR10</f>
        <v>1272</v>
      </c>
      <c r="I7" s="1257">
        <f>'ПБ V-1 (fin min)'!AS10</f>
        <v>1324</v>
      </c>
      <c r="J7" s="1257">
        <f>'ПБ V-1 (fin min)'!AT10</f>
        <v>1299</v>
      </c>
      <c r="K7" s="1257">
        <f>'ПБ V-1 (fin min)'!AU10</f>
        <v>1320</v>
      </c>
      <c r="L7" s="1257">
        <f>'ПБ V-1 (fin min)'!AV10</f>
        <v>1392</v>
      </c>
      <c r="M7" s="1257">
        <f>'ПБ V-1 (fin min)'!AW10</f>
        <v>1636</v>
      </c>
      <c r="N7" s="1">
        <f>SUM(B7:M7)</f>
        <v>16618</v>
      </c>
      <c r="O7" s="609">
        <f>N7/1000</f>
        <v>16.617999999999999</v>
      </c>
      <c r="S7" t="s">
        <v>341</v>
      </c>
      <c r="T7" t="s">
        <v>384</v>
      </c>
      <c r="U7" t="s">
        <v>28</v>
      </c>
    </row>
    <row r="8" spans="1:21" ht="18.75" x14ac:dyDescent="0.35">
      <c r="A8" t="str">
        <f>INDEX($S8:$U8,1,MATCH(Чарти!$B$1,$S$4:$U$4,0))</f>
        <v>Импорт услуг</v>
      </c>
      <c r="B8" s="1257">
        <f>'ПБ V-1 (fin min)'!AL11</f>
        <v>1516</v>
      </c>
      <c r="C8" s="1257">
        <f>'ПБ V-1 (fin min)'!AM11</f>
        <v>1649</v>
      </c>
      <c r="D8" s="1257">
        <f>'ПБ V-1 (fin min)'!AN11</f>
        <v>1973</v>
      </c>
      <c r="E8" s="1257">
        <f>'ПБ V-1 (fin min)'!AO11</f>
        <v>2112</v>
      </c>
      <c r="F8" s="1257">
        <f>'ПБ V-1 (fin min)'!AP11</f>
        <v>2455</v>
      </c>
      <c r="G8" s="1257">
        <f>'ПБ V-1 (fin min)'!AQ11</f>
        <v>2497</v>
      </c>
      <c r="H8" s="1257">
        <f>'ПБ V-1 (fin min)'!AR11</f>
        <v>2477</v>
      </c>
      <c r="I8" s="1257">
        <f>'ПБ V-1 (fin min)'!AS11</f>
        <v>2448</v>
      </c>
      <c r="J8" s="1257">
        <f>'ПБ V-1 (fin min)'!AT11</f>
        <v>2459</v>
      </c>
      <c r="K8" s="1257">
        <f>'ПБ V-1 (fin min)'!AU11</f>
        <v>2492</v>
      </c>
      <c r="L8" s="1257">
        <f>'ПБ V-1 (fin min)'!AV11</f>
        <v>2610</v>
      </c>
      <c r="M8" s="1257">
        <f>'ПБ V-1 (fin min)'!AW11</f>
        <v>3015</v>
      </c>
      <c r="N8" s="1">
        <f>SUM(B8:M8)</f>
        <v>27703</v>
      </c>
      <c r="O8" s="609">
        <f>N8/1000</f>
        <v>27.702999999999999</v>
      </c>
      <c r="S8" t="s">
        <v>342</v>
      </c>
      <c r="T8" t="s">
        <v>385</v>
      </c>
      <c r="U8" t="s">
        <v>29</v>
      </c>
    </row>
    <row r="9" spans="1:21" x14ac:dyDescent="0.35">
      <c r="A9" t="str">
        <f>INDEX($S9:$U9,1,MATCH(Чарти!$B$1,$S$4:$U$4,0))</f>
        <v>Сальдо торгового баланса</v>
      </c>
      <c r="B9" s="275">
        <f>'ПБ V-1 (fin min)'!AL5</f>
        <v>-57</v>
      </c>
      <c r="C9" s="275">
        <f>'ПБ V-1 (fin min)'!AM5</f>
        <v>-856</v>
      </c>
      <c r="D9" s="275">
        <f>'ПБ V-1 (fin min)'!AN5</f>
        <v>-573</v>
      </c>
      <c r="E9" s="275">
        <f>'ПБ V-1 (fin min)'!AO5</f>
        <v>-1305</v>
      </c>
      <c r="F9" s="275">
        <f>'ПБ V-1 (fin min)'!AP5</f>
        <v>-2371</v>
      </c>
      <c r="G9" s="275">
        <f>'ПБ V-1 (fin min)'!AQ5</f>
        <v>-3158</v>
      </c>
      <c r="H9" s="275">
        <f>'ПБ V-1 (fin min)'!AR5</f>
        <v>-3124</v>
      </c>
      <c r="I9" s="275">
        <f>'ПБ V-1 (fin min)'!AS5</f>
        <v>-2670</v>
      </c>
      <c r="J9" s="275">
        <f>'ПБ V-1 (fin min)'!AT5</f>
        <v>-1845</v>
      </c>
      <c r="K9" s="275">
        <f>'ПБ V-1 (fin min)'!AU5</f>
        <v>-2391</v>
      </c>
      <c r="L9" s="275">
        <f>'ПБ V-1 (fin min)'!AV5</f>
        <v>-3118</v>
      </c>
      <c r="M9" s="275">
        <f>'ПБ V-1 (fin min)'!AW5</f>
        <v>-4269</v>
      </c>
      <c r="N9" s="1">
        <f>SUM(B9:M9)</f>
        <v>-25737</v>
      </c>
      <c r="O9" s="609">
        <f>N9/1000</f>
        <v>-25.736999999999998</v>
      </c>
      <c r="S9" t="s">
        <v>343</v>
      </c>
      <c r="T9" t="s">
        <v>386</v>
      </c>
      <c r="U9" t="s">
        <v>387</v>
      </c>
    </row>
    <row r="10" spans="1:21" x14ac:dyDescent="0.35">
      <c r="B10" s="1"/>
      <c r="M10" s="1">
        <f>SUM(B9:M9)</f>
        <v>-25737</v>
      </c>
    </row>
    <row r="19" spans="1:14" x14ac:dyDescent="0.35">
      <c r="A19" t="s">
        <v>240</v>
      </c>
      <c r="B19" t="s">
        <v>228</v>
      </c>
      <c r="C19" t="s">
        <v>229</v>
      </c>
      <c r="D19" t="s">
        <v>230</v>
      </c>
      <c r="E19" t="s">
        <v>231</v>
      </c>
      <c r="F19" t="s">
        <v>232</v>
      </c>
      <c r="G19" t="s">
        <v>233</v>
      </c>
      <c r="H19" t="s">
        <v>234</v>
      </c>
      <c r="I19" t="s">
        <v>235</v>
      </c>
      <c r="J19" t="s">
        <v>236</v>
      </c>
      <c r="K19" t="s">
        <v>237</v>
      </c>
      <c r="L19" t="s">
        <v>238</v>
      </c>
      <c r="M19" t="s">
        <v>239</v>
      </c>
      <c r="N19" t="s">
        <v>255</v>
      </c>
    </row>
    <row r="20" spans="1:14" x14ac:dyDescent="0.35">
      <c r="A20" t="s">
        <v>241</v>
      </c>
      <c r="B20">
        <v>0</v>
      </c>
      <c r="C20">
        <v>-7.0000000000000007E-2</v>
      </c>
      <c r="D20">
        <v>-0.97</v>
      </c>
      <c r="E20">
        <v>0.13</v>
      </c>
      <c r="F20">
        <v>0.36</v>
      </c>
      <c r="G20">
        <v>-0.03</v>
      </c>
      <c r="H20">
        <v>-0.28999999999999998</v>
      </c>
      <c r="I20">
        <v>0.22</v>
      </c>
      <c r="J20">
        <v>-1.1499999999999999</v>
      </c>
      <c r="K20">
        <v>-1</v>
      </c>
      <c r="L20">
        <v>-0.3</v>
      </c>
      <c r="M20">
        <v>-0.88</v>
      </c>
      <c r="N20">
        <v>-3.99</v>
      </c>
    </row>
    <row r="21" spans="1:14" x14ac:dyDescent="0.35">
      <c r="A21" t="s">
        <v>242</v>
      </c>
      <c r="B21">
        <v>-0.55000000000000004</v>
      </c>
      <c r="C21">
        <v>-0.12</v>
      </c>
      <c r="D21">
        <v>0.52</v>
      </c>
      <c r="E21">
        <v>-0.28000000000000003</v>
      </c>
      <c r="F21">
        <v>-0.69</v>
      </c>
      <c r="G21">
        <v>0.02</v>
      </c>
      <c r="H21">
        <v>0.43</v>
      </c>
      <c r="I21">
        <v>1.02</v>
      </c>
      <c r="J21">
        <v>0.34</v>
      </c>
      <c r="K21">
        <v>0.65</v>
      </c>
      <c r="L21">
        <v>1.44</v>
      </c>
      <c r="M21">
        <v>1.66</v>
      </c>
      <c r="N21">
        <v>4.4400000000000004</v>
      </c>
    </row>
    <row r="22" spans="1:14" x14ac:dyDescent="0.35">
      <c r="A22" t="s">
        <v>243</v>
      </c>
      <c r="B22">
        <v>0.33</v>
      </c>
      <c r="C22">
        <v>0.16</v>
      </c>
      <c r="D22">
        <v>-0.26</v>
      </c>
      <c r="E22">
        <v>0.94</v>
      </c>
      <c r="F22">
        <v>0.05</v>
      </c>
      <c r="G22">
        <v>0.76</v>
      </c>
      <c r="H22">
        <v>0.34</v>
      </c>
      <c r="I22">
        <v>2.1800000000000002</v>
      </c>
      <c r="J22">
        <v>-2.08</v>
      </c>
      <c r="K22">
        <v>0.22</v>
      </c>
      <c r="L22">
        <v>-0.03</v>
      </c>
      <c r="M22">
        <v>1.91</v>
      </c>
      <c r="N22">
        <v>4.53</v>
      </c>
    </row>
    <row r="23" spans="1:14" x14ac:dyDescent="0.35">
      <c r="A23" t="s">
        <v>286</v>
      </c>
      <c r="B23">
        <v>7.0000000000000007E-2</v>
      </c>
      <c r="C23">
        <v>-0.04</v>
      </c>
      <c r="D23">
        <v>-0.93</v>
      </c>
      <c r="E23">
        <v>0.56999999999999995</v>
      </c>
      <c r="F23">
        <v>-0.34</v>
      </c>
      <c r="G23">
        <v>0.65</v>
      </c>
      <c r="H23">
        <v>0.04</v>
      </c>
      <c r="I23">
        <v>2.27</v>
      </c>
      <c r="J23">
        <v>-2.75</v>
      </c>
      <c r="K23">
        <v>0.14000000000000001</v>
      </c>
      <c r="L23">
        <v>-0.26</v>
      </c>
      <c r="M23">
        <v>1.85</v>
      </c>
      <c r="N23">
        <v>1.27</v>
      </c>
    </row>
    <row r="24" spans="1:14" x14ac:dyDescent="0.35">
      <c r="A24" t="s">
        <v>344</v>
      </c>
      <c r="B24">
        <v>-0.22</v>
      </c>
      <c r="C24">
        <v>-0.03</v>
      </c>
      <c r="D24">
        <v>-0.71</v>
      </c>
      <c r="E24">
        <v>0.8</v>
      </c>
      <c r="F24">
        <v>-0.28000000000000003</v>
      </c>
      <c r="G24">
        <v>0.75</v>
      </c>
      <c r="H24">
        <v>0.48</v>
      </c>
      <c r="I24">
        <v>3.43</v>
      </c>
      <c r="J24">
        <v>-2.89</v>
      </c>
      <c r="K24">
        <v>-0.14000000000000001</v>
      </c>
      <c r="L24">
        <v>1.1100000000000001</v>
      </c>
      <c r="M24">
        <v>2.68</v>
      </c>
      <c r="N24">
        <v>4.9800000000000004</v>
      </c>
    </row>
    <row r="25" spans="1:14" x14ac:dyDescent="0.35">
      <c r="A25" t="s">
        <v>289</v>
      </c>
      <c r="B25">
        <v>-0.31</v>
      </c>
      <c r="C25">
        <v>-0.28000000000000003</v>
      </c>
      <c r="D25">
        <v>-1.51</v>
      </c>
      <c r="E25">
        <v>0.97</v>
      </c>
      <c r="F25">
        <v>-0.16</v>
      </c>
      <c r="G25">
        <v>0.52</v>
      </c>
      <c r="H25">
        <v>0.59</v>
      </c>
      <c r="I25">
        <v>2.66</v>
      </c>
      <c r="J25">
        <v>-2.23</v>
      </c>
      <c r="K25">
        <v>0.25</v>
      </c>
      <c r="L25">
        <v>-0.05</v>
      </c>
      <c r="M25">
        <v>1.94</v>
      </c>
      <c r="N25">
        <v>2.39</v>
      </c>
    </row>
    <row r="26" spans="1:14" x14ac:dyDescent="0.35">
      <c r="A26" t="s">
        <v>245</v>
      </c>
      <c r="B26">
        <v>-0.31</v>
      </c>
      <c r="C26">
        <v>-0.59</v>
      </c>
      <c r="D26">
        <v>-2.1</v>
      </c>
      <c r="E26">
        <v>-1.1299999999999999</v>
      </c>
      <c r="F26">
        <v>-1.29</v>
      </c>
      <c r="G26">
        <v>-0.78</v>
      </c>
      <c r="H26">
        <v>-0.18</v>
      </c>
      <c r="I26">
        <v>2.48</v>
      </c>
      <c r="J26">
        <v>0.25</v>
      </c>
      <c r="K26">
        <v>0.5</v>
      </c>
      <c r="L26">
        <v>0.45</v>
      </c>
      <c r="M26">
        <v>2.39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10DEE-59E4-47DD-8778-3E0E045F2240}">
  <dimension ref="A4:U26"/>
  <sheetViews>
    <sheetView topLeftCell="D1" zoomScale="115" zoomScaleNormal="115" workbookViewId="0">
      <selection activeCell="D11" sqref="D11"/>
    </sheetView>
  </sheetViews>
  <sheetFormatPr defaultRowHeight="18" x14ac:dyDescent="0.35"/>
  <cols>
    <col min="1" max="1" width="26.59765625" customWidth="1"/>
  </cols>
  <sheetData>
    <row r="4" spans="1:21" x14ac:dyDescent="0.35">
      <c r="B4" t="s">
        <v>228</v>
      </c>
      <c r="C4" t="s">
        <v>229</v>
      </c>
      <c r="D4" t="s">
        <v>230</v>
      </c>
      <c r="E4" t="s">
        <v>231</v>
      </c>
      <c r="F4" t="s">
        <v>232</v>
      </c>
      <c r="G4" t="s">
        <v>233</v>
      </c>
      <c r="H4" t="s">
        <v>234</v>
      </c>
      <c r="I4" t="s">
        <v>235</v>
      </c>
      <c r="J4" t="s">
        <v>236</v>
      </c>
      <c r="K4" t="s">
        <v>237</v>
      </c>
      <c r="L4" t="s">
        <v>238</v>
      </c>
      <c r="M4" t="s">
        <v>239</v>
      </c>
      <c r="S4" t="s">
        <v>336</v>
      </c>
      <c r="T4" t="s">
        <v>337</v>
      </c>
      <c r="U4" t="s">
        <v>334</v>
      </c>
    </row>
    <row r="5" spans="1:21" ht="18.75" x14ac:dyDescent="0.35">
      <c r="A5" t="str">
        <f>INDEX($S5:$U5,1,MATCH(Чарти!$B$1,$S$4:$U$4,0))</f>
        <v>Экспорт товаров</v>
      </c>
      <c r="B5" s="1257">
        <f>'ПБ V-1 (fin min)'!AX7</f>
        <v>2969</v>
      </c>
      <c r="C5" s="1257">
        <f>'ПБ V-1 (fin min)'!AY7</f>
        <v>3154</v>
      </c>
      <c r="D5" s="1257">
        <f>'ПБ V-1 (fin min)'!AZ7</f>
        <v>3667</v>
      </c>
      <c r="E5" s="1257">
        <f>'ПБ V-1 (fin min)'!BA7</f>
        <v>2889</v>
      </c>
      <c r="F5" s="1257">
        <f>'ПБ V-1 (fin min)'!BB7</f>
        <v>2953</v>
      </c>
      <c r="G5" s="1257">
        <f>'ПБ V-1 (fin min)'!BC7</f>
        <v>2810</v>
      </c>
      <c r="H5" s="1257">
        <f>'ПБ V-1 (fin min)'!BD7</f>
        <v>2265</v>
      </c>
      <c r="I5" s="1257">
        <f>'ПБ V-1 (fin min)'!BE7</f>
        <v>2543</v>
      </c>
      <c r="J5" s="1257">
        <f>'ПБ V-1 (fin min)'!BF7</f>
        <v>2557</v>
      </c>
      <c r="K5" s="1257">
        <f>'ПБ V-1 (fin min)'!BG7</f>
        <v>2625</v>
      </c>
      <c r="L5" s="1257">
        <f>'ПБ V-1 (fin min)'!BH7</f>
        <v>2841</v>
      </c>
      <c r="M5" s="1257">
        <f>'ПБ V-1 (fin min)'!BI7</f>
        <v>3194.9933516722654</v>
      </c>
      <c r="N5" s="1">
        <f>SUM(B5:M5)</f>
        <v>34467.993351672267</v>
      </c>
      <c r="O5" s="609">
        <f>N5/1000</f>
        <v>34.46799335167227</v>
      </c>
      <c r="P5" s="609">
        <f>O5+O7-O6-O8</f>
        <v>-37.813809212639086</v>
      </c>
      <c r="S5" t="s">
        <v>339</v>
      </c>
      <c r="T5" t="s">
        <v>382</v>
      </c>
      <c r="U5" t="s">
        <v>26</v>
      </c>
    </row>
    <row r="6" spans="1:21" ht="18.75" x14ac:dyDescent="0.35">
      <c r="A6" t="str">
        <f>INDEX($S6:$U6,1,MATCH(Чарти!$B$1,$S$4:$U$4,0))</f>
        <v>Импорт товаров</v>
      </c>
      <c r="B6" s="1257">
        <f>-'ПБ V-1 (fin min)'!AX8</f>
        <v>-5128</v>
      </c>
      <c r="C6" s="1257">
        <f>-'ПБ V-1 (fin min)'!AY8</f>
        <v>-5148</v>
      </c>
      <c r="D6" s="1257">
        <f>-'ПБ V-1 (fin min)'!AZ8</f>
        <v>-5480</v>
      </c>
      <c r="E6" s="1257">
        <f>-'ПБ V-1 (fin min)'!BA8</f>
        <v>-4619</v>
      </c>
      <c r="F6" s="1257">
        <f>-'ПБ V-1 (fin min)'!BB8</f>
        <v>-4916</v>
      </c>
      <c r="G6" s="1257">
        <f>-'ПБ V-1 (fin min)'!BC8</f>
        <v>-5142</v>
      </c>
      <c r="H6" s="1257">
        <f>-'ПБ V-1 (fin min)'!BD8</f>
        <v>-5226</v>
      </c>
      <c r="I6" s="1257">
        <f>-'ПБ V-1 (fin min)'!BE8</f>
        <v>-5522</v>
      </c>
      <c r="J6" s="1257">
        <f>-'ПБ V-1 (fin min)'!BF8</f>
        <v>-5355</v>
      </c>
      <c r="K6" s="1257">
        <f>-'ПБ V-1 (fin min)'!BG8</f>
        <v>-5486</v>
      </c>
      <c r="L6" s="1257">
        <f>-'ПБ V-1 (fin min)'!BH8</f>
        <v>-4988</v>
      </c>
      <c r="M6" s="1257">
        <f>-'ПБ V-1 (fin min)'!BI8</f>
        <v>-6025.4682381922266</v>
      </c>
      <c r="N6" s="1">
        <f>SUM(B6:M6)</f>
        <v>-63035.468238192225</v>
      </c>
      <c r="O6" s="609">
        <f>-N6/1000</f>
        <v>63.035468238192223</v>
      </c>
      <c r="S6" t="s">
        <v>340</v>
      </c>
      <c r="T6" t="s">
        <v>383</v>
      </c>
      <c r="U6" t="s">
        <v>27</v>
      </c>
    </row>
    <row r="7" spans="1:21" ht="18.75" x14ac:dyDescent="0.35">
      <c r="A7" t="str">
        <f>INDEX($S7:$U7,1,MATCH(Чарти!$B$1,$S$4:$U$4,0))</f>
        <v>Экспорт услуг</v>
      </c>
      <c r="B7" s="1257">
        <f>'ПБ V-1 (fin min)'!AX10</f>
        <v>1277</v>
      </c>
      <c r="C7" s="1257">
        <f>'ПБ V-1 (fin min)'!AY10</f>
        <v>1315</v>
      </c>
      <c r="D7" s="1257">
        <f>'ПБ V-1 (fin min)'!AZ10</f>
        <v>1387</v>
      </c>
      <c r="E7" s="1257">
        <f>'ПБ V-1 (fin min)'!BA10</f>
        <v>1276</v>
      </c>
      <c r="F7" s="1257">
        <f>'ПБ V-1 (fin min)'!BB10</f>
        <v>1352</v>
      </c>
      <c r="G7" s="1257">
        <f>'ПБ V-1 (fin min)'!BC10</f>
        <v>1363</v>
      </c>
      <c r="H7" s="1257">
        <f>'ПБ V-1 (fin min)'!BD10</f>
        <v>1370</v>
      </c>
      <c r="I7" s="1257">
        <f>'ПБ V-1 (fin min)'!BE10</f>
        <v>1391</v>
      </c>
      <c r="J7" s="1257">
        <f>'ПБ V-1 (fin min)'!BF10</f>
        <v>1283</v>
      </c>
      <c r="K7" s="1257">
        <f>'ПБ V-1 (fin min)'!BG10</f>
        <v>1360</v>
      </c>
      <c r="L7" s="1257">
        <f>'ПБ V-1 (fin min)'!BH10</f>
        <v>1423</v>
      </c>
      <c r="M7" s="1257">
        <f>'ПБ V-1 (fin min)'!BI10</f>
        <v>1394.6049390718174</v>
      </c>
      <c r="N7" s="1">
        <f>SUM(B7:M7)</f>
        <v>16191.604939071818</v>
      </c>
      <c r="O7" s="609">
        <f>N7/1000</f>
        <v>16.191604939071819</v>
      </c>
      <c r="S7" t="s">
        <v>341</v>
      </c>
      <c r="T7" t="s">
        <v>384</v>
      </c>
      <c r="U7" t="s">
        <v>28</v>
      </c>
    </row>
    <row r="8" spans="1:21" ht="18.75" x14ac:dyDescent="0.35">
      <c r="A8" t="str">
        <f>INDEX($S8:$U8,1,MATCH(Чарти!$B$1,$S$4:$U$4,0))</f>
        <v>Импорт услуг</v>
      </c>
      <c r="B8" s="1257">
        <f>-'ПБ V-1 (fin min)'!AX11</f>
        <v>-2691</v>
      </c>
      <c r="C8" s="1257">
        <f>-'ПБ V-1 (fin min)'!AY11</f>
        <v>-2622</v>
      </c>
      <c r="D8" s="1257">
        <f>-'ПБ V-1 (fin min)'!AZ11</f>
        <v>-2259</v>
      </c>
      <c r="E8" s="1257">
        <f>-'ПБ V-1 (fin min)'!BA11</f>
        <v>-1905</v>
      </c>
      <c r="F8" s="1257">
        <f>-'ПБ V-1 (fin min)'!BB11</f>
        <v>-1946</v>
      </c>
      <c r="G8" s="1257">
        <f>-'ПБ V-1 (fin min)'!BC11</f>
        <v>-1909</v>
      </c>
      <c r="H8" s="1257">
        <f>-'ПБ V-1 (fin min)'!BD11</f>
        <v>-1975</v>
      </c>
      <c r="I8" s="1257">
        <f>-'ПБ V-1 (fin min)'!BE11</f>
        <v>-1979</v>
      </c>
      <c r="J8" s="1257">
        <f>-'ПБ V-1 (fin min)'!BF11</f>
        <v>-1937</v>
      </c>
      <c r="K8" s="1257">
        <f>-'ПБ V-1 (fin min)'!BG11</f>
        <v>-1948</v>
      </c>
      <c r="L8" s="1257">
        <f>-'ПБ V-1 (fin min)'!BH11</f>
        <v>-2005</v>
      </c>
      <c r="M8" s="1257">
        <f>-'ПБ V-1 (fin min)'!BI11</f>
        <v>-2261.9392651909529</v>
      </c>
      <c r="N8" s="1">
        <f>SUM(B8:M8)</f>
        <v>-25437.939265190951</v>
      </c>
      <c r="O8" s="609">
        <f>-N8/1000</f>
        <v>25.437939265190952</v>
      </c>
      <c r="S8" t="s">
        <v>342</v>
      </c>
      <c r="T8" t="s">
        <v>385</v>
      </c>
      <c r="U8" t="s">
        <v>29</v>
      </c>
    </row>
    <row r="9" spans="1:21" ht="18.75" x14ac:dyDescent="0.35">
      <c r="A9" t="str">
        <f>INDEX($S9:$U9,1,MATCH(Чарти!$B$1,$S$4:$U$4,0))</f>
        <v>Сальдо торгового баланса</v>
      </c>
      <c r="B9" s="1257">
        <f>'ПБ V-1 (fin min)'!AX5</f>
        <v>-3573</v>
      </c>
      <c r="C9" s="1257">
        <f>'ПБ V-1 (fin min)'!AY5</f>
        <v>-3301</v>
      </c>
      <c r="D9" s="1257">
        <f>'ПБ V-1 (fin min)'!AZ5</f>
        <v>-2685</v>
      </c>
      <c r="E9" s="1257">
        <f>'ПБ V-1 (fin min)'!BA5</f>
        <v>-2359</v>
      </c>
      <c r="F9" s="1257">
        <f>'ПБ V-1 (fin min)'!BB5</f>
        <v>-2557</v>
      </c>
      <c r="G9" s="1257">
        <f>'ПБ V-1 (fin min)'!BC5</f>
        <v>-2878</v>
      </c>
      <c r="H9" s="1257">
        <f>'ПБ V-1 (fin min)'!BD5</f>
        <v>-3566</v>
      </c>
      <c r="I9" s="1257">
        <f>'ПБ V-1 (fin min)'!BE5</f>
        <v>-3567</v>
      </c>
      <c r="J9" s="1257">
        <f>'ПБ V-1 (fin min)'!BF5</f>
        <v>-3452</v>
      </c>
      <c r="K9" s="1257">
        <f>'ПБ V-1 (fin min)'!BG5</f>
        <v>-3449</v>
      </c>
      <c r="L9" s="1257">
        <f>'ПБ V-1 (fin min)'!BH5</f>
        <v>-2729</v>
      </c>
      <c r="M9" s="1257">
        <f>'ПБ V-1 (fin min)'!BI5</f>
        <v>-3697.8092126390966</v>
      </c>
      <c r="N9" s="1">
        <f>SUM(B9:M9)</f>
        <v>-37813.809212639098</v>
      </c>
      <c r="O9" s="609">
        <f>N9/1000</f>
        <v>-37.8138092126391</v>
      </c>
      <c r="S9" t="s">
        <v>343</v>
      </c>
      <c r="T9" t="s">
        <v>386</v>
      </c>
      <c r="U9" t="s">
        <v>387</v>
      </c>
    </row>
    <row r="10" spans="1:21" x14ac:dyDescent="0.35">
      <c r="B10" s="1"/>
      <c r="M10" s="1">
        <f>SUM(B9:M9)</f>
        <v>-37813.809212639098</v>
      </c>
    </row>
    <row r="19" spans="1:14" x14ac:dyDescent="0.35">
      <c r="A19" t="s">
        <v>240</v>
      </c>
      <c r="B19" t="s">
        <v>228</v>
      </c>
      <c r="C19" t="s">
        <v>229</v>
      </c>
      <c r="D19" t="s">
        <v>230</v>
      </c>
      <c r="E19" t="s">
        <v>231</v>
      </c>
      <c r="F19" t="s">
        <v>232</v>
      </c>
      <c r="G19" t="s">
        <v>233</v>
      </c>
      <c r="H19" t="s">
        <v>234</v>
      </c>
      <c r="I19" t="s">
        <v>235</v>
      </c>
      <c r="J19" t="s">
        <v>236</v>
      </c>
      <c r="K19" t="s">
        <v>237</v>
      </c>
      <c r="L19" t="s">
        <v>238</v>
      </c>
      <c r="M19" t="s">
        <v>239</v>
      </c>
      <c r="N19" t="s">
        <v>255</v>
      </c>
    </row>
    <row r="20" spans="1:14" x14ac:dyDescent="0.35">
      <c r="A20" t="s">
        <v>241</v>
      </c>
      <c r="B20">
        <v>0</v>
      </c>
      <c r="C20">
        <v>-7.0000000000000007E-2</v>
      </c>
      <c r="D20">
        <v>-0.97</v>
      </c>
      <c r="E20">
        <v>0.13</v>
      </c>
      <c r="F20">
        <v>0.36</v>
      </c>
      <c r="G20">
        <v>-0.03</v>
      </c>
      <c r="H20">
        <v>-0.28999999999999998</v>
      </c>
      <c r="I20">
        <v>0.22</v>
      </c>
      <c r="J20">
        <v>-1.1499999999999999</v>
      </c>
      <c r="K20">
        <v>-1</v>
      </c>
      <c r="L20">
        <v>-0.3</v>
      </c>
      <c r="M20">
        <v>-0.88</v>
      </c>
      <c r="N20">
        <v>-3.99</v>
      </c>
    </row>
    <row r="21" spans="1:14" x14ac:dyDescent="0.35">
      <c r="A21" t="s">
        <v>242</v>
      </c>
      <c r="B21">
        <v>-0.55000000000000004</v>
      </c>
      <c r="C21">
        <v>-0.12</v>
      </c>
      <c r="D21">
        <v>0.52</v>
      </c>
      <c r="E21">
        <v>-0.28000000000000003</v>
      </c>
      <c r="F21">
        <v>-0.69</v>
      </c>
      <c r="G21">
        <v>0.02</v>
      </c>
      <c r="H21">
        <v>0.43</v>
      </c>
      <c r="I21">
        <v>1.02</v>
      </c>
      <c r="J21">
        <v>0.34</v>
      </c>
      <c r="K21">
        <v>0.65</v>
      </c>
      <c r="L21">
        <v>1.44</v>
      </c>
      <c r="M21">
        <v>1.66</v>
      </c>
      <c r="N21">
        <v>4.4400000000000004</v>
      </c>
    </row>
    <row r="22" spans="1:14" x14ac:dyDescent="0.35">
      <c r="A22" t="s">
        <v>243</v>
      </c>
      <c r="B22">
        <v>0.33</v>
      </c>
      <c r="C22">
        <v>0.16</v>
      </c>
      <c r="D22">
        <v>-0.26</v>
      </c>
      <c r="E22">
        <v>0.94</v>
      </c>
      <c r="F22">
        <v>0.05</v>
      </c>
      <c r="G22">
        <v>0.76</v>
      </c>
      <c r="H22">
        <v>0.34</v>
      </c>
      <c r="I22">
        <v>2.1800000000000002</v>
      </c>
      <c r="J22">
        <v>-2.08</v>
      </c>
      <c r="K22">
        <v>0.22</v>
      </c>
      <c r="L22">
        <v>-0.03</v>
      </c>
      <c r="M22">
        <v>1.91</v>
      </c>
      <c r="N22">
        <v>4.53</v>
      </c>
    </row>
    <row r="23" spans="1:14" x14ac:dyDescent="0.35">
      <c r="A23" t="s">
        <v>286</v>
      </c>
      <c r="B23">
        <v>7.0000000000000007E-2</v>
      </c>
      <c r="C23">
        <v>-0.04</v>
      </c>
      <c r="D23">
        <v>-0.93</v>
      </c>
      <c r="E23">
        <v>0.56999999999999995</v>
      </c>
      <c r="F23">
        <v>-0.34</v>
      </c>
      <c r="G23">
        <v>0.65</v>
      </c>
      <c r="H23">
        <v>0.04</v>
      </c>
      <c r="I23">
        <v>2.27</v>
      </c>
      <c r="J23">
        <v>-2.75</v>
      </c>
      <c r="K23">
        <v>0.14000000000000001</v>
      </c>
      <c r="L23">
        <v>-0.26</v>
      </c>
      <c r="M23">
        <v>1.85</v>
      </c>
      <c r="N23">
        <v>1.27</v>
      </c>
    </row>
    <row r="24" spans="1:14" x14ac:dyDescent="0.35">
      <c r="A24" t="s">
        <v>344</v>
      </c>
      <c r="B24">
        <v>-0.22</v>
      </c>
      <c r="C24">
        <v>-0.03</v>
      </c>
      <c r="D24">
        <v>-0.71</v>
      </c>
      <c r="E24">
        <v>0.8</v>
      </c>
      <c r="F24">
        <v>-0.28000000000000003</v>
      </c>
      <c r="G24">
        <v>0.75</v>
      </c>
      <c r="H24">
        <v>0.48</v>
      </c>
      <c r="I24">
        <v>3.43</v>
      </c>
      <c r="J24">
        <v>-2.89</v>
      </c>
      <c r="K24">
        <v>-0.14000000000000001</v>
      </c>
      <c r="L24">
        <v>1.1100000000000001</v>
      </c>
      <c r="M24">
        <v>2.68</v>
      </c>
      <c r="N24">
        <v>4.9800000000000004</v>
      </c>
    </row>
    <row r="25" spans="1:14" x14ac:dyDescent="0.35">
      <c r="A25" t="s">
        <v>289</v>
      </c>
      <c r="B25">
        <v>-0.31</v>
      </c>
      <c r="C25">
        <v>-0.28000000000000003</v>
      </c>
      <c r="D25">
        <v>-1.51</v>
      </c>
      <c r="E25">
        <v>0.97</v>
      </c>
      <c r="F25">
        <v>-0.16</v>
      </c>
      <c r="G25">
        <v>0.52</v>
      </c>
      <c r="H25">
        <v>0.59</v>
      </c>
      <c r="I25">
        <v>2.66</v>
      </c>
      <c r="J25">
        <v>-2.23</v>
      </c>
      <c r="K25">
        <v>0.25</v>
      </c>
      <c r="L25">
        <v>-0.05</v>
      </c>
      <c r="M25">
        <v>1.94</v>
      </c>
      <c r="N25">
        <v>2.39</v>
      </c>
    </row>
    <row r="26" spans="1:14" x14ac:dyDescent="0.35">
      <c r="A26" t="s">
        <v>245</v>
      </c>
      <c r="B26">
        <v>-0.31</v>
      </c>
      <c r="C26">
        <v>-0.59</v>
      </c>
      <c r="D26">
        <v>-2.1</v>
      </c>
      <c r="E26">
        <v>-1.1299999999999999</v>
      </c>
      <c r="F26">
        <v>-1.29</v>
      </c>
      <c r="G26">
        <v>-0.78</v>
      </c>
      <c r="H26">
        <v>-0.18</v>
      </c>
      <c r="I26">
        <v>2.48</v>
      </c>
      <c r="J26">
        <v>0.25</v>
      </c>
      <c r="K26">
        <v>0.5</v>
      </c>
      <c r="L26">
        <v>0.45</v>
      </c>
      <c r="M26">
        <v>2.39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AB41C-0A7F-41CA-987F-415A98D76A6D}">
  <dimension ref="A4:U26"/>
  <sheetViews>
    <sheetView zoomScale="115" zoomScaleNormal="115" workbookViewId="0">
      <selection activeCell="O9" sqref="O9"/>
    </sheetView>
  </sheetViews>
  <sheetFormatPr defaultRowHeight="18" x14ac:dyDescent="0.35"/>
  <cols>
    <col min="1" max="1" width="26.59765625" customWidth="1"/>
  </cols>
  <sheetData>
    <row r="4" spans="1:21" x14ac:dyDescent="0.35">
      <c r="B4" t="s">
        <v>228</v>
      </c>
      <c r="C4" t="s">
        <v>229</v>
      </c>
      <c r="D4" t="s">
        <v>230</v>
      </c>
      <c r="E4" t="s">
        <v>231</v>
      </c>
      <c r="F4" t="s">
        <v>232</v>
      </c>
      <c r="G4" t="s">
        <v>233</v>
      </c>
      <c r="H4" t="s">
        <v>234</v>
      </c>
      <c r="I4" t="s">
        <v>235</v>
      </c>
      <c r="J4" t="s">
        <v>236</v>
      </c>
      <c r="K4" t="s">
        <v>237</v>
      </c>
      <c r="L4" t="s">
        <v>238</v>
      </c>
      <c r="M4" t="s">
        <v>239</v>
      </c>
      <c r="S4" t="s">
        <v>336</v>
      </c>
      <c r="T4" t="s">
        <v>337</v>
      </c>
      <c r="U4" t="s">
        <v>334</v>
      </c>
    </row>
    <row r="5" spans="1:21" ht="18.75" x14ac:dyDescent="0.35">
      <c r="A5" t="str">
        <f>INDEX($S5:$U5,1,MATCH(Чарти!$B$1,$S$4:$U$4,0))</f>
        <v>Экспорт товаров</v>
      </c>
      <c r="B5" s="1257">
        <f>'ПБ V-1 (fin min)'!BJ7</f>
        <v>3382.7961247419639</v>
      </c>
      <c r="C5" s="1257">
        <f>'ПБ V-1 (fin min)'!BK7</f>
        <v>3341.9071300703863</v>
      </c>
      <c r="D5" s="1257">
        <f>'ПБ V-1 (fin min)'!BL7</f>
        <v>3076.3172319355976</v>
      </c>
      <c r="E5" s="1257">
        <f>'ПБ V-1 (fin min)'!BM7</f>
        <v>2778.0376337633825</v>
      </c>
      <c r="F5" s="1257">
        <f>'ПБ V-1 (fin min)'!BN7</f>
        <v>2536.7056909019416</v>
      </c>
      <c r="G5" s="1257">
        <f>'ПБ V-1 (fin min)'!BO7</f>
        <v>2204.5166866455006</v>
      </c>
      <c r="H5" s="1257">
        <f>'ПБ V-1 (fin min)'!BP7</f>
        <v>2282.7182907568204</v>
      </c>
      <c r="I5" s="1257">
        <f>'ПБ V-1 (fin min)'!BQ7</f>
        <v>3162.6490721710247</v>
      </c>
      <c r="J5" s="1257">
        <f>'ПБ V-1 (fin min)'!BR7</f>
        <v>3309.3254276759826</v>
      </c>
      <c r="K5" s="1257">
        <f>'ПБ V-1 (fin min)'!BS7</f>
        <v>3568.9838068050317</v>
      </c>
      <c r="L5" s="1257">
        <f>'ПБ V-1 (fin min)'!BT7</f>
        <v>3653.6022940919875</v>
      </c>
      <c r="M5" s="1257">
        <f>'ПБ V-1 (fin min)'!BU7</f>
        <v>3558.3898645855024</v>
      </c>
      <c r="N5" s="1">
        <f>SUM(B5:M5)</f>
        <v>36855.949254145118</v>
      </c>
      <c r="O5" s="609">
        <f>N5/1000</f>
        <v>36.855949254145116</v>
      </c>
      <c r="P5" s="609">
        <f>O5+O7-O6-O8</f>
        <v>-34.9657863734137</v>
      </c>
      <c r="S5" t="s">
        <v>339</v>
      </c>
      <c r="T5" t="s">
        <v>382</v>
      </c>
      <c r="U5" t="s">
        <v>26</v>
      </c>
    </row>
    <row r="6" spans="1:21" ht="18.75" x14ac:dyDescent="0.35">
      <c r="A6" t="str">
        <f>INDEX($S6:$U6,1,MATCH(Чарти!$B$1,$S$4:$U$4,0))</f>
        <v>Импорт товаров</v>
      </c>
      <c r="B6" s="1257">
        <f>-'ПБ V-1 (fin min)'!BJ8</f>
        <v>-4777.5502736476928</v>
      </c>
      <c r="C6" s="1257">
        <f>-'ПБ V-1 (fin min)'!BK8</f>
        <v>-5557.4629374165024</v>
      </c>
      <c r="D6" s="1257">
        <f>-'ПБ V-1 (fin min)'!BL8</f>
        <v>-5779.7996101138451</v>
      </c>
      <c r="E6" s="1257">
        <f>-'ПБ V-1 (fin min)'!BM8</f>
        <v>-5005.4677256669647</v>
      </c>
      <c r="F6" s="1257">
        <f>-'ПБ V-1 (fin min)'!BN8</f>
        <v>-5008.1605640609396</v>
      </c>
      <c r="G6" s="1257">
        <f>-'ПБ V-1 (fin min)'!BO8</f>
        <v>-5037.0354474733085</v>
      </c>
      <c r="H6" s="1257">
        <f>-'ПБ V-1 (fin min)'!BP8</f>
        <v>-5305.6165975042468</v>
      </c>
      <c r="I6" s="1257">
        <f>-'ПБ V-1 (fin min)'!BQ8</f>
        <v>-5282.2109243011146</v>
      </c>
      <c r="J6" s="1257">
        <f>-'ПБ V-1 (fin min)'!BR8</f>
        <v>-5552.1850696257598</v>
      </c>
      <c r="K6" s="1257">
        <f>-'ПБ V-1 (fin min)'!BS8</f>
        <v>-5906.8649571660426</v>
      </c>
      <c r="L6" s="1257">
        <f>-'ПБ V-1 (fin min)'!BT8</f>
        <v>-5957.9863208373527</v>
      </c>
      <c r="M6" s="1257">
        <f>-'ПБ V-1 (fin min)'!BU8</f>
        <v>-5961.2363127119443</v>
      </c>
      <c r="N6" s="1">
        <f>SUM(B6:M6)</f>
        <v>-65131.576740525714</v>
      </c>
      <c r="O6" s="609">
        <f>-N6/1000</f>
        <v>65.131576740525716</v>
      </c>
      <c r="S6" t="s">
        <v>340</v>
      </c>
      <c r="T6" t="s">
        <v>383</v>
      </c>
      <c r="U6" t="s">
        <v>27</v>
      </c>
    </row>
    <row r="7" spans="1:21" ht="18.75" x14ac:dyDescent="0.35">
      <c r="A7" t="str">
        <f>INDEX($S7:$U7,1,MATCH(Чарти!$B$1,$S$4:$U$4,0))</f>
        <v>Экспорт услуг</v>
      </c>
      <c r="B7" s="1257">
        <f>'ПБ V-1 (fin min)'!BJ10</f>
        <v>1212.1763998932752</v>
      </c>
      <c r="C7" s="1257">
        <f>'ПБ V-1 (fin min)'!BK10</f>
        <v>1186.9162890555858</v>
      </c>
      <c r="D7" s="1257">
        <f>'ПБ V-1 (fin min)'!BL10</f>
        <v>1287.5837651089178</v>
      </c>
      <c r="E7" s="1257">
        <f>'ПБ V-1 (fin min)'!BM10</f>
        <v>1334.6237913867844</v>
      </c>
      <c r="F7" s="1257">
        <f>'ПБ V-1 (fin min)'!BN10</f>
        <v>1297.3430707181385</v>
      </c>
      <c r="G7" s="1257">
        <f>'ПБ V-1 (fin min)'!BO10</f>
        <v>1337.6704049136683</v>
      </c>
      <c r="H7" s="1257">
        <f>'ПБ V-1 (fin min)'!BP10</f>
        <v>1395.0109483497949</v>
      </c>
      <c r="I7" s="1257">
        <f>'ПБ V-1 (fin min)'!BQ10</f>
        <v>1397.2832558078705</v>
      </c>
      <c r="J7" s="1257">
        <f>'ПБ V-1 (fin min)'!BR10</f>
        <v>1398.6193329978946</v>
      </c>
      <c r="K7" s="1257">
        <f>'ПБ V-1 (fin min)'!BS10</f>
        <v>1452.1851520500602</v>
      </c>
      <c r="L7" s="1257">
        <f>'ПБ V-1 (fin min)'!BT10</f>
        <v>1502.6420698252132</v>
      </c>
      <c r="M7" s="1257">
        <f>'ПБ V-1 (fin min)'!BU10</f>
        <v>1655.1786025544411</v>
      </c>
      <c r="N7" s="1">
        <f>SUM(B7:M7)</f>
        <v>16457.233082661645</v>
      </c>
      <c r="O7" s="609">
        <f>N7/1000</f>
        <v>16.457233082661645</v>
      </c>
      <c r="S7" t="s">
        <v>341</v>
      </c>
      <c r="T7" t="s">
        <v>384</v>
      </c>
      <c r="U7" t="s">
        <v>28</v>
      </c>
    </row>
    <row r="8" spans="1:21" ht="18.75" x14ac:dyDescent="0.35">
      <c r="A8" t="str">
        <f>INDEX($S8:$U8,1,MATCH(Чарти!$B$1,$S$4:$U$4,0))</f>
        <v>Импорт услуг</v>
      </c>
      <c r="B8" s="1257">
        <f>-'ПБ V-1 (fin min)'!BJ11</f>
        <v>-1890.8670388141809</v>
      </c>
      <c r="C8" s="1257">
        <f>-'ПБ V-1 (fin min)'!BK11</f>
        <v>-1917.1227895072627</v>
      </c>
      <c r="D8" s="1257">
        <f>-'ПБ V-1 (fin min)'!BL11</f>
        <v>-1876.2670230532278</v>
      </c>
      <c r="E8" s="1257">
        <f>-'ПБ V-1 (fin min)'!BM11</f>
        <v>-1844.0665374603941</v>
      </c>
      <c r="F8" s="1257">
        <f>-'ПБ V-1 (fin min)'!BN11</f>
        <v>-1827.6346784586869</v>
      </c>
      <c r="G8" s="1257">
        <f>-'ПБ V-1 (fin min)'!BO11</f>
        <v>-1886.1713079702549</v>
      </c>
      <c r="H8" s="1257">
        <f>-'ПБ V-1 (fin min)'!BP11</f>
        <v>-1927.0686447912112</v>
      </c>
      <c r="I8" s="1257">
        <f>-'ПБ V-1 (fin min)'!BQ11</f>
        <v>-1953.8703401183875</v>
      </c>
      <c r="J8" s="1257">
        <f>-'ПБ V-1 (fin min)'!BR11</f>
        <v>-1985.7782210237053</v>
      </c>
      <c r="K8" s="1257">
        <f>-'ПБ V-1 (fin min)'!BS11</f>
        <v>-1907.2393017454419</v>
      </c>
      <c r="L8" s="1257">
        <f>-'ПБ V-1 (fin min)'!BT11</f>
        <v>-1902.0528308071632</v>
      </c>
      <c r="M8" s="1257">
        <f>-'ПБ V-1 (fin min)'!BU11</f>
        <v>-2229.2532559448287</v>
      </c>
      <c r="N8" s="1">
        <f>SUM(B8:M8)</f>
        <v>-23147.391969694745</v>
      </c>
      <c r="O8" s="609">
        <f>-N8/1000</f>
        <v>23.147391969694745</v>
      </c>
      <c r="S8" t="s">
        <v>342</v>
      </c>
      <c r="T8" t="s">
        <v>385</v>
      </c>
      <c r="U8" t="s">
        <v>29</v>
      </c>
    </row>
    <row r="9" spans="1:21" ht="18.75" x14ac:dyDescent="0.35">
      <c r="A9" t="str">
        <f>INDEX($S9:$U9,1,MATCH(Чарти!$B$1,$S$4:$U$4,0))</f>
        <v>Сальдо торгового баланса</v>
      </c>
      <c r="B9" s="1257">
        <f>'ПБ V-1 (fin min)'!BJ5</f>
        <v>-2073.4447878266346</v>
      </c>
      <c r="C9" s="1257">
        <f>'ПБ V-1 (fin min)'!BK5</f>
        <v>-2945.7623077977933</v>
      </c>
      <c r="D9" s="1257">
        <f>'ПБ V-1 (fin min)'!BL5</f>
        <v>-3292.1656361225578</v>
      </c>
      <c r="E9" s="1257">
        <f>'ПБ V-1 (fin min)'!BM5</f>
        <v>-2736.8728379771919</v>
      </c>
      <c r="F9" s="1257">
        <f>'ПБ V-1 (fin min)'!BN5</f>
        <v>-3001.7464808995464</v>
      </c>
      <c r="G9" s="1257">
        <f>'ПБ V-1 (fin min)'!BO5</f>
        <v>-3381.0196638843945</v>
      </c>
      <c r="H9" s="1257">
        <f>'ПБ V-1 (fin min)'!BP5</f>
        <v>-3554.9560031888427</v>
      </c>
      <c r="I9" s="1257">
        <f>'ПБ V-1 (fin min)'!BQ5</f>
        <v>-2676.148936440607</v>
      </c>
      <c r="J9" s="1257">
        <f>'ПБ V-1 (fin min)'!BR5</f>
        <v>-2830.0185299755876</v>
      </c>
      <c r="K9" s="1257">
        <f>'ПБ V-1 (fin min)'!BS5</f>
        <v>-2792.9353000563924</v>
      </c>
      <c r="L9" s="1257">
        <f>'ПБ V-1 (fin min)'!BT5</f>
        <v>-2703.7947877273155</v>
      </c>
      <c r="M9" s="1257">
        <f>'ПБ V-1 (fin min)'!BU5</f>
        <v>-2976.9211015168294</v>
      </c>
      <c r="N9" s="1">
        <f>SUM(B9:M9)</f>
        <v>-34965.786373413692</v>
      </c>
      <c r="O9" s="609">
        <f>N9/1000</f>
        <v>-34.965786373413692</v>
      </c>
      <c r="S9" t="s">
        <v>343</v>
      </c>
      <c r="T9" t="s">
        <v>386</v>
      </c>
      <c r="U9" t="s">
        <v>387</v>
      </c>
    </row>
    <row r="10" spans="1:21" x14ac:dyDescent="0.35">
      <c r="B10" s="1"/>
      <c r="M10" s="1">
        <f>SUM(B9:M9)</f>
        <v>-34965.786373413692</v>
      </c>
    </row>
    <row r="19" spans="1:14" x14ac:dyDescent="0.35">
      <c r="A19" t="s">
        <v>240</v>
      </c>
      <c r="B19" t="s">
        <v>228</v>
      </c>
      <c r="C19" t="s">
        <v>229</v>
      </c>
      <c r="D19" t="s">
        <v>230</v>
      </c>
      <c r="E19" t="s">
        <v>231</v>
      </c>
      <c r="F19" t="s">
        <v>232</v>
      </c>
      <c r="G19" t="s">
        <v>233</v>
      </c>
      <c r="H19" t="s">
        <v>234</v>
      </c>
      <c r="I19" t="s">
        <v>235</v>
      </c>
      <c r="J19" t="s">
        <v>236</v>
      </c>
      <c r="K19" t="s">
        <v>237</v>
      </c>
      <c r="L19" t="s">
        <v>238</v>
      </c>
      <c r="M19" t="s">
        <v>239</v>
      </c>
      <c r="N19" t="s">
        <v>255</v>
      </c>
    </row>
    <row r="20" spans="1:14" x14ac:dyDescent="0.35">
      <c r="A20" t="s">
        <v>241</v>
      </c>
      <c r="B20">
        <v>0</v>
      </c>
      <c r="C20">
        <v>-7.0000000000000007E-2</v>
      </c>
      <c r="D20">
        <v>-0.97</v>
      </c>
      <c r="E20">
        <v>0.13</v>
      </c>
      <c r="F20">
        <v>0.36</v>
      </c>
      <c r="G20">
        <v>-0.03</v>
      </c>
      <c r="H20">
        <v>-0.28999999999999998</v>
      </c>
      <c r="I20">
        <v>0.22</v>
      </c>
      <c r="J20">
        <v>-1.1499999999999999</v>
      </c>
      <c r="K20">
        <v>-1</v>
      </c>
      <c r="L20">
        <v>-0.3</v>
      </c>
      <c r="M20">
        <v>-0.88</v>
      </c>
      <c r="N20">
        <v>-3.99</v>
      </c>
    </row>
    <row r="21" spans="1:14" x14ac:dyDescent="0.35">
      <c r="A21" t="s">
        <v>242</v>
      </c>
      <c r="B21">
        <v>-0.55000000000000004</v>
      </c>
      <c r="C21">
        <v>-0.12</v>
      </c>
      <c r="D21">
        <v>0.52</v>
      </c>
      <c r="E21">
        <v>-0.28000000000000003</v>
      </c>
      <c r="F21">
        <v>-0.69</v>
      </c>
      <c r="G21">
        <v>0.02</v>
      </c>
      <c r="H21">
        <v>0.43</v>
      </c>
      <c r="I21">
        <v>1.02</v>
      </c>
      <c r="J21">
        <v>0.34</v>
      </c>
      <c r="K21">
        <v>0.65</v>
      </c>
      <c r="L21">
        <v>1.44</v>
      </c>
      <c r="M21">
        <v>1.66</v>
      </c>
      <c r="N21">
        <v>4.4400000000000004</v>
      </c>
    </row>
    <row r="22" spans="1:14" x14ac:dyDescent="0.35">
      <c r="A22" t="s">
        <v>243</v>
      </c>
      <c r="B22">
        <v>0.33</v>
      </c>
      <c r="C22">
        <v>0.16</v>
      </c>
      <c r="D22">
        <v>-0.26</v>
      </c>
      <c r="E22">
        <v>0.94</v>
      </c>
      <c r="F22">
        <v>0.05</v>
      </c>
      <c r="G22">
        <v>0.76</v>
      </c>
      <c r="H22">
        <v>0.34</v>
      </c>
      <c r="I22">
        <v>2.1800000000000002</v>
      </c>
      <c r="J22">
        <v>-2.08</v>
      </c>
      <c r="K22">
        <v>0.22</v>
      </c>
      <c r="L22">
        <v>-0.03</v>
      </c>
      <c r="M22">
        <v>1.91</v>
      </c>
      <c r="N22">
        <v>4.53</v>
      </c>
    </row>
    <row r="23" spans="1:14" x14ac:dyDescent="0.35">
      <c r="A23" t="s">
        <v>286</v>
      </c>
      <c r="B23">
        <v>7.0000000000000007E-2</v>
      </c>
      <c r="C23">
        <v>-0.04</v>
      </c>
      <c r="D23">
        <v>-0.93</v>
      </c>
      <c r="E23">
        <v>0.56999999999999995</v>
      </c>
      <c r="F23">
        <v>-0.34</v>
      </c>
      <c r="G23">
        <v>0.65</v>
      </c>
      <c r="H23">
        <v>0.04</v>
      </c>
      <c r="I23">
        <v>2.27</v>
      </c>
      <c r="J23">
        <v>-2.75</v>
      </c>
      <c r="K23">
        <v>0.14000000000000001</v>
      </c>
      <c r="L23">
        <v>-0.26</v>
      </c>
      <c r="M23">
        <v>1.85</v>
      </c>
      <c r="N23">
        <v>1.27</v>
      </c>
    </row>
    <row r="24" spans="1:14" x14ac:dyDescent="0.35">
      <c r="A24" t="s">
        <v>344</v>
      </c>
      <c r="B24">
        <v>-0.22</v>
      </c>
      <c r="C24">
        <v>-0.03</v>
      </c>
      <c r="D24">
        <v>-0.71</v>
      </c>
      <c r="E24">
        <v>0.8</v>
      </c>
      <c r="F24">
        <v>-0.28000000000000003</v>
      </c>
      <c r="G24">
        <v>0.75</v>
      </c>
      <c r="H24">
        <v>0.48</v>
      </c>
      <c r="I24">
        <v>3.43</v>
      </c>
      <c r="J24">
        <v>-2.89</v>
      </c>
      <c r="K24">
        <v>-0.14000000000000001</v>
      </c>
      <c r="L24">
        <v>1.1100000000000001</v>
      </c>
      <c r="M24">
        <v>2.68</v>
      </c>
      <c r="N24">
        <v>4.9800000000000004</v>
      </c>
    </row>
    <row r="25" spans="1:14" x14ac:dyDescent="0.35">
      <c r="A25" t="s">
        <v>289</v>
      </c>
      <c r="B25">
        <v>-0.31</v>
      </c>
      <c r="C25">
        <v>-0.28000000000000003</v>
      </c>
      <c r="D25">
        <v>-1.51</v>
      </c>
      <c r="E25">
        <v>0.97</v>
      </c>
      <c r="F25">
        <v>-0.16</v>
      </c>
      <c r="G25">
        <v>0.52</v>
      </c>
      <c r="H25">
        <v>0.59</v>
      </c>
      <c r="I25">
        <v>2.66</v>
      </c>
      <c r="J25">
        <v>-2.23</v>
      </c>
      <c r="K25">
        <v>0.25</v>
      </c>
      <c r="L25">
        <v>-0.05</v>
      </c>
      <c r="M25">
        <v>1.94</v>
      </c>
      <c r="N25">
        <v>2.39</v>
      </c>
    </row>
    <row r="26" spans="1:14" x14ac:dyDescent="0.35">
      <c r="A26" t="s">
        <v>245</v>
      </c>
      <c r="B26">
        <v>-0.31</v>
      </c>
      <c r="C26">
        <v>-0.59</v>
      </c>
      <c r="D26">
        <v>-2.1</v>
      </c>
      <c r="E26">
        <v>-1.1299999999999999</v>
      </c>
      <c r="F26">
        <v>-1.29</v>
      </c>
      <c r="G26">
        <v>-0.78</v>
      </c>
      <c r="H26">
        <v>-0.18</v>
      </c>
      <c r="I26">
        <v>2.48</v>
      </c>
      <c r="J26">
        <v>0.25</v>
      </c>
      <c r="K26">
        <v>0.5</v>
      </c>
      <c r="L26">
        <v>0.45</v>
      </c>
      <c r="M26">
        <v>2.39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76915-7388-4101-BBED-23F58DAB9530}">
  <dimension ref="A1:S26"/>
  <sheetViews>
    <sheetView zoomScale="61" workbookViewId="0">
      <selection activeCell="R6" sqref="R6"/>
    </sheetView>
  </sheetViews>
  <sheetFormatPr defaultColWidth="8.796875" defaultRowHeight="18" x14ac:dyDescent="0.35"/>
  <cols>
    <col min="1" max="1" width="36.09765625" style="1259" customWidth="1"/>
    <col min="2" max="13" width="8.796875" style="1259"/>
    <col min="14" max="14" width="17.296875" style="1259" customWidth="1"/>
    <col min="15" max="16384" width="8.796875" style="1259"/>
  </cols>
  <sheetData>
    <row r="1" spans="1:19" x14ac:dyDescent="0.35">
      <c r="A1" s="1258"/>
      <c r="B1" s="1472">
        <v>2022</v>
      </c>
      <c r="C1" s="1472"/>
      <c r="D1" s="1472"/>
      <c r="E1" s="1472"/>
      <c r="F1" s="1472"/>
      <c r="G1" s="1472"/>
      <c r="H1" s="1472"/>
      <c r="I1" s="1472"/>
      <c r="J1" s="1472"/>
      <c r="K1" s="1472"/>
      <c r="L1" s="1472"/>
      <c r="M1" s="1472"/>
      <c r="N1" s="1472" t="s">
        <v>305</v>
      </c>
    </row>
    <row r="2" spans="1:19" x14ac:dyDescent="0.35">
      <c r="A2" s="1258"/>
      <c r="B2" s="1258">
        <v>1</v>
      </c>
      <c r="C2" s="1258">
        <v>2</v>
      </c>
      <c r="D2" s="1258">
        <v>3</v>
      </c>
      <c r="E2" s="1258">
        <v>4</v>
      </c>
      <c r="F2" s="1258">
        <v>5</v>
      </c>
      <c r="G2" s="1258">
        <v>6</v>
      </c>
      <c r="H2" s="1258">
        <v>7</v>
      </c>
      <c r="I2" s="1258">
        <v>8</v>
      </c>
      <c r="J2" s="1258">
        <v>9</v>
      </c>
      <c r="K2" s="1258">
        <v>10</v>
      </c>
      <c r="L2" s="1258">
        <v>11</v>
      </c>
      <c r="M2" s="1258">
        <v>12</v>
      </c>
      <c r="N2" s="1472"/>
      <c r="Q2" s="1278" t="s">
        <v>336</v>
      </c>
      <c r="R2" s="1278" t="s">
        <v>337</v>
      </c>
      <c r="S2" s="1278" t="s">
        <v>334</v>
      </c>
    </row>
    <row r="3" spans="1:19" x14ac:dyDescent="0.35">
      <c r="A3" s="1260" t="str">
        <f>INDEX($Q3:$S3,1,MATCH(Чарти!$B$1,$Q$2:$S$2,0))</f>
        <v>Объемы интервенций по месяцам</v>
      </c>
      <c r="B3" s="1261">
        <f>'ПБ V-1 (fin min)'!AL64</f>
        <v>-1313.5</v>
      </c>
      <c r="C3" s="1261">
        <f>'ПБ V-1 (fin min)'!AM64</f>
        <v>-357.8</v>
      </c>
      <c r="D3" s="1261">
        <f>'ПБ V-1 (fin min)'!AN64</f>
        <v>-1728</v>
      </c>
      <c r="E3" s="1261">
        <f>'ПБ V-1 (fin min)'!AO64</f>
        <v>-2201</v>
      </c>
      <c r="F3" s="1261">
        <f>'ПБ V-1 (fin min)'!AP64</f>
        <v>-3354.2</v>
      </c>
      <c r="G3" s="1261">
        <f>'ПБ V-1 (fin min)'!AQ64</f>
        <v>-3956.3</v>
      </c>
      <c r="H3" s="1261">
        <f>'ПБ V-1 (fin min)'!AR64</f>
        <v>-1195</v>
      </c>
      <c r="I3" s="1261">
        <f>'ПБ V-1 (fin min)'!AS64</f>
        <v>-1329.7</v>
      </c>
      <c r="J3" s="1261">
        <f>'ПБ V-1 (fin min)'!AT64</f>
        <v>-2737.7</v>
      </c>
      <c r="K3" s="1261">
        <f>'ПБ V-1 (fin min)'!AU64</f>
        <v>-2046.9</v>
      </c>
      <c r="L3" s="1261">
        <f>'ПБ V-1 (fin min)'!AV64</f>
        <v>-1568.8</v>
      </c>
      <c r="M3" s="1261">
        <f>'ПБ V-1 (fin min)'!AW64</f>
        <v>-3163.5</v>
      </c>
      <c r="N3" s="1261">
        <f>SUM(B3:M3)</f>
        <v>-24952.400000000001</v>
      </c>
      <c r="Q3" s="1278" t="s">
        <v>345</v>
      </c>
      <c r="R3" s="1278" t="s">
        <v>375</v>
      </c>
      <c r="S3" s="1278" t="s">
        <v>376</v>
      </c>
    </row>
    <row r="4" spans="1:19" x14ac:dyDescent="0.35">
      <c r="A4" s="1260" t="str">
        <f>INDEX($Q4:$S4,1,MATCH(Чарти!$B$1,$Q$2:$S$2,0))</f>
        <v>Сальдо платежного баланса</v>
      </c>
      <c r="B4" s="1261">
        <f>'ПБ V-1 (fin min)'!AL62</f>
        <v>-1762</v>
      </c>
      <c r="C4" s="1261">
        <f>'ПБ V-1 (fin min)'!AM62</f>
        <v>-1658</v>
      </c>
      <c r="D4" s="1261">
        <f>'ПБ V-1 (fin min)'!AN62</f>
        <v>679</v>
      </c>
      <c r="E4" s="1261">
        <f>'ПБ V-1 (fin min)'!AO62</f>
        <v>-867</v>
      </c>
      <c r="F4" s="1261">
        <f>'ПБ V-1 (fin min)'!AP62</f>
        <v>-1921</v>
      </c>
      <c r="G4" s="1261">
        <f>'ПБ V-1 (fin min)'!AQ62</f>
        <v>-2220</v>
      </c>
      <c r="H4" s="1261">
        <f>'ПБ V-1 (fin min)'!AR62</f>
        <v>-299</v>
      </c>
      <c r="I4" s="1261">
        <f>'ПБ V-1 (fin min)'!AS62</f>
        <v>3105</v>
      </c>
      <c r="J4" s="1261">
        <f>'ПБ V-1 (fin min)'!AT62</f>
        <v>-1375</v>
      </c>
      <c r="K4" s="1261">
        <f>'ПБ V-1 (fin min)'!AU62</f>
        <v>1251</v>
      </c>
      <c r="L4" s="1261">
        <f>'ПБ V-1 (fin min)'!AV62</f>
        <v>2437</v>
      </c>
      <c r="M4" s="1261">
        <f>'ПБ V-1 (fin min)'!AW62</f>
        <v>362</v>
      </c>
      <c r="N4" s="1261">
        <f>SUM(B4:M4)</f>
        <v>-2268</v>
      </c>
      <c r="Q4" s="1278" t="s">
        <v>346</v>
      </c>
      <c r="R4" s="1278" t="s">
        <v>377</v>
      </c>
      <c r="S4" s="1278" t="s">
        <v>378</v>
      </c>
    </row>
    <row r="5" spans="1:19" x14ac:dyDescent="0.35">
      <c r="A5" s="1260" t="str">
        <f>INDEX($Q5:$S5,1,MATCH(Чарти!$B$1,$Q$2:$S$2,0))</f>
        <v>Сальдо операций частного сект.</v>
      </c>
      <c r="B5" s="1261">
        <f>'ПБ V-1 (fin min)'!AL3</f>
        <v>-1277</v>
      </c>
      <c r="C5" s="1261">
        <f>'ПБ V-1 (fin min)'!AM3</f>
        <v>-1083</v>
      </c>
      <c r="D5" s="1261">
        <f>'ПБ V-1 (fin min)'!AN3</f>
        <v>-1962</v>
      </c>
      <c r="E5" s="1261">
        <f>'ПБ V-1 (fin min)'!AO3</f>
        <v>-1661</v>
      </c>
      <c r="F5" s="1261">
        <f>'ПБ V-1 (fin min)'!AP3</f>
        <v>-2880</v>
      </c>
      <c r="G5" s="1261">
        <f>'ПБ V-1 (fin min)'!AQ3</f>
        <v>-3960</v>
      </c>
      <c r="H5" s="1261">
        <f>'ПБ V-1 (fin min)'!AR3</f>
        <v>-126</v>
      </c>
      <c r="I5" s="1261">
        <f>'ПБ V-1 (fin min)'!AS3</f>
        <v>1666</v>
      </c>
      <c r="J5" s="1261">
        <f>'ПБ V-1 (fin min)'!AT3</f>
        <v>-1209</v>
      </c>
      <c r="K5" s="1261">
        <f>'ПБ V-1 (fin min)'!AU3</f>
        <v>-2652</v>
      </c>
      <c r="L5" s="1261">
        <f>'ПБ V-1 (fin min)'!AV3</f>
        <v>-1979</v>
      </c>
      <c r="M5" s="1261">
        <f>'ПБ V-1 (fin min)'!AW3</f>
        <v>-3694</v>
      </c>
      <c r="N5" s="1261">
        <f>SUM(B5:M5)</f>
        <v>-20817</v>
      </c>
      <c r="Q5" s="1278" t="s">
        <v>379</v>
      </c>
      <c r="R5" s="1278" t="s">
        <v>380</v>
      </c>
      <c r="S5" s="1278" t="s">
        <v>381</v>
      </c>
    </row>
    <row r="6" spans="1:19" x14ac:dyDescent="0.35">
      <c r="A6" s="1260" t="str">
        <f>INDEX($Q6:$S6,1,MATCH(Чарти!$B$1,$Q$2:$S$2,0))</f>
        <v>Изменение резервов</v>
      </c>
      <c r="B6" s="1261">
        <f>'ПБ V-1 (fin min)'!AL71</f>
        <v>29086.959999999999</v>
      </c>
      <c r="C6" s="1261">
        <f>'ПБ V-1 (fin min)'!AM71</f>
        <v>27552.86</v>
      </c>
      <c r="D6" s="1261">
        <f>'ПБ V-1 (fin min)'!AN71</f>
        <v>28107.45</v>
      </c>
      <c r="E6" s="1261">
        <f>'ПБ V-1 (fin min)'!AO71</f>
        <v>26945</v>
      </c>
      <c r="F6" s="1261">
        <f>'ПБ V-1 (fin min)'!AP71</f>
        <v>25102</v>
      </c>
      <c r="G6" s="1261">
        <f>'ПБ V-1 (fin min)'!AQ71</f>
        <v>22802</v>
      </c>
      <c r="H6" s="1261">
        <f>'ПБ V-1 (fin min)'!AR71</f>
        <v>22387</v>
      </c>
      <c r="I6" s="1261">
        <f>'ПБ V-1 (fin min)'!AS71</f>
        <v>25439</v>
      </c>
      <c r="J6" s="1261">
        <f>'ПБ V-1 (fin min)'!AT71</f>
        <v>23932</v>
      </c>
      <c r="K6" s="1261">
        <f>'ПБ V-1 (fin min)'!AU71</f>
        <v>25246</v>
      </c>
      <c r="L6" s="1261">
        <f>'ПБ V-1 (fin min)'!AV71</f>
        <v>27955</v>
      </c>
      <c r="M6" s="1261">
        <f>'ПБ V-1 (fin min)'!AW71</f>
        <v>28494</v>
      </c>
      <c r="N6" s="1261"/>
      <c r="Q6" s="1365" t="s">
        <v>627</v>
      </c>
      <c r="R6" s="1365" t="s">
        <v>628</v>
      </c>
      <c r="S6" s="1278" t="s">
        <v>559</v>
      </c>
    </row>
    <row r="7" spans="1:19" x14ac:dyDescent="0.35">
      <c r="A7" s="1314" t="s">
        <v>496</v>
      </c>
      <c r="B7" s="1313">
        <v>536.41000000000008</v>
      </c>
      <c r="C7" s="1313">
        <v>2708.199999999998</v>
      </c>
      <c r="D7" s="1313">
        <v>1314.1900000000035</v>
      </c>
      <c r="E7" s="1313">
        <v>-1506.5600000000004</v>
      </c>
      <c r="F7" s="1313">
        <v>3052.150000000001</v>
      </c>
      <c r="G7" s="1313">
        <v>-415.55000000000319</v>
      </c>
      <c r="H7" s="1313">
        <v>-2300.0900000000011</v>
      </c>
      <c r="I7" s="1313">
        <v>-1842.8299999999992</v>
      </c>
      <c r="J7" s="1313">
        <v>-1162.3799999999987</v>
      </c>
      <c r="K7" s="1313">
        <v>554.59000000000106</v>
      </c>
      <c r="L7" s="1313">
        <v>-1534.1200000000015</v>
      </c>
      <c r="M7" s="1313">
        <v>-1853.9700000000003</v>
      </c>
    </row>
    <row r="8" spans="1:19" x14ac:dyDescent="0.35">
      <c r="A8" s="1313">
        <f>'ПБ V-1 (fin min)'!AK71</f>
        <v>30445.5</v>
      </c>
      <c r="B8" s="1313">
        <f>'ПБ V-1 (fin min)'!AL71</f>
        <v>29086.959999999999</v>
      </c>
      <c r="N8" s="1313">
        <f>M6-A8</f>
        <v>-1951.5</v>
      </c>
    </row>
    <row r="9" spans="1:19" x14ac:dyDescent="0.35">
      <c r="A9" s="1347" t="s">
        <v>559</v>
      </c>
    </row>
    <row r="10" spans="1:19" x14ac:dyDescent="0.35">
      <c r="A10" s="1258"/>
      <c r="B10" s="1472">
        <v>2023</v>
      </c>
      <c r="C10" s="1472"/>
      <c r="D10" s="1472"/>
      <c r="E10" s="1472"/>
      <c r="F10" s="1472"/>
      <c r="G10" s="1472"/>
      <c r="H10" s="1472"/>
      <c r="I10" s="1472"/>
      <c r="J10" s="1472"/>
      <c r="K10" s="1472"/>
      <c r="L10" s="1472"/>
      <c r="M10" s="1472"/>
      <c r="N10" s="1472" t="s">
        <v>316</v>
      </c>
    </row>
    <row r="11" spans="1:19" x14ac:dyDescent="0.35">
      <c r="A11" s="1258"/>
      <c r="B11" s="1258">
        <v>1</v>
      </c>
      <c r="C11" s="1258">
        <v>2</v>
      </c>
      <c r="D11" s="1258">
        <v>3</v>
      </c>
      <c r="E11" s="1258">
        <v>4</v>
      </c>
      <c r="F11" s="1258">
        <v>5</v>
      </c>
      <c r="G11" s="1258">
        <v>6</v>
      </c>
      <c r="H11" s="1258">
        <v>7</v>
      </c>
      <c r="I11" s="1258">
        <v>8</v>
      </c>
      <c r="J11" s="1258">
        <v>9</v>
      </c>
      <c r="K11" s="1258">
        <v>10</v>
      </c>
      <c r="L11" s="1258">
        <v>11</v>
      </c>
      <c r="M11" s="1258">
        <v>12</v>
      </c>
      <c r="N11" s="1472"/>
    </row>
    <row r="12" spans="1:19" x14ac:dyDescent="0.35">
      <c r="A12" s="1260" t="str">
        <f>INDEX($Q3:$S3,1,MATCH(Чарти!$B$1,$Q$2:$S$2,0))</f>
        <v>Объемы интервенций по месяцам</v>
      </c>
      <c r="B12" s="1261">
        <f>'ПБ V-1 (fin min)'!AX64</f>
        <v>-3082.1299999999997</v>
      </c>
      <c r="C12" s="1261">
        <f>'ПБ V-1 (fin min)'!AY64</f>
        <v>-2431</v>
      </c>
      <c r="D12" s="1261">
        <f>'ПБ V-1 (fin min)'!AZ64</f>
        <v>-1668.97</v>
      </c>
      <c r="E12" s="1261">
        <f>'ПБ V-1 (fin min)'!BA64</f>
        <v>-1370.3799999999999</v>
      </c>
      <c r="F12" s="1261">
        <f>'ПБ V-1 (fin min)'!BB64</f>
        <v>-1927.6100000000001</v>
      </c>
      <c r="G12" s="1261">
        <f>'ПБ V-1 (fin min)'!BC64</f>
        <v>-1797.8799999999999</v>
      </c>
      <c r="H12" s="1261">
        <f>'ПБ V-1 (fin min)'!BD64</f>
        <v>-1932.92</v>
      </c>
      <c r="I12" s="1261">
        <f>'ПБ V-1 (fin min)'!BE64</f>
        <v>-2364.23</v>
      </c>
      <c r="J12" s="1261">
        <f>'ПБ V-1 (fin min)'!BF64</f>
        <v>-2691.4</v>
      </c>
      <c r="K12" s="1261">
        <f>'ПБ V-1 (fin min)'!BG64</f>
        <v>-3337.4700000000003</v>
      </c>
      <c r="L12" s="1261">
        <f>'ПБ V-1 (fin min)'!BH64</f>
        <v>-2452.8599999999997</v>
      </c>
      <c r="M12" s="1261">
        <f>'ПБ V-1 (fin min)'!BI64</f>
        <v>-3553.0400000000004</v>
      </c>
      <c r="N12" s="1261">
        <f>SUM(B12:M12)</f>
        <v>-28609.890000000003</v>
      </c>
      <c r="P12" s="1313">
        <f>'ПБ V-1 (fin min)'!BI64</f>
        <v>-3553.0400000000004</v>
      </c>
      <c r="Q12" s="1313">
        <f>'ПБ V-1 (fin min)'!BJ64</f>
        <v>-1810.4178166917461</v>
      </c>
    </row>
    <row r="13" spans="1:19" x14ac:dyDescent="0.35">
      <c r="A13" s="1260" t="str">
        <f>INDEX($Q4:$S4,1,MATCH(Чарти!$B$1,$Q$2:$S$2,0))</f>
        <v>Сальдо платежного баланса</v>
      </c>
      <c r="B13" s="1261">
        <f>'ПБ V-1 (fin min)'!AX62</f>
        <v>1208</v>
      </c>
      <c r="C13" s="1261">
        <f>'ПБ V-1 (fin min)'!AY62</f>
        <v>-856</v>
      </c>
      <c r="D13" s="1261">
        <f>'ПБ V-1 (fin min)'!AZ62</f>
        <v>2765</v>
      </c>
      <c r="E13" s="1261">
        <f>'ПБ V-1 (fin min)'!BA62</f>
        <v>4021</v>
      </c>
      <c r="F13" s="1261">
        <f>'ПБ V-1 (fin min)'!BB62</f>
        <v>1533</v>
      </c>
      <c r="G13" s="1261">
        <f>'ПБ V-1 (fin min)'!BC62</f>
        <v>1688</v>
      </c>
      <c r="H13" s="1261">
        <f>'ПБ V-1 (fin min)'!BD62</f>
        <v>2579</v>
      </c>
      <c r="I13" s="1261">
        <f>'ПБ V-1 (fin min)'!BE62</f>
        <v>-1297</v>
      </c>
      <c r="J13" s="1261">
        <f>'ПБ V-1 (fin min)'!BF62</f>
        <v>-609</v>
      </c>
      <c r="K13" s="1261">
        <f>'ПБ V-1 (fin min)'!BG62</f>
        <v>-847</v>
      </c>
      <c r="L13" s="1261">
        <f>'ПБ V-1 (fin min)'!BH62</f>
        <v>-355</v>
      </c>
      <c r="M13" s="1261">
        <f>'ПБ V-1 (fin min)'!BI62</f>
        <v>1146.4890524503166</v>
      </c>
      <c r="N13" s="1261">
        <f>SUM(B13:M13)</f>
        <v>10976.489052450317</v>
      </c>
      <c r="P13" s="1313">
        <f>'ПБ V-1 (fin min)'!BI62</f>
        <v>1146.4890524503166</v>
      </c>
      <c r="Q13" s="1313">
        <f>'ПБ V-1 (fin min)'!BJ62</f>
        <v>-232.99787369862486</v>
      </c>
    </row>
    <row r="14" spans="1:19" x14ac:dyDescent="0.35">
      <c r="A14" s="1260" t="str">
        <f>INDEX($Q5:$S5,1,MATCH(Чарти!$B$1,$Q$2:$S$2,0))</f>
        <v>Сальдо операций частного сект.</v>
      </c>
      <c r="B14" s="1261">
        <f>'ПБ V-1 (fin min)'!AX3</f>
        <v>-3351</v>
      </c>
      <c r="C14" s="1261">
        <f>'ПБ V-1 (fin min)'!AY3</f>
        <v>-2698</v>
      </c>
      <c r="D14" s="1261">
        <f>'ПБ V-1 (fin min)'!AZ3</f>
        <v>-1363</v>
      </c>
      <c r="E14" s="1261">
        <f>'ПБ V-1 (fin min)'!BA3</f>
        <v>-1373</v>
      </c>
      <c r="F14" s="1261">
        <f>'ПБ V-1 (fin min)'!BB3</f>
        <v>-1605</v>
      </c>
      <c r="G14" s="1261">
        <f>'ПБ V-1 (fin min)'!BC3</f>
        <v>-2068.6999999999998</v>
      </c>
      <c r="H14" s="1261">
        <f>'ПБ V-1 (fin min)'!BD3</f>
        <v>-1928.3</v>
      </c>
      <c r="I14" s="1261">
        <f>'ПБ V-1 (fin min)'!BE3</f>
        <v>-2671</v>
      </c>
      <c r="J14" s="1261">
        <f>'ПБ V-1 (fin min)'!BF3</f>
        <v>-2641</v>
      </c>
      <c r="K14" s="1261">
        <f>'ПБ V-1 (fin min)'!BG3</f>
        <v>-3464</v>
      </c>
      <c r="L14" s="1261">
        <f>'ПБ V-1 (fin min)'!BH3</f>
        <v>-2237</v>
      </c>
      <c r="M14" s="1261">
        <f>'ПБ V-1 (fin min)'!BI3</f>
        <v>-3749.080077400155</v>
      </c>
      <c r="N14" s="1261">
        <f>SUM(B14:M14)</f>
        <v>-29149.080077400155</v>
      </c>
      <c r="P14" s="1352">
        <f>'ПБ V-1 (fin min)'!BI3</f>
        <v>-3749.080077400155</v>
      </c>
      <c r="Q14" s="1352">
        <f>'ПБ V-1 (fin min)'!BJ3</f>
        <v>-2011.5753518797178</v>
      </c>
    </row>
    <row r="15" spans="1:19" x14ac:dyDescent="0.35">
      <c r="A15" s="1260" t="str">
        <f>INDEX($Q6:$S6,1,MATCH(Чарти!$B$1,$Q$2:$S$2,0))</f>
        <v>Изменение резервов</v>
      </c>
      <c r="B15" s="1261">
        <f>'ПБ V-1 (fin min)'!AX71</f>
        <v>29928.21</v>
      </c>
      <c r="C15" s="1261">
        <f>'ПБ V-1 (fin min)'!AY71</f>
        <v>28869.64</v>
      </c>
      <c r="D15" s="1261">
        <f>'ПБ V-1 (fin min)'!AZ71</f>
        <v>31886.73</v>
      </c>
      <c r="E15" s="1261">
        <f>'ПБ V-1 (fin min)'!BA71</f>
        <v>35952.519999999997</v>
      </c>
      <c r="F15" s="1261">
        <f>'ПБ V-1 (fin min)'!BB71</f>
        <v>37321.43</v>
      </c>
      <c r="G15" s="1261">
        <f>'ПБ V-1 (fin min)'!BC71</f>
        <v>39026.550000000003</v>
      </c>
      <c r="H15" s="1261">
        <f>'ПБ V-1 (fin min)'!BD71</f>
        <v>41737.550000000003</v>
      </c>
      <c r="I15" s="1261">
        <f>'ПБ V-1 (fin min)'!BE71</f>
        <v>40405.199999999997</v>
      </c>
      <c r="J15" s="1261">
        <f>'ПБ V-1 (fin min)'!BF71</f>
        <v>39722.78</v>
      </c>
      <c r="K15" s="1261">
        <f>'ПБ V-1 (fin min)'!BG71</f>
        <v>38987.199999999997</v>
      </c>
      <c r="L15" s="1261">
        <f>'ПБ V-1 (fin min)'!BH71</f>
        <v>38796.050000000003</v>
      </c>
      <c r="M15" s="1261">
        <f>'ПБ V-1 (fin min)'!BI71</f>
        <v>40507.879999999997</v>
      </c>
      <c r="N15" s="1261"/>
      <c r="P15" s="1313">
        <f>'ПБ V-1 (fin min)'!BI71</f>
        <v>40507.879999999997</v>
      </c>
      <c r="Q15" s="1313">
        <f>'ПБ V-1 (fin min)'!BJ71</f>
        <v>40476.03966148934</v>
      </c>
    </row>
    <row r="16" spans="1:19" x14ac:dyDescent="0.35">
      <c r="A16" s="1259" t="s">
        <v>496</v>
      </c>
      <c r="B16" s="1313">
        <f>B15-A17</f>
        <v>1437.2199999999975</v>
      </c>
      <c r="C16" s="1313">
        <f>C15-B15</f>
        <v>-1058.5699999999997</v>
      </c>
      <c r="D16" s="1313">
        <f t="shared" ref="D16:M16" si="0">D15-C15</f>
        <v>3017.09</v>
      </c>
      <c r="E16" s="1313">
        <f t="shared" si="0"/>
        <v>4065.7899999999972</v>
      </c>
      <c r="F16" s="1313">
        <f t="shared" si="0"/>
        <v>1368.9100000000035</v>
      </c>
      <c r="G16" s="1313">
        <f t="shared" si="0"/>
        <v>1705.1200000000026</v>
      </c>
      <c r="H16" s="1313">
        <f t="shared" si="0"/>
        <v>2711</v>
      </c>
      <c r="I16" s="1313">
        <f t="shared" si="0"/>
        <v>-1332.3500000000058</v>
      </c>
      <c r="J16" s="1313">
        <f t="shared" si="0"/>
        <v>-682.41999999999825</v>
      </c>
      <c r="K16" s="1313">
        <f t="shared" si="0"/>
        <v>-735.58000000000175</v>
      </c>
      <c r="L16" s="1313">
        <f t="shared" si="0"/>
        <v>-191.14999999999418</v>
      </c>
      <c r="M16" s="1313">
        <f t="shared" si="0"/>
        <v>1711.8299999999945</v>
      </c>
    </row>
    <row r="17" spans="1:14" x14ac:dyDescent="0.35">
      <c r="A17" s="1259">
        <v>28490.99</v>
      </c>
      <c r="M17" s="1313">
        <f>M15-A17</f>
        <v>12016.889999999996</v>
      </c>
      <c r="N17" s="1348">
        <f>M17/1000</f>
        <v>12.016889999999997</v>
      </c>
    </row>
    <row r="19" spans="1:14" x14ac:dyDescent="0.35">
      <c r="A19" s="1258"/>
      <c r="B19" s="1472">
        <v>2024</v>
      </c>
      <c r="C19" s="1472"/>
      <c r="D19" s="1472"/>
      <c r="E19" s="1472"/>
      <c r="F19" s="1472"/>
      <c r="G19" s="1472"/>
      <c r="H19" s="1472"/>
      <c r="I19" s="1472"/>
      <c r="J19" s="1472"/>
      <c r="K19" s="1472"/>
      <c r="L19" s="1472"/>
      <c r="M19" s="1472"/>
      <c r="N19" s="1472" t="s">
        <v>316</v>
      </c>
    </row>
    <row r="20" spans="1:14" x14ac:dyDescent="0.35">
      <c r="A20" s="1258"/>
      <c r="B20" s="1258">
        <v>1</v>
      </c>
      <c r="C20" s="1258">
        <v>2</v>
      </c>
      <c r="D20" s="1258">
        <v>3</v>
      </c>
      <c r="E20" s="1258">
        <v>4</v>
      </c>
      <c r="F20" s="1258">
        <v>5</v>
      </c>
      <c r="G20" s="1258">
        <v>6</v>
      </c>
      <c r="H20" s="1258">
        <v>7</v>
      </c>
      <c r="I20" s="1258">
        <v>8</v>
      </c>
      <c r="J20" s="1258">
        <v>9</v>
      </c>
      <c r="K20" s="1258">
        <v>10</v>
      </c>
      <c r="L20" s="1258">
        <v>11</v>
      </c>
      <c r="M20" s="1258">
        <v>12</v>
      </c>
      <c r="N20" s="1472"/>
    </row>
    <row r="21" spans="1:14" x14ac:dyDescent="0.35">
      <c r="A21" s="1260" t="str">
        <f>INDEX($Q3:$S3,1,MATCH(Чарти!$B$1,$Q$2:$S$2,0))</f>
        <v>Объемы интервенций по месяцам</v>
      </c>
      <c r="B21" s="1261">
        <f>'ПБ V-1 (fin min)'!BJ64</f>
        <v>-1810.4178166917461</v>
      </c>
      <c r="C21" s="1261">
        <f>'ПБ V-1 (fin min)'!BK64</f>
        <v>-2843.7831373735075</v>
      </c>
      <c r="D21" s="1261">
        <f>'ПБ V-1 (fin min)'!BL64</f>
        <v>-3272.3022309921439</v>
      </c>
      <c r="E21" s="1261">
        <f>'ПБ V-1 (fin min)'!BM64</f>
        <v>-2101.5611664165344</v>
      </c>
      <c r="F21" s="1261">
        <f>'ПБ V-1 (fin min)'!BN64</f>
        <v>-2680.1064577729621</v>
      </c>
      <c r="G21" s="1261">
        <f>'ПБ V-1 (fin min)'!BO64</f>
        <v>-2494.0289130709571</v>
      </c>
      <c r="H21" s="1261">
        <f>'ПБ V-1 (fin min)'!BP64</f>
        <v>-2451.0996047337517</v>
      </c>
      <c r="I21" s="1261">
        <f>'ПБ V-1 (fin min)'!BQ64</f>
        <v>-1005.1585914403573</v>
      </c>
      <c r="J21" s="1261">
        <f>'ПБ V-1 (fin min)'!BR64</f>
        <v>-1739.8484822304677</v>
      </c>
      <c r="K21" s="1261">
        <f>'ПБ V-1 (fin min)'!BS64</f>
        <v>-1354.104743012784</v>
      </c>
      <c r="L21" s="1261">
        <f>'ПБ V-1 (fin min)'!BT64</f>
        <v>-1477.6948474954359</v>
      </c>
      <c r="M21" s="1261">
        <f>'ПБ V-1 (fin min)'!BU64</f>
        <v>-1703.9523365588987</v>
      </c>
      <c r="N21" s="1261">
        <f>SUM(B21:M21)</f>
        <v>-24934.058327789546</v>
      </c>
    </row>
    <row r="22" spans="1:14" x14ac:dyDescent="0.35">
      <c r="A22" s="1260" t="str">
        <f>INDEX($Q4:$S4,1,MATCH(Чарти!$B$1,$Q$2:$S$2,0))</f>
        <v>Сальдо платежного баланса</v>
      </c>
      <c r="B22" s="1261">
        <f>'ПБ V-1 (fin min)'!BJ62</f>
        <v>-232.99787369862486</v>
      </c>
      <c r="C22" s="1261">
        <f>'ПБ V-1 (fin min)'!BK62</f>
        <v>-676.43982731900735</v>
      </c>
      <c r="D22" s="1261">
        <f>'ПБ V-1 (fin min)'!BL62</f>
        <v>236.56588660407374</v>
      </c>
      <c r="E22" s="1261">
        <f>'ПБ V-1 (fin min)'!BM62</f>
        <v>359.02079590516234</v>
      </c>
      <c r="F22" s="1261">
        <f>'ПБ V-1 (fin min)'!BN62</f>
        <v>282.57177416106219</v>
      </c>
      <c r="G22" s="1261">
        <f>'ПБ V-1 (fin min)'!BO62</f>
        <v>1627.2049399829514</v>
      </c>
      <c r="H22" s="1261">
        <f>'ПБ V-1 (fin min)'!BP62</f>
        <v>850.64734420255854</v>
      </c>
      <c r="I22" s="1261">
        <f>'ПБ V-1 (fin min)'!BQ62</f>
        <v>1604.9295993719618</v>
      </c>
      <c r="J22" s="1261">
        <f>'ПБ V-1 (fin min)'!BR62</f>
        <v>1981.3790423396867</v>
      </c>
      <c r="K22" s="1261">
        <f>'ПБ V-1 (fin min)'!BS62</f>
        <v>1140.1944691993506</v>
      </c>
      <c r="L22" s="1261">
        <f>'ПБ V-1 (fin min)'!BT62</f>
        <v>1277.5093975393313</v>
      </c>
      <c r="M22" s="1261">
        <f>'ПБ V-1 (fin min)'!BU62</f>
        <v>2708.9606702932301</v>
      </c>
      <c r="N22" s="1261">
        <f>SUM(B22:M22)</f>
        <v>11159.546218581738</v>
      </c>
    </row>
    <row r="23" spans="1:14" x14ac:dyDescent="0.35">
      <c r="A23" s="1260" t="str">
        <f>INDEX($Q5:$S5,1,MATCH(Чарти!$B$1,$Q$2:$S$2,0))</f>
        <v>Сальдо операций частного сект.</v>
      </c>
      <c r="B23" s="1261">
        <f>'ПБ V-1 (fin min)'!BJ3</f>
        <v>-2011.5753518797178</v>
      </c>
      <c r="C23" s="1261">
        <f>'ПБ V-1 (fin min)'!BK3</f>
        <v>-3159.7590415261193</v>
      </c>
      <c r="D23" s="1261">
        <f>'ПБ V-1 (fin min)'!BL3</f>
        <v>-3635.8913677690489</v>
      </c>
      <c r="E23" s="1261">
        <f>'ПБ V-1 (fin min)'!BM3</f>
        <v>-2212.1696488595098</v>
      </c>
      <c r="F23" s="1261">
        <f>'ПБ V-1 (fin min)'!BN3</f>
        <v>-2821.1646923925919</v>
      </c>
      <c r="G23" s="1261">
        <f>'ПБ V-1 (fin min)'!BO3</f>
        <v>-2625.2935927062708</v>
      </c>
      <c r="H23" s="1261">
        <f>'ПБ V-1 (fin min)'!BP3</f>
        <v>-2580.1048470881597</v>
      </c>
      <c r="I23" s="1261">
        <f>'ПБ V-1 (fin min)'!BQ3</f>
        <v>-1058.0616752003762</v>
      </c>
      <c r="J23" s="1261">
        <f>'ПБ V-1 (fin min)'!BR3</f>
        <v>-1831.4194549794397</v>
      </c>
      <c r="K23" s="1261">
        <f>'ПБ V-1 (fin min)'!BS3</f>
        <v>-1425.3734136976675</v>
      </c>
      <c r="L23" s="1261">
        <f>'ПБ V-1 (fin min)'!BT3</f>
        <v>-1555.4682605215114</v>
      </c>
      <c r="M23" s="1261">
        <f>'ПБ V-1 (fin min)'!BU3</f>
        <v>-1793.6340384830512</v>
      </c>
      <c r="N23" s="1261">
        <f>SUM(B23:M23)</f>
        <v>-26709.915385103472</v>
      </c>
    </row>
    <row r="24" spans="1:14" x14ac:dyDescent="0.35">
      <c r="A24" s="1260" t="str">
        <f>INDEX($Q6:$S6,1,MATCH(Чарти!$B$1,$Q$2:$S$2,0))</f>
        <v>Изменение резервов</v>
      </c>
      <c r="B24" s="1261">
        <f>'ПБ V-1 (fin min)'!BJ71</f>
        <v>40476.03966148934</v>
      </c>
      <c r="C24" s="1261">
        <f>'ПБ V-1 (fin min)'!BK71</f>
        <v>40115.575738322943</v>
      </c>
      <c r="D24" s="1261">
        <f>'ПБ V-1 (fin min)'!BL71</f>
        <v>40715.730761703926</v>
      </c>
      <c r="E24" s="1261">
        <f>'ПБ V-1 (fin min)'!BM71</f>
        <v>41185.360040052066</v>
      </c>
      <c r="F24" s="1261">
        <f>'ПБ V-1 (fin min)'!BN71</f>
        <v>41608.990048832762</v>
      </c>
      <c r="G24" s="1261">
        <f>'ПБ V-1 (fin min)'!BO71</f>
        <v>43367.459668451032</v>
      </c>
      <c r="H24" s="1261">
        <f>'ПБ V-1 (fin min)'!BP71</f>
        <v>44347.112255007996</v>
      </c>
      <c r="I24" s="1261">
        <f>'ПБ V-1 (fin min)'!BQ71</f>
        <v>46004.944938139983</v>
      </c>
      <c r="J24" s="1261">
        <f>'ПБ V-1 (fin min)'!BR71</f>
        <v>48077.894953228642</v>
      </c>
      <c r="K24" s="1261">
        <f>'ПБ V-1 (fin min)'!BS71</f>
        <v>49289.358093112874</v>
      </c>
      <c r="L24" s="1261">
        <f>'ПБ V-1 (fin min)'!BT71</f>
        <v>50644.640903678286</v>
      </c>
      <c r="M24" s="1261">
        <f>'ПБ V-1 (fin min)'!BU71</f>
        <v>53443.283275895672</v>
      </c>
      <c r="N24" s="1261"/>
    </row>
    <row r="25" spans="1:14" x14ac:dyDescent="0.35">
      <c r="A25" s="1259" t="s">
        <v>496</v>
      </c>
      <c r="B25" s="1313">
        <f>B24-A26</f>
        <v>-31.840338510657602</v>
      </c>
      <c r="C25" s="1313">
        <f>C24-B24</f>
        <v>-360.46392316639685</v>
      </c>
      <c r="D25" s="1313">
        <f t="shared" ref="D25:M25" si="1">D24-C24</f>
        <v>600.15502338098304</v>
      </c>
      <c r="E25" s="1313">
        <f t="shared" si="1"/>
        <v>469.62927834814036</v>
      </c>
      <c r="F25" s="1313">
        <f t="shared" si="1"/>
        <v>423.63000878069579</v>
      </c>
      <c r="G25" s="1313">
        <f t="shared" si="1"/>
        <v>1758.4696196182704</v>
      </c>
      <c r="H25" s="1313">
        <f t="shared" si="1"/>
        <v>979.6525865569638</v>
      </c>
      <c r="I25" s="1313">
        <f t="shared" si="1"/>
        <v>1657.8326831319864</v>
      </c>
      <c r="J25" s="1313">
        <f t="shared" si="1"/>
        <v>2072.9500150886597</v>
      </c>
      <c r="K25" s="1313">
        <f t="shared" si="1"/>
        <v>1211.4631398842321</v>
      </c>
      <c r="L25" s="1313">
        <f t="shared" si="1"/>
        <v>1355.2828105654116</v>
      </c>
      <c r="M25" s="1313">
        <f t="shared" si="1"/>
        <v>2798.6423722173859</v>
      </c>
    </row>
    <row r="26" spans="1:14" x14ac:dyDescent="0.35">
      <c r="A26" s="1313">
        <f>M15</f>
        <v>40507.879999999997</v>
      </c>
      <c r="M26" s="1313">
        <f>M24-A26</f>
        <v>12935.403275895675</v>
      </c>
      <c r="N26" s="1348">
        <f>M26/1000</f>
        <v>12.935403275895675</v>
      </c>
    </row>
  </sheetData>
  <mergeCells count="6">
    <mergeCell ref="B1:M1"/>
    <mergeCell ref="N1:N2"/>
    <mergeCell ref="B10:M10"/>
    <mergeCell ref="N10:N11"/>
    <mergeCell ref="B19:M19"/>
    <mergeCell ref="N19:N20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E0456-BB05-41D5-97CE-7E974FFFE5B1}">
  <dimension ref="A1:AJ60"/>
  <sheetViews>
    <sheetView topLeftCell="M1" zoomScale="70" zoomScaleNormal="70" workbookViewId="0">
      <selection activeCell="AF21" sqref="AF21"/>
    </sheetView>
  </sheetViews>
  <sheetFormatPr defaultRowHeight="18" x14ac:dyDescent="0.35"/>
  <cols>
    <col min="1" max="1" width="30" customWidth="1"/>
    <col min="3" max="3" width="9.296875" customWidth="1"/>
    <col min="4" max="4" width="11.09765625" customWidth="1"/>
    <col min="5" max="5" width="9.296875" customWidth="1"/>
    <col min="6" max="6" width="10.3984375" customWidth="1"/>
    <col min="7" max="7" width="9" customWidth="1"/>
    <col min="8" max="8" width="10" customWidth="1"/>
    <col min="9" max="9" width="9" customWidth="1"/>
    <col min="10" max="10" width="10" customWidth="1"/>
    <col min="11" max="11" width="9" customWidth="1"/>
    <col min="12" max="12" width="9.296875" customWidth="1"/>
    <col min="13" max="13" width="10" customWidth="1"/>
  </cols>
  <sheetData>
    <row r="1" spans="1:36" x14ac:dyDescent="0.35">
      <c r="A1" s="1262"/>
      <c r="B1" s="1473">
        <v>2023</v>
      </c>
      <c r="C1" s="1473"/>
      <c r="D1" s="1473"/>
      <c r="E1" s="1473"/>
      <c r="F1" s="1473"/>
      <c r="G1" s="1473"/>
      <c r="H1" s="1473"/>
      <c r="I1" s="1473"/>
      <c r="J1" s="1473"/>
      <c r="K1" s="1473"/>
      <c r="L1" s="1473"/>
      <c r="M1" s="1473"/>
      <c r="N1" s="1473">
        <v>2024</v>
      </c>
      <c r="O1" s="1473"/>
      <c r="P1" s="1473"/>
      <c r="Q1" s="1473"/>
      <c r="R1" s="1473"/>
      <c r="S1" s="1473"/>
      <c r="T1" s="1473"/>
      <c r="U1" s="1473"/>
      <c r="V1" s="1473"/>
      <c r="W1" s="1473"/>
      <c r="X1" s="1473"/>
      <c r="Y1" s="1473"/>
    </row>
    <row r="2" spans="1:36" x14ac:dyDescent="0.35">
      <c r="A2" s="1262"/>
      <c r="B2" s="1263">
        <v>1</v>
      </c>
      <c r="C2" s="1263">
        <v>2</v>
      </c>
      <c r="D2" s="1263">
        <v>3</v>
      </c>
      <c r="E2" s="1263">
        <v>4</v>
      </c>
      <c r="F2" s="1263">
        <v>5</v>
      </c>
      <c r="G2" s="1263">
        <v>6</v>
      </c>
      <c r="H2" s="1263">
        <v>7</v>
      </c>
      <c r="I2" s="1263">
        <v>8</v>
      </c>
      <c r="J2" s="1263">
        <v>9</v>
      </c>
      <c r="K2" s="1263">
        <v>10</v>
      </c>
      <c r="L2" s="1263">
        <v>11</v>
      </c>
      <c r="M2" s="1263">
        <v>12</v>
      </c>
      <c r="N2" s="1263">
        <v>1</v>
      </c>
      <c r="O2" s="1263">
        <v>2</v>
      </c>
      <c r="P2" s="1263">
        <v>3</v>
      </c>
      <c r="Q2" s="1263">
        <v>4</v>
      </c>
      <c r="R2" s="1263">
        <v>5</v>
      </c>
      <c r="S2" s="1263">
        <v>6</v>
      </c>
      <c r="T2" s="1263">
        <v>7</v>
      </c>
      <c r="U2" s="1263">
        <v>8</v>
      </c>
      <c r="V2" s="1263">
        <v>9</v>
      </c>
      <c r="W2" s="1263">
        <v>10</v>
      </c>
      <c r="X2" s="1263">
        <v>11</v>
      </c>
      <c r="Y2" s="1263">
        <v>12</v>
      </c>
      <c r="AC2" t="s">
        <v>336</v>
      </c>
      <c r="AD2" t="s">
        <v>337</v>
      </c>
      <c r="AE2" t="s">
        <v>334</v>
      </c>
    </row>
    <row r="3" spans="1:36" ht="43.9" customHeight="1" x14ac:dyDescent="0.35">
      <c r="A3" s="1264" t="str">
        <f>INDEX($AC3:$AE3,1,MATCH(Чарти!$B$1,$AC$2:$AE$2,0))</f>
        <v>Сводное сальдо платежного баланса</v>
      </c>
      <c r="B3" s="280">
        <f>'ПБ V-1 (fin min)'!AX62</f>
        <v>1208</v>
      </c>
      <c r="C3" s="280">
        <f>'ПБ V-1 (fin min)'!AY62</f>
        <v>-856</v>
      </c>
      <c r="D3" s="280">
        <f>'ПБ V-1 (fin min)'!AZ62</f>
        <v>2765</v>
      </c>
      <c r="E3" s="280">
        <f>'ПБ V-1 (fin min)'!BA62</f>
        <v>4021</v>
      </c>
      <c r="F3" s="280">
        <f>'ПБ V-1 (fin min)'!BB62</f>
        <v>1533</v>
      </c>
      <c r="G3" s="280">
        <f>'ПБ V-1 (fin min)'!BC62</f>
        <v>1688</v>
      </c>
      <c r="H3" s="280">
        <f>'ПБ V-1 (fin min)'!BD62</f>
        <v>2579</v>
      </c>
      <c r="I3" s="280">
        <f>'ПБ V-1 (fin min)'!BE62</f>
        <v>-1297</v>
      </c>
      <c r="J3" s="280">
        <f>'ПБ V-1 (fin min)'!BF62</f>
        <v>-609</v>
      </c>
      <c r="K3" s="280">
        <f>'ПБ V-1 (fin min)'!BG62</f>
        <v>-847</v>
      </c>
      <c r="L3" s="280">
        <f>'ПБ V-1 (fin min)'!BH62</f>
        <v>-355</v>
      </c>
      <c r="M3" s="280">
        <f>'ПБ V-1 (fin min)'!BI62</f>
        <v>1146.4890524503166</v>
      </c>
      <c r="N3" s="280">
        <f>'ПБ V-1 (fin min)'!BJ62</f>
        <v>-232.99787369862486</v>
      </c>
      <c r="O3" s="280">
        <f>'ПБ V-1 (fin min)'!BK62</f>
        <v>-676.43982731900735</v>
      </c>
      <c r="P3" s="280">
        <f>'ПБ V-1 (fin min)'!BL62</f>
        <v>236.56588660407374</v>
      </c>
      <c r="Q3" s="280">
        <f>'ПБ V-1 (fin min)'!BM62</f>
        <v>359.02079590516234</v>
      </c>
      <c r="R3" s="280">
        <f>'ПБ V-1 (fin min)'!BN62</f>
        <v>282.57177416106219</v>
      </c>
      <c r="S3" s="280">
        <f>'ПБ V-1 (fin min)'!BO62</f>
        <v>1627.2049399829514</v>
      </c>
      <c r="T3" s="280">
        <f>'ПБ V-1 (fin min)'!BP62</f>
        <v>850.64734420255854</v>
      </c>
      <c r="U3" s="280">
        <f>'ПБ V-1 (fin min)'!BQ62</f>
        <v>1604.9295993719618</v>
      </c>
      <c r="V3" s="280">
        <f>'ПБ V-1 (fin min)'!BR62</f>
        <v>1981.3790423396867</v>
      </c>
      <c r="W3" s="280">
        <f>'ПБ V-1 (fin min)'!BS62</f>
        <v>1140.1944691993506</v>
      </c>
      <c r="X3" s="280">
        <f>'ПБ V-1 (fin min)'!BT62</f>
        <v>1277.5093975393313</v>
      </c>
      <c r="Y3" s="280">
        <f>'ПБ V-1 (fin min)'!BU62</f>
        <v>2708.9606702932301</v>
      </c>
      <c r="AC3" t="s">
        <v>244</v>
      </c>
      <c r="AD3" t="s">
        <v>390</v>
      </c>
      <c r="AE3" t="s">
        <v>388</v>
      </c>
      <c r="AH3" t="s">
        <v>244</v>
      </c>
      <c r="AI3" t="s">
        <v>390</v>
      </c>
      <c r="AJ3" t="s">
        <v>388</v>
      </c>
    </row>
    <row r="4" spans="1:36" ht="43.9" customHeight="1" x14ac:dyDescent="0.35">
      <c r="A4" s="1264" t="str">
        <f>INDEX($AC4:$AE4,1,MATCH(Чарти!$B$1,$AC$2:$AE$2,0))</f>
        <v>Интервенции</v>
      </c>
      <c r="B4" s="280">
        <f>'ПБ V-1 (fin min)'!AX64</f>
        <v>-3082.1299999999997</v>
      </c>
      <c r="C4" s="280">
        <f>'ПБ V-1 (fin min)'!AY64</f>
        <v>-2431</v>
      </c>
      <c r="D4" s="280">
        <f>'ПБ V-1 (fin min)'!AZ64</f>
        <v>-1668.97</v>
      </c>
      <c r="E4" s="280">
        <f>'ПБ V-1 (fin min)'!BA64</f>
        <v>-1370.3799999999999</v>
      </c>
      <c r="F4" s="280">
        <f>'ПБ V-1 (fin min)'!BB64</f>
        <v>-1927.6100000000001</v>
      </c>
      <c r="G4" s="280">
        <f>'ПБ V-1 (fin min)'!BC64</f>
        <v>-1797.8799999999999</v>
      </c>
      <c r="H4" s="280">
        <f>'ПБ V-1 (fin min)'!BD64</f>
        <v>-1932.92</v>
      </c>
      <c r="I4" s="280">
        <f>'ПБ V-1 (fin min)'!BE64</f>
        <v>-2364.23</v>
      </c>
      <c r="J4" s="280">
        <f>'ПБ V-1 (fin min)'!BF64</f>
        <v>-2691.4</v>
      </c>
      <c r="K4" s="280">
        <f>'ПБ V-1 (fin min)'!BG64</f>
        <v>-3337.4700000000003</v>
      </c>
      <c r="L4" s="280">
        <f>'ПБ V-1 (fin min)'!BH64</f>
        <v>-2452.8599999999997</v>
      </c>
      <c r="M4" s="280">
        <f>'ПБ V-1 (fin min)'!BI64</f>
        <v>-3553.0400000000004</v>
      </c>
      <c r="N4" s="280">
        <f>'ПБ V-1 (fin min)'!BJ64</f>
        <v>-1810.4178166917461</v>
      </c>
      <c r="O4" s="280">
        <f>'ПБ V-1 (fin min)'!BK64</f>
        <v>-2843.7831373735075</v>
      </c>
      <c r="P4" s="280">
        <f>'ПБ V-1 (fin min)'!BL64</f>
        <v>-3272.3022309921439</v>
      </c>
      <c r="Q4" s="280">
        <f>'ПБ V-1 (fin min)'!BM64</f>
        <v>-2101.5611664165344</v>
      </c>
      <c r="R4" s="280">
        <f>'ПБ V-1 (fin min)'!BN64</f>
        <v>-2680.1064577729621</v>
      </c>
      <c r="S4" s="280">
        <f>'ПБ V-1 (fin min)'!BO64</f>
        <v>-2494.0289130709571</v>
      </c>
      <c r="T4" s="280">
        <f>'ПБ V-1 (fin min)'!BP64</f>
        <v>-2451.0996047337517</v>
      </c>
      <c r="U4" s="280">
        <f>'ПБ V-1 (fin min)'!BQ64</f>
        <v>-1005.1585914403573</v>
      </c>
      <c r="V4" s="280">
        <f>'ПБ V-1 (fin min)'!BR64</f>
        <v>-1739.8484822304677</v>
      </c>
      <c r="W4" s="280">
        <f>'ПБ V-1 (fin min)'!BS64</f>
        <v>-1354.104743012784</v>
      </c>
      <c r="X4" s="280">
        <f>'ПБ V-1 (fin min)'!BT64</f>
        <v>-1477.6948474954359</v>
      </c>
      <c r="Y4" s="280">
        <f>'ПБ V-1 (fin min)'!BU64</f>
        <v>-1703.9523365588987</v>
      </c>
      <c r="AC4" t="s">
        <v>347</v>
      </c>
      <c r="AD4" t="s">
        <v>391</v>
      </c>
      <c r="AE4" t="s">
        <v>389</v>
      </c>
      <c r="AH4" t="s">
        <v>676</v>
      </c>
      <c r="AI4" t="s">
        <v>680</v>
      </c>
      <c r="AJ4" t="s">
        <v>657</v>
      </c>
    </row>
    <row r="5" spans="1:36" ht="43.9" customHeight="1" x14ac:dyDescent="0.35">
      <c r="A5" s="1264" t="str">
        <f>INDEX($AC5:$AE5,1,MATCH(Чарти!$B$1,$AC$2:$AE$2,0))</f>
        <v>Интервенции (борьба с инфляцией)</v>
      </c>
      <c r="B5" s="280">
        <f t="shared" ref="B5:L5" si="0">B4</f>
        <v>-3082.1299999999997</v>
      </c>
      <c r="C5" s="280">
        <f t="shared" si="0"/>
        <v>-2431</v>
      </c>
      <c r="D5" s="280">
        <f t="shared" si="0"/>
        <v>-1668.97</v>
      </c>
      <c r="E5" s="280">
        <f t="shared" si="0"/>
        <v>-1370.3799999999999</v>
      </c>
      <c r="F5" s="280">
        <f t="shared" si="0"/>
        <v>-1927.6100000000001</v>
      </c>
      <c r="G5" s="280">
        <f t="shared" si="0"/>
        <v>-1797.8799999999999</v>
      </c>
      <c r="H5" s="280">
        <f t="shared" si="0"/>
        <v>-1932.92</v>
      </c>
      <c r="I5" s="280">
        <f t="shared" si="0"/>
        <v>-2364.23</v>
      </c>
      <c r="J5" s="280">
        <f t="shared" si="0"/>
        <v>-2691.4</v>
      </c>
      <c r="K5" s="280">
        <f t="shared" si="0"/>
        <v>-3337.4700000000003</v>
      </c>
      <c r="L5" s="280">
        <f t="shared" si="0"/>
        <v>-2452.8599999999997</v>
      </c>
      <c r="M5" s="280">
        <f>M4</f>
        <v>-3553.0400000000004</v>
      </c>
      <c r="N5" s="280">
        <f>'ПБ V-1 (fin min)'!BJ93</f>
        <v>-2112.1541194737038</v>
      </c>
      <c r="O5" s="280">
        <f>'ПБ V-1 (fin min)'!BK93</f>
        <v>-3317.7469936024254</v>
      </c>
      <c r="P5" s="280">
        <f>'ПБ V-1 (fin min)'!BL93</f>
        <v>-3817.6859361575016</v>
      </c>
      <c r="Q5" s="280">
        <f>'ПБ V-1 (fin min)'!BM93</f>
        <v>-2389.1432207682706</v>
      </c>
      <c r="R5" s="280">
        <f>'ПБ V-1 (fin min)'!BN93</f>
        <v>-2962.2229270122216</v>
      </c>
      <c r="S5" s="280">
        <f>'ПБ V-1 (fin min)'!BO93</f>
        <v>-2887.8229519768984</v>
      </c>
      <c r="T5" s="280">
        <f>'ПБ V-1 (fin min)'!BP93</f>
        <v>-2838.1153317969761</v>
      </c>
      <c r="U5" s="280">
        <f>'ПБ V-1 (fin min)'!BQ93</f>
        <v>-1163.8678427204138</v>
      </c>
      <c r="V5" s="280">
        <f>'ПБ V-1 (fin min)'!BR93</f>
        <v>-2014.5614004773838</v>
      </c>
      <c r="W5" s="280">
        <f>'ПБ V-1 (fin min)'!BS93</f>
        <v>-1567.9107550674344</v>
      </c>
      <c r="X5" s="280">
        <f>'ПБ V-1 (fin min)'!BT93</f>
        <v>-1711.0150865736628</v>
      </c>
      <c r="Y5" s="280">
        <f>'ПБ V-1 (fin min)'!BU93</f>
        <v>-1972.9974423313565</v>
      </c>
      <c r="AC5" t="s">
        <v>677</v>
      </c>
      <c r="AD5" t="s">
        <v>681</v>
      </c>
      <c r="AE5" t="s">
        <v>658</v>
      </c>
      <c r="AH5" t="s">
        <v>677</v>
      </c>
      <c r="AI5" t="s">
        <v>681</v>
      </c>
      <c r="AJ5" t="s">
        <v>658</v>
      </c>
    </row>
    <row r="6" spans="1:36" ht="18.75" x14ac:dyDescent="0.35">
      <c r="A6" s="1265" t="str">
        <f>INDEX($AC6:$AE6,1,MATCH(Чарти!$B$1,$AC$2:$AE$2,0))</f>
        <v>Обменный курс</v>
      </c>
      <c r="B6" s="286">
        <f>'ПБ V-1 (fin min)'!AX83</f>
        <v>36.568600000000032</v>
      </c>
      <c r="C6" s="286">
        <f>'ПБ V-1 (fin min)'!AY83</f>
        <v>36.568600000000025</v>
      </c>
      <c r="D6" s="286">
        <f>'ПБ V-1 (fin min)'!AZ83</f>
        <v>36.568600000000032</v>
      </c>
      <c r="E6" s="286">
        <f>'ПБ V-1 (fin min)'!BA83</f>
        <v>36.568600000000032</v>
      </c>
      <c r="F6" s="286">
        <f>'ПБ V-1 (fin min)'!BB83</f>
        <v>36.568600000000032</v>
      </c>
      <c r="G6" s="286">
        <f>'ПБ V-1 (fin min)'!BC83</f>
        <v>36.568600000000032</v>
      </c>
      <c r="H6" s="286">
        <f>'ПБ V-1 (fin min)'!BD83</f>
        <v>36.568600000000032</v>
      </c>
      <c r="I6" s="286">
        <f>'ПБ V-1 (fin min)'!BE83</f>
        <v>36.568600000000032</v>
      </c>
      <c r="J6" s="286">
        <f>'ПБ V-1 (fin min)'!BF83</f>
        <v>36.568600000000032</v>
      </c>
      <c r="K6" s="286">
        <f>'ПБ V-1 (fin min)'!BG83</f>
        <v>36.51895161290323</v>
      </c>
      <c r="L6" s="286">
        <f>'ПБ V-1 (fin min)'!BH83</f>
        <v>36.155420000000007</v>
      </c>
      <c r="M6" s="286">
        <f>'ПБ V-1 (fin min)'!BI83</f>
        <v>37.093925806451622</v>
      </c>
      <c r="N6" s="286">
        <f>'ПБ V-1 (fin min)'!BJ83</f>
        <v>37.572233277496139</v>
      </c>
      <c r="O6" s="286">
        <f>'ПБ V-1 (fin min)'!BK83</f>
        <v>38.27478587846511</v>
      </c>
      <c r="P6" s="286">
        <f>'ПБ V-1 (fin min)'!BL83</f>
        <v>39.105806424374762</v>
      </c>
      <c r="Q6" s="286">
        <f>'ПБ V-1 (fin min)'!BM83</f>
        <v>39.395705147134706</v>
      </c>
      <c r="R6" s="286">
        <f>'ПБ V-1 (fin min)'!BN83</f>
        <v>39.781047044824604</v>
      </c>
      <c r="S6" s="286">
        <f>'ПБ V-1 (fin min)'!BO83</f>
        <v>40.158399481375852</v>
      </c>
      <c r="T6" s="286">
        <f>'ПБ V-1 (fin min)'!BP83</f>
        <v>40.515635176768157</v>
      </c>
      <c r="U6" s="286">
        <f>'ПБ V-1 (fin min)'!BQ83</f>
        <v>40.64772687713463</v>
      </c>
      <c r="V6" s="286">
        <f>'ПБ V-1 (fin min)'!BR83</f>
        <v>40.86685760056217</v>
      </c>
      <c r="W6" s="286">
        <f>'ПБ V-1 (fin min)'!BS83</f>
        <v>41.027007871865493</v>
      </c>
      <c r="X6" s="286">
        <f>'ПБ V-1 (fin min)'!BT83</f>
        <v>41.200074709472133</v>
      </c>
      <c r="Y6" s="286">
        <f>'ПБ V-1 (fin min)'!BU83</f>
        <v>41.402614826192249</v>
      </c>
      <c r="AC6" s="1426" t="s">
        <v>629</v>
      </c>
      <c r="AD6" s="1426" t="s">
        <v>399</v>
      </c>
      <c r="AE6" s="1426" t="s">
        <v>630</v>
      </c>
      <c r="AH6" s="1368" t="s">
        <v>678</v>
      </c>
      <c r="AI6" s="1286" t="s">
        <v>682</v>
      </c>
      <c r="AJ6" s="1368" t="s">
        <v>659</v>
      </c>
    </row>
    <row r="7" spans="1:36" ht="37.5" x14ac:dyDescent="0.35">
      <c r="A7" s="1265" t="str">
        <f>INDEX($AC7:$AE7,1,MATCH(Чарти!$B$1,$AC$2:$AE$2,0))</f>
        <v>Обменный курс (борьба с инфляцией)</v>
      </c>
      <c r="B7" s="286">
        <f>'ПБ V-1 (fin min)'!AX86</f>
        <v>36.568600000000032</v>
      </c>
      <c r="C7" s="286">
        <f>'ПБ V-1 (fin min)'!AY86</f>
        <v>36.568600000000025</v>
      </c>
      <c r="D7" s="286">
        <f>'ПБ V-1 (fin min)'!AZ86</f>
        <v>36.568600000000032</v>
      </c>
      <c r="E7" s="286">
        <f>'ПБ V-1 (fin min)'!BA86</f>
        <v>36.568600000000032</v>
      </c>
      <c r="F7" s="286">
        <f>'ПБ V-1 (fin min)'!BB86</f>
        <v>36.568600000000032</v>
      </c>
      <c r="G7" s="286">
        <f>'ПБ V-1 (fin min)'!BC86</f>
        <v>36.568600000000032</v>
      </c>
      <c r="H7" s="286">
        <f>'ПБ V-1 (fin min)'!BD86</f>
        <v>36.568600000000032</v>
      </c>
      <c r="I7" s="286">
        <f>'ПБ V-1 (fin min)'!BE86</f>
        <v>36.568600000000032</v>
      </c>
      <c r="J7" s="286">
        <f>'ПБ V-1 (fin min)'!BF86</f>
        <v>36.568600000000032</v>
      </c>
      <c r="K7" s="286">
        <f>'ПБ V-1 (fin min)'!BG86</f>
        <v>36.51895161290323</v>
      </c>
      <c r="L7" s="286">
        <f>'ПБ V-1 (fin min)'!BH86</f>
        <v>36.155420000000007</v>
      </c>
      <c r="M7" s="286">
        <f>'ПБ V-1 (fin min)'!BI86</f>
        <v>37.093925806451622</v>
      </c>
      <c r="N7" s="286">
        <f>'ПБ V-1 (fin min)'!BJ96</f>
        <v>36.859563586098119</v>
      </c>
      <c r="O7" s="286">
        <f>'ПБ V-1 (fin min)'!BK96</f>
        <v>36.525234794543294</v>
      </c>
      <c r="P7" s="286">
        <f>'ПБ V-1 (fin min)'!BL96</f>
        <v>36.1429222755513</v>
      </c>
      <c r="Q7" s="286">
        <f>'ПБ V-1 (fin min)'!BM96</f>
        <v>35.724636904952789</v>
      </c>
      <c r="R7" s="286">
        <f>'ПБ V-1 (fin min)'!BN96</f>
        <v>35.384156903197777</v>
      </c>
      <c r="S7" s="286">
        <f>'ПБ V-1 (fin min)'!BO96</f>
        <v>34.736690843998197</v>
      </c>
      <c r="T7" s="286">
        <f>'ПБ V-1 (fin min)'!BP96</f>
        <v>34.140457376264138</v>
      </c>
      <c r="U7" s="286">
        <f>'ПБ V-1 (fin min)'!BQ96</f>
        <v>33.922234506476528</v>
      </c>
      <c r="V7" s="286">
        <f>'ПБ V-1 (fin min)'!BR96</f>
        <v>33.566259731227817</v>
      </c>
      <c r="W7" s="286">
        <f>'ПБ V-1 (fin min)'!BS96</f>
        <v>33.309266805541682</v>
      </c>
      <c r="X7" s="286">
        <f>'ПБ V-1 (fin min)'!BT96</f>
        <v>33.035183111278116</v>
      </c>
      <c r="Y7" s="286">
        <f>'ПБ V-1 (fin min)'!BU96</f>
        <v>32.719304661752112</v>
      </c>
      <c r="AC7" s="1368" t="s">
        <v>679</v>
      </c>
      <c r="AD7" s="1286" t="s">
        <v>683</v>
      </c>
      <c r="AE7" s="1368" t="s">
        <v>660</v>
      </c>
      <c r="AH7" s="1368" t="s">
        <v>679</v>
      </c>
      <c r="AI7" s="1286" t="s">
        <v>683</v>
      </c>
      <c r="AJ7" s="1368" t="s">
        <v>660</v>
      </c>
    </row>
    <row r="8" spans="1:36" x14ac:dyDescent="0.35">
      <c r="A8" s="1262" t="s">
        <v>348</v>
      </c>
      <c r="B8" s="286">
        <f t="shared" ref="B8:Y8" si="1">B7-B10-B11</f>
        <v>36.068600000000032</v>
      </c>
      <c r="C8" s="286">
        <f t="shared" si="1"/>
        <v>36.068600000000025</v>
      </c>
      <c r="D8" s="286">
        <f t="shared" si="1"/>
        <v>36.068600000000032</v>
      </c>
      <c r="E8" s="286">
        <f t="shared" si="1"/>
        <v>36.068600000000032</v>
      </c>
      <c r="F8" s="286">
        <f t="shared" si="1"/>
        <v>36.068600000000032</v>
      </c>
      <c r="G8" s="286">
        <f t="shared" si="1"/>
        <v>36.068600000000032</v>
      </c>
      <c r="H8" s="286">
        <f t="shared" si="1"/>
        <v>36.068600000000032</v>
      </c>
      <c r="I8" s="286">
        <f t="shared" si="1"/>
        <v>36.068600000000032</v>
      </c>
      <c r="J8" s="286">
        <f t="shared" si="1"/>
        <v>36.068600000000032</v>
      </c>
      <c r="K8" s="286">
        <f t="shared" si="1"/>
        <v>36.01895161290323</v>
      </c>
      <c r="L8" s="286">
        <f t="shared" si="1"/>
        <v>35.655420000000007</v>
      </c>
      <c r="M8" s="286">
        <f t="shared" si="1"/>
        <v>36.593925806451622</v>
      </c>
      <c r="N8" s="286">
        <f t="shared" si="1"/>
        <v>37.072233277496139</v>
      </c>
      <c r="O8" s="286">
        <f t="shared" si="1"/>
        <v>37.77478587846511</v>
      </c>
      <c r="P8" s="286">
        <f t="shared" si="1"/>
        <v>38.605806424374762</v>
      </c>
      <c r="Q8" s="286">
        <f t="shared" si="1"/>
        <v>38.895705147134706</v>
      </c>
      <c r="R8" s="286">
        <f t="shared" si="1"/>
        <v>39.281047044824604</v>
      </c>
      <c r="S8" s="286">
        <f t="shared" si="1"/>
        <v>39.658399481375852</v>
      </c>
      <c r="T8" s="286">
        <f t="shared" si="1"/>
        <v>40.015635176768157</v>
      </c>
      <c r="U8" s="286">
        <f t="shared" si="1"/>
        <v>40.14772687713463</v>
      </c>
      <c r="V8" s="286">
        <f t="shared" si="1"/>
        <v>40.36685760056217</v>
      </c>
      <c r="W8" s="286">
        <f t="shared" si="1"/>
        <v>40.527007871865493</v>
      </c>
      <c r="X8" s="286">
        <f t="shared" si="1"/>
        <v>40.700074709472133</v>
      </c>
      <c r="Y8" s="286">
        <f t="shared" si="1"/>
        <v>40.902614826192249</v>
      </c>
    </row>
    <row r="9" spans="1:36" x14ac:dyDescent="0.35">
      <c r="A9" s="1262" t="s">
        <v>349</v>
      </c>
      <c r="B9" s="122">
        <v>0.5</v>
      </c>
      <c r="C9" s="122">
        <v>0.5</v>
      </c>
      <c r="D9" s="122">
        <v>0.5</v>
      </c>
      <c r="E9" s="122">
        <v>0.5</v>
      </c>
      <c r="F9" s="122">
        <v>0.5</v>
      </c>
      <c r="G9" s="122">
        <v>0.5</v>
      </c>
      <c r="H9" s="122">
        <v>0.5</v>
      </c>
      <c r="I9" s="122">
        <v>0.5</v>
      </c>
      <c r="J9" s="122">
        <v>0.5</v>
      </c>
      <c r="K9" s="122">
        <v>0.5</v>
      </c>
      <c r="L9" s="122">
        <v>0.5</v>
      </c>
      <c r="M9" s="122">
        <v>0.5</v>
      </c>
      <c r="N9" s="122">
        <v>0.5</v>
      </c>
      <c r="O9" s="122">
        <v>0.5</v>
      </c>
      <c r="P9" s="122">
        <v>0.5</v>
      </c>
      <c r="Q9" s="122">
        <v>0.5</v>
      </c>
      <c r="R9" s="122">
        <v>0.5</v>
      </c>
      <c r="S9" s="122">
        <v>0.5</v>
      </c>
      <c r="T9" s="122">
        <v>0.5</v>
      </c>
      <c r="U9" s="122">
        <v>0.5</v>
      </c>
      <c r="V9" s="122">
        <v>0.5</v>
      </c>
      <c r="W9" s="122">
        <v>0.5</v>
      </c>
      <c r="X9" s="122">
        <v>0.5</v>
      </c>
      <c r="Y9" s="122">
        <v>0.5</v>
      </c>
      <c r="Z9" s="280">
        <v>1</v>
      </c>
    </row>
    <row r="10" spans="1:36" x14ac:dyDescent="0.35">
      <c r="A10" s="1262" t="s">
        <v>350</v>
      </c>
      <c r="B10" s="122">
        <f t="shared" ref="B10:Y10" si="2">B7-B6</f>
        <v>0</v>
      </c>
      <c r="C10" s="122">
        <f t="shared" si="2"/>
        <v>0</v>
      </c>
      <c r="D10" s="122">
        <f t="shared" si="2"/>
        <v>0</v>
      </c>
      <c r="E10" s="122">
        <f t="shared" si="2"/>
        <v>0</v>
      </c>
      <c r="F10" s="122">
        <f t="shared" si="2"/>
        <v>0</v>
      </c>
      <c r="G10" s="122">
        <f t="shared" si="2"/>
        <v>0</v>
      </c>
      <c r="H10" s="122">
        <f t="shared" si="2"/>
        <v>0</v>
      </c>
      <c r="I10" s="122">
        <f t="shared" si="2"/>
        <v>0</v>
      </c>
      <c r="J10" s="122">
        <f t="shared" si="2"/>
        <v>0</v>
      </c>
      <c r="K10" s="122">
        <f t="shared" si="2"/>
        <v>0</v>
      </c>
      <c r="L10" s="122">
        <f t="shared" si="2"/>
        <v>0</v>
      </c>
      <c r="M10" s="122">
        <f t="shared" si="2"/>
        <v>0</v>
      </c>
      <c r="N10" s="122">
        <f t="shared" si="2"/>
        <v>-0.71266969139801972</v>
      </c>
      <c r="O10" s="122">
        <f t="shared" si="2"/>
        <v>-1.7495510839218156</v>
      </c>
      <c r="P10" s="122">
        <f t="shared" si="2"/>
        <v>-2.9628841488234627</v>
      </c>
      <c r="Q10" s="122">
        <f t="shared" si="2"/>
        <v>-3.6710682421819172</v>
      </c>
      <c r="R10" s="122">
        <f t="shared" si="2"/>
        <v>-4.3968901416268267</v>
      </c>
      <c r="S10" s="122">
        <f t="shared" si="2"/>
        <v>-5.4217086373776553</v>
      </c>
      <c r="T10" s="122">
        <f t="shared" si="2"/>
        <v>-6.3751778005040194</v>
      </c>
      <c r="U10" s="122">
        <f t="shared" si="2"/>
        <v>-6.7254923706581025</v>
      </c>
      <c r="V10" s="122">
        <f t="shared" si="2"/>
        <v>-7.3005978693343536</v>
      </c>
      <c r="W10" s="122">
        <f t="shared" si="2"/>
        <v>-7.7177410663238106</v>
      </c>
      <c r="X10" s="122">
        <f t="shared" si="2"/>
        <v>-8.1648915981940178</v>
      </c>
      <c r="Y10" s="122">
        <f t="shared" si="2"/>
        <v>-8.6833101644401367</v>
      </c>
      <c r="Z10" s="280"/>
    </row>
    <row r="11" spans="1:36" x14ac:dyDescent="0.35">
      <c r="A11" s="1262" t="s">
        <v>351</v>
      </c>
      <c r="B11" s="121">
        <v>0.5</v>
      </c>
      <c r="C11" s="121">
        <v>0.5</v>
      </c>
      <c r="D11" s="121">
        <v>0.5</v>
      </c>
      <c r="E11" s="121">
        <v>0.5</v>
      </c>
      <c r="F11" s="121">
        <v>0.5</v>
      </c>
      <c r="G11" s="121">
        <v>0.5</v>
      </c>
      <c r="H11" s="121">
        <v>0.5</v>
      </c>
      <c r="I11" s="121">
        <v>0.5</v>
      </c>
      <c r="J11" s="121">
        <v>0.5</v>
      </c>
      <c r="K11" s="121">
        <v>0.5</v>
      </c>
      <c r="L11" s="121">
        <v>0.5</v>
      </c>
      <c r="M11" s="121">
        <v>0.5</v>
      </c>
      <c r="N11" s="121">
        <v>0.5</v>
      </c>
      <c r="O11" s="121">
        <v>0.5</v>
      </c>
      <c r="P11" s="121">
        <v>0.5</v>
      </c>
      <c r="Q11" s="121">
        <v>0.5</v>
      </c>
      <c r="R11" s="121">
        <v>0.5</v>
      </c>
      <c r="S11" s="121">
        <v>0.5</v>
      </c>
      <c r="T11" s="121">
        <v>0.5</v>
      </c>
      <c r="U11" s="121">
        <v>0.5</v>
      </c>
      <c r="V11" s="121">
        <v>0.5</v>
      </c>
      <c r="W11" s="121">
        <v>0.5</v>
      </c>
      <c r="X11" s="121">
        <v>0.5</v>
      </c>
      <c r="Y11" s="121">
        <v>0.5</v>
      </c>
      <c r="Z11">
        <v>0.5</v>
      </c>
    </row>
    <row r="13" spans="1:36" x14ac:dyDescent="0.35">
      <c r="A13" s="1262"/>
      <c r="B13" s="1473">
        <v>2021</v>
      </c>
      <c r="C13" s="1473"/>
      <c r="D13" s="1473"/>
      <c r="E13" s="1473"/>
      <c r="F13" s="1473"/>
      <c r="G13" s="1473"/>
      <c r="H13" s="1473"/>
      <c r="I13" s="1473"/>
      <c r="J13" s="1473"/>
      <c r="K13" s="1473"/>
      <c r="L13" s="1473"/>
      <c r="M13" s="1473"/>
      <c r="N13" s="1473">
        <v>2022</v>
      </c>
      <c r="O13" s="1473"/>
      <c r="P13" s="1473"/>
      <c r="Q13" s="1473"/>
      <c r="R13" s="1473"/>
      <c r="S13" s="1473"/>
      <c r="T13" s="1473"/>
      <c r="U13" s="1473"/>
      <c r="V13" s="1473"/>
      <c r="W13" s="1473"/>
      <c r="X13" s="1473"/>
      <c r="Y13" s="1473"/>
    </row>
    <row r="14" spans="1:36" x14ac:dyDescent="0.35">
      <c r="A14" s="1262"/>
      <c r="B14" s="1262" t="s">
        <v>352</v>
      </c>
      <c r="C14" s="1262" t="s">
        <v>353</v>
      </c>
      <c r="D14" s="1262" t="s">
        <v>354</v>
      </c>
      <c r="E14" s="1262" t="s">
        <v>355</v>
      </c>
      <c r="F14" s="1262" t="s">
        <v>356</v>
      </c>
      <c r="G14" s="1262" t="s">
        <v>357</v>
      </c>
      <c r="H14" s="1262" t="s">
        <v>358</v>
      </c>
      <c r="I14" s="1262" t="s">
        <v>359</v>
      </c>
      <c r="J14" s="1262" t="s">
        <v>360</v>
      </c>
      <c r="K14" s="1262" t="s">
        <v>361</v>
      </c>
      <c r="L14" s="1262" t="s">
        <v>362</v>
      </c>
      <c r="M14" s="1262" t="s">
        <v>363</v>
      </c>
      <c r="N14" s="1262" t="s">
        <v>352</v>
      </c>
      <c r="O14" s="1262" t="s">
        <v>353</v>
      </c>
      <c r="P14" s="1262" t="s">
        <v>354</v>
      </c>
      <c r="Q14" s="1262" t="s">
        <v>355</v>
      </c>
      <c r="R14" s="1262" t="s">
        <v>356</v>
      </c>
      <c r="S14" s="1262" t="s">
        <v>357</v>
      </c>
      <c r="T14" s="1262" t="s">
        <v>358</v>
      </c>
      <c r="U14" s="1262" t="s">
        <v>359</v>
      </c>
      <c r="V14" s="1262" t="s">
        <v>360</v>
      </c>
      <c r="W14" s="1262" t="s">
        <v>361</v>
      </c>
      <c r="X14" s="1262" t="s">
        <v>362</v>
      </c>
      <c r="Y14" s="1262" t="s">
        <v>363</v>
      </c>
    </row>
    <row r="15" spans="1:36" x14ac:dyDescent="0.35">
      <c r="A15" s="1262" t="s">
        <v>244</v>
      </c>
      <c r="B15" s="156">
        <f t="shared" ref="B15:Y15" si="3">B3</f>
        <v>1208</v>
      </c>
      <c r="C15" s="156">
        <f t="shared" si="3"/>
        <v>-856</v>
      </c>
      <c r="D15" s="156">
        <f t="shared" si="3"/>
        <v>2765</v>
      </c>
      <c r="E15" s="156">
        <f t="shared" si="3"/>
        <v>4021</v>
      </c>
      <c r="F15" s="156">
        <f t="shared" si="3"/>
        <v>1533</v>
      </c>
      <c r="G15" s="156">
        <f t="shared" si="3"/>
        <v>1688</v>
      </c>
      <c r="H15" s="156">
        <f t="shared" si="3"/>
        <v>2579</v>
      </c>
      <c r="I15" s="156">
        <f t="shared" si="3"/>
        <v>-1297</v>
      </c>
      <c r="J15" s="156">
        <f t="shared" si="3"/>
        <v>-609</v>
      </c>
      <c r="K15" s="156">
        <f t="shared" si="3"/>
        <v>-847</v>
      </c>
      <c r="L15" s="156">
        <f t="shared" si="3"/>
        <v>-355</v>
      </c>
      <c r="M15" s="156">
        <f t="shared" si="3"/>
        <v>1146.4890524503166</v>
      </c>
      <c r="N15" s="156">
        <f t="shared" si="3"/>
        <v>-232.99787369862486</v>
      </c>
      <c r="O15" s="156">
        <f t="shared" si="3"/>
        <v>-676.43982731900735</v>
      </c>
      <c r="P15" s="156">
        <f t="shared" si="3"/>
        <v>236.56588660407374</v>
      </c>
      <c r="Q15" s="156">
        <f t="shared" si="3"/>
        <v>359.02079590516234</v>
      </c>
      <c r="R15" s="156">
        <f t="shared" si="3"/>
        <v>282.57177416106219</v>
      </c>
      <c r="S15" s="156">
        <f t="shared" si="3"/>
        <v>1627.2049399829514</v>
      </c>
      <c r="T15" s="156">
        <f t="shared" si="3"/>
        <v>850.64734420255854</v>
      </c>
      <c r="U15" s="156">
        <f t="shared" si="3"/>
        <v>1604.9295993719618</v>
      </c>
      <c r="V15" s="156">
        <f t="shared" si="3"/>
        <v>1981.3790423396867</v>
      </c>
      <c r="W15" s="156">
        <f t="shared" si="3"/>
        <v>1140.1944691993506</v>
      </c>
      <c r="X15" s="156">
        <f t="shared" si="3"/>
        <v>1277.5093975393313</v>
      </c>
      <c r="Y15" s="156">
        <f t="shared" si="3"/>
        <v>2708.9606702932301</v>
      </c>
    </row>
    <row r="16" spans="1:36" x14ac:dyDescent="0.35">
      <c r="A16" s="1262" t="s">
        <v>364</v>
      </c>
      <c r="B16" s="156">
        <f t="shared" ref="B16:Y16" si="4">B4</f>
        <v>-3082.1299999999997</v>
      </c>
      <c r="C16" s="156">
        <f t="shared" si="4"/>
        <v>-2431</v>
      </c>
      <c r="D16" s="156">
        <f t="shared" si="4"/>
        <v>-1668.97</v>
      </c>
      <c r="E16" s="156">
        <f t="shared" si="4"/>
        <v>-1370.3799999999999</v>
      </c>
      <c r="F16" s="156">
        <f t="shared" si="4"/>
        <v>-1927.6100000000001</v>
      </c>
      <c r="G16" s="156">
        <f t="shared" si="4"/>
        <v>-1797.8799999999999</v>
      </c>
      <c r="H16" s="156">
        <f t="shared" si="4"/>
        <v>-1932.92</v>
      </c>
      <c r="I16" s="156">
        <f t="shared" si="4"/>
        <v>-2364.23</v>
      </c>
      <c r="J16" s="156">
        <f t="shared" si="4"/>
        <v>-2691.4</v>
      </c>
      <c r="K16" s="156">
        <f t="shared" si="4"/>
        <v>-3337.4700000000003</v>
      </c>
      <c r="L16" s="156">
        <f t="shared" si="4"/>
        <v>-2452.8599999999997</v>
      </c>
      <c r="M16" s="156">
        <f t="shared" si="4"/>
        <v>-3553.0400000000004</v>
      </c>
      <c r="N16" s="156">
        <f t="shared" si="4"/>
        <v>-1810.4178166917461</v>
      </c>
      <c r="O16" s="156">
        <f t="shared" si="4"/>
        <v>-2843.7831373735075</v>
      </c>
      <c r="P16" s="156">
        <f t="shared" si="4"/>
        <v>-3272.3022309921439</v>
      </c>
      <c r="Q16" s="156">
        <f t="shared" si="4"/>
        <v>-2101.5611664165344</v>
      </c>
      <c r="R16" s="156">
        <f t="shared" si="4"/>
        <v>-2680.1064577729621</v>
      </c>
      <c r="S16" s="156">
        <f t="shared" si="4"/>
        <v>-2494.0289130709571</v>
      </c>
      <c r="T16" s="156">
        <f t="shared" si="4"/>
        <v>-2451.0996047337517</v>
      </c>
      <c r="U16" s="156">
        <f t="shared" si="4"/>
        <v>-1005.1585914403573</v>
      </c>
      <c r="V16" s="156">
        <f t="shared" si="4"/>
        <v>-1739.8484822304677</v>
      </c>
      <c r="W16" s="156">
        <f t="shared" si="4"/>
        <v>-1354.104743012784</v>
      </c>
      <c r="X16" s="156">
        <f t="shared" si="4"/>
        <v>-1477.6948474954359</v>
      </c>
      <c r="Y16" s="156">
        <f t="shared" si="4"/>
        <v>-1703.9523365588987</v>
      </c>
    </row>
    <row r="17" spans="1:29" x14ac:dyDescent="0.35">
      <c r="A17" s="1262" t="s">
        <v>365</v>
      </c>
      <c r="B17" s="667"/>
      <c r="C17" s="667"/>
      <c r="D17" s="667"/>
      <c r="E17" s="667"/>
      <c r="F17" s="667"/>
      <c r="G17" s="667"/>
      <c r="H17" s="667"/>
      <c r="I17" s="667"/>
      <c r="J17" s="667"/>
      <c r="K17" s="667"/>
      <c r="L17" s="667"/>
      <c r="M17" s="667"/>
      <c r="N17" s="667">
        <v>31.670651612903228</v>
      </c>
      <c r="O17" s="667">
        <f t="shared" ref="O17:Y18" si="5">O6*O$23</f>
        <v>33.814839257659038</v>
      </c>
      <c r="P17" s="667">
        <f t="shared" si="5"/>
        <v>35.592481221533291</v>
      </c>
      <c r="Q17" s="667">
        <f t="shared" si="5"/>
        <v>35.034623084122707</v>
      </c>
      <c r="R17" s="667">
        <f t="shared" si="5"/>
        <v>34.721486955697792</v>
      </c>
      <c r="S17" s="667">
        <f t="shared" si="5"/>
        <v>42.094034336378172</v>
      </c>
      <c r="T17" s="667">
        <f t="shared" si="5"/>
        <v>41.398876023621703</v>
      </c>
      <c r="U17" s="667">
        <f t="shared" si="5"/>
        <v>41.960648455266082</v>
      </c>
      <c r="V17" s="667">
        <f t="shared" si="5"/>
        <v>40.612612705530644</v>
      </c>
      <c r="W17" s="667">
        <f t="shared" si="5"/>
        <v>42.012463288794272</v>
      </c>
      <c r="X17" s="667">
        <f t="shared" si="5"/>
        <v>41.940629341988725</v>
      </c>
      <c r="Y17" s="667">
        <f t="shared" si="5"/>
        <v>42.107214586597195</v>
      </c>
    </row>
    <row r="18" spans="1:29" ht="18.75" x14ac:dyDescent="0.35">
      <c r="A18" s="1265" t="s">
        <v>366</v>
      </c>
      <c r="B18" s="667">
        <v>34.386274193548388</v>
      </c>
      <c r="C18" s="667">
        <v>33.742985714285716</v>
      </c>
      <c r="D18" s="667">
        <v>33.140067741935482</v>
      </c>
      <c r="E18" s="667">
        <v>33.330189999999995</v>
      </c>
      <c r="F18" s="667">
        <v>33.506225806451603</v>
      </c>
      <c r="G18" s="667">
        <v>32.853986666666657</v>
      </c>
      <c r="H18" s="667">
        <v>32.182148387096774</v>
      </c>
      <c r="I18" s="667">
        <v>31.528767741935471</v>
      </c>
      <c r="J18" s="667">
        <v>31.497583333333335</v>
      </c>
      <c r="K18" s="667">
        <v>30.564135483870963</v>
      </c>
      <c r="L18" s="667">
        <v>30.192356666666665</v>
      </c>
      <c r="M18" s="667">
        <v>30.783187096774196</v>
      </c>
      <c r="N18" s="667">
        <v>31.670651612903228</v>
      </c>
      <c r="O18" s="667">
        <v>32.269153571428575</v>
      </c>
      <c r="P18" s="667">
        <v>32.8957870967742</v>
      </c>
      <c r="Q18" s="667">
        <v>31.769940000000005</v>
      </c>
      <c r="R18" s="667">
        <v>30.883816129032269</v>
      </c>
      <c r="S18" s="667">
        <f t="shared" si="5"/>
        <v>36.410999342678913</v>
      </c>
      <c r="T18" s="667">
        <f t="shared" si="5"/>
        <v>34.884719347066699</v>
      </c>
      <c r="U18" s="667">
        <f t="shared" si="5"/>
        <v>35.017922681035721</v>
      </c>
      <c r="V18" s="667">
        <f t="shared" si="5"/>
        <v>33.35743403032906</v>
      </c>
      <c r="W18" s="667">
        <f t="shared" si="5"/>
        <v>34.109344586255418</v>
      </c>
      <c r="X18" s="667">
        <f t="shared" si="5"/>
        <v>33.628977128925037</v>
      </c>
      <c r="Y18" s="667">
        <f t="shared" si="5"/>
        <v>33.276129739638314</v>
      </c>
      <c r="Z18" s="557">
        <f>Y18+0.25</f>
        <v>33.526129739638314</v>
      </c>
    </row>
    <row r="19" spans="1:29" x14ac:dyDescent="0.35">
      <c r="A19" s="1262" t="s">
        <v>348</v>
      </c>
      <c r="B19" s="667">
        <f t="shared" ref="B19:Y19" si="6">B18-B20-B21</f>
        <v>34.386274193548388</v>
      </c>
      <c r="C19" s="667">
        <f t="shared" si="6"/>
        <v>33.742985714285716</v>
      </c>
      <c r="D19" s="667">
        <f t="shared" si="6"/>
        <v>33.140067741935482</v>
      </c>
      <c r="E19" s="667">
        <f t="shared" si="6"/>
        <v>33.330189999999995</v>
      </c>
      <c r="F19" s="667">
        <f t="shared" si="6"/>
        <v>33.506225806451603</v>
      </c>
      <c r="G19" s="667">
        <f t="shared" si="6"/>
        <v>32.853986666666657</v>
      </c>
      <c r="H19" s="667">
        <f t="shared" si="6"/>
        <v>32.182148387096774</v>
      </c>
      <c r="I19" s="667">
        <f t="shared" si="6"/>
        <v>31.528767741935471</v>
      </c>
      <c r="J19" s="667">
        <f t="shared" si="6"/>
        <v>31.497583333333335</v>
      </c>
      <c r="K19" s="667">
        <f t="shared" si="6"/>
        <v>30.564135483870963</v>
      </c>
      <c r="L19" s="667">
        <f t="shared" si="6"/>
        <v>30.192356666666665</v>
      </c>
      <c r="M19" s="667">
        <f t="shared" si="6"/>
        <v>30.783187096774196</v>
      </c>
      <c r="N19" s="667">
        <f t="shared" si="6"/>
        <v>31.670651612903228</v>
      </c>
      <c r="O19" s="667">
        <f t="shared" si="6"/>
        <v>33.373101459764726</v>
      </c>
      <c r="P19" s="667">
        <f t="shared" si="6"/>
        <v>35.137401982976172</v>
      </c>
      <c r="Q19" s="667">
        <f t="shared" si="6"/>
        <v>34.589972798599504</v>
      </c>
      <c r="R19" s="667">
        <f t="shared" si="6"/>
        <v>34.285079551481232</v>
      </c>
      <c r="S19" s="667">
        <f t="shared" si="6"/>
        <v>41.569934336378175</v>
      </c>
      <c r="T19" s="667">
        <f t="shared" si="6"/>
        <v>40.887976023621704</v>
      </c>
      <c r="U19" s="667">
        <f t="shared" si="6"/>
        <v>41.444498455266078</v>
      </c>
      <c r="V19" s="667">
        <f t="shared" si="6"/>
        <v>40.115723354476501</v>
      </c>
      <c r="W19" s="667">
        <f t="shared" si="6"/>
        <v>41.500453451030737</v>
      </c>
      <c r="X19" s="667">
        <f t="shared" si="6"/>
        <v>41.431642044784304</v>
      </c>
      <c r="Y19" s="667">
        <f t="shared" si="6"/>
        <v>41.598705465091669</v>
      </c>
      <c r="Z19" s="557">
        <f>Y18-0.25</f>
        <v>33.026129739638314</v>
      </c>
    </row>
    <row r="20" spans="1:29" x14ac:dyDescent="0.35">
      <c r="A20" s="1262" t="s">
        <v>349</v>
      </c>
      <c r="B20" s="282"/>
      <c r="C20" s="282"/>
      <c r="D20" s="282"/>
      <c r="E20" s="282"/>
      <c r="F20" s="282"/>
      <c r="G20" s="282"/>
      <c r="H20" s="282"/>
      <c r="I20" s="282"/>
      <c r="J20" s="282"/>
      <c r="K20" s="282"/>
      <c r="L20" s="282"/>
      <c r="M20" s="282"/>
      <c r="N20" s="280"/>
      <c r="O20" s="280">
        <f t="shared" ref="O20:Y20" si="7">O9*O23</f>
        <v>0.44173779789431278</v>
      </c>
      <c r="P20" s="280">
        <f t="shared" si="7"/>
        <v>0.45507923855712118</v>
      </c>
      <c r="Q20" s="280">
        <f t="shared" si="7"/>
        <v>0.44465028552320274</v>
      </c>
      <c r="R20" s="280">
        <f t="shared" si="7"/>
        <v>0.43640740421656338</v>
      </c>
      <c r="S20" s="280">
        <f t="shared" si="7"/>
        <v>0.52410000000000001</v>
      </c>
      <c r="T20" s="280">
        <f t="shared" si="7"/>
        <v>0.51090000000000002</v>
      </c>
      <c r="U20" s="280">
        <f t="shared" si="7"/>
        <v>0.51615</v>
      </c>
      <c r="V20" s="280">
        <f t="shared" si="7"/>
        <v>0.49688935105414089</v>
      </c>
      <c r="W20" s="280">
        <f t="shared" si="7"/>
        <v>0.51200983776353526</v>
      </c>
      <c r="X20" s="280">
        <f t="shared" si="7"/>
        <v>0.50898729720441904</v>
      </c>
      <c r="Y20" s="280">
        <f t="shared" si="7"/>
        <v>0.50850912150552385</v>
      </c>
    </row>
    <row r="21" spans="1:29" x14ac:dyDescent="0.35">
      <c r="A21" s="1262" t="s">
        <v>350</v>
      </c>
      <c r="B21" s="282"/>
      <c r="C21" s="282"/>
      <c r="D21" s="282"/>
      <c r="E21" s="282"/>
      <c r="F21" s="282"/>
      <c r="G21" s="282"/>
      <c r="H21" s="282"/>
      <c r="I21" s="282"/>
      <c r="J21" s="282"/>
      <c r="K21" s="282"/>
      <c r="L21" s="282"/>
      <c r="M21" s="282"/>
      <c r="N21" s="280">
        <f t="shared" ref="N21:Y21" si="8">N18-N17</f>
        <v>0</v>
      </c>
      <c r="O21" s="280">
        <f t="shared" si="8"/>
        <v>-1.5456856862304633</v>
      </c>
      <c r="P21" s="280">
        <f t="shared" si="8"/>
        <v>-2.696694124759091</v>
      </c>
      <c r="Q21" s="280">
        <f t="shared" si="8"/>
        <v>-3.2646830841227015</v>
      </c>
      <c r="R21" s="280">
        <f t="shared" si="8"/>
        <v>-3.8376708266655228</v>
      </c>
      <c r="S21" s="280">
        <f t="shared" si="8"/>
        <v>-5.683034993699259</v>
      </c>
      <c r="T21" s="280">
        <f t="shared" si="8"/>
        <v>-6.5141566765550039</v>
      </c>
      <c r="U21" s="280">
        <f t="shared" si="8"/>
        <v>-6.942725774230361</v>
      </c>
      <c r="V21" s="280">
        <f t="shared" si="8"/>
        <v>-7.2551786752015843</v>
      </c>
      <c r="W21" s="280">
        <f t="shared" si="8"/>
        <v>-7.9031187025388547</v>
      </c>
      <c r="X21" s="280">
        <f t="shared" si="8"/>
        <v>-8.3116522130636881</v>
      </c>
      <c r="Y21" s="280">
        <f t="shared" si="8"/>
        <v>-8.8310848469588805</v>
      </c>
    </row>
    <row r="22" spans="1:29" x14ac:dyDescent="0.35">
      <c r="A22" s="1262" t="s">
        <v>351</v>
      </c>
      <c r="B22" s="121"/>
      <c r="C22" s="121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282">
        <f>O11*O23</f>
        <v>0.44173779789431278</v>
      </c>
      <c r="P22" s="282">
        <f t="shared" ref="P22:Y22" si="9">P11*P23</f>
        <v>0.45507923855712118</v>
      </c>
      <c r="Q22" s="282">
        <f t="shared" si="9"/>
        <v>0.44465028552320274</v>
      </c>
      <c r="R22" s="282">
        <f t="shared" si="9"/>
        <v>0.43640740421656338</v>
      </c>
      <c r="S22" s="282">
        <f t="shared" si="9"/>
        <v>0.52410000000000001</v>
      </c>
      <c r="T22" s="282">
        <f t="shared" si="9"/>
        <v>0.51090000000000002</v>
      </c>
      <c r="U22" s="282">
        <f t="shared" si="9"/>
        <v>0.51615</v>
      </c>
      <c r="V22" s="282">
        <f t="shared" si="9"/>
        <v>0.49688935105414089</v>
      </c>
      <c r="W22" s="282">
        <f t="shared" si="9"/>
        <v>0.51200983776353526</v>
      </c>
      <c r="X22" s="282">
        <f t="shared" si="9"/>
        <v>0.50898729720441904</v>
      </c>
      <c r="Y22" s="282">
        <f t="shared" si="9"/>
        <v>0.50850912150552385</v>
      </c>
    </row>
    <row r="23" spans="1:29" ht="31.5" customHeight="1" x14ac:dyDescent="0.35">
      <c r="A23" s="1266" t="s">
        <v>367</v>
      </c>
      <c r="B23" s="1266"/>
      <c r="C23" s="1266"/>
      <c r="D23" s="1266"/>
      <c r="E23" s="1266"/>
      <c r="F23" s="1266"/>
      <c r="G23" s="1266"/>
      <c r="H23" s="1266"/>
      <c r="I23" s="1266"/>
      <c r="J23" s="1266"/>
      <c r="K23" s="1266"/>
      <c r="L23" s="1266"/>
      <c r="M23" s="1266"/>
      <c r="N23" s="1266">
        <f>N18/N7</f>
        <v>0.8592248125490034</v>
      </c>
      <c r="O23" s="1266">
        <f>O18/O7</f>
        <v>0.88347559578862556</v>
      </c>
      <c r="P23" s="1266">
        <f>P18/P7</f>
        <v>0.91015847711424236</v>
      </c>
      <c r="Q23" s="1266">
        <f>Q18/Q7</f>
        <v>0.88930057104640547</v>
      </c>
      <c r="R23" s="1266">
        <f>R18/R7</f>
        <v>0.87281480843312675</v>
      </c>
      <c r="S23" s="1266">
        <v>1.0482</v>
      </c>
      <c r="T23" s="1266">
        <v>1.0218</v>
      </c>
      <c r="U23" s="1266">
        <v>1.0323</v>
      </c>
      <c r="V23" s="1266">
        <f>AVERAGE(R23:U23)</f>
        <v>0.99377870210828179</v>
      </c>
      <c r="W23" s="1266">
        <f>AVERAGE(S23:V23)</f>
        <v>1.0240196755270705</v>
      </c>
      <c r="X23" s="1266">
        <f>AVERAGE(T23:W23)</f>
        <v>1.0179745944088381</v>
      </c>
      <c r="Y23" s="1266">
        <f>AVERAGE(U23:X23)</f>
        <v>1.0170182430110477</v>
      </c>
      <c r="AA23">
        <f>23*AVERAGE(O23:Y23)</f>
        <v>22.39539412282415</v>
      </c>
    </row>
    <row r="25" spans="1:29" ht="18.75" thickBot="1" x14ac:dyDescent="0.4"/>
    <row r="26" spans="1:29" x14ac:dyDescent="0.35">
      <c r="A26" s="1267"/>
      <c r="B26" s="1268"/>
      <c r="C26" s="1268"/>
      <c r="D26" s="1268"/>
      <c r="E26" s="1268"/>
      <c r="F26" s="1268"/>
      <c r="G26" s="1268"/>
      <c r="H26" s="1268"/>
      <c r="I26" s="1268"/>
      <c r="J26" s="1268"/>
      <c r="K26" s="1268"/>
      <c r="L26" s="1268"/>
      <c r="M26" s="1268"/>
      <c r="N26" s="1268"/>
      <c r="O26" s="1268"/>
      <c r="P26" s="1268"/>
      <c r="Q26" s="1268"/>
      <c r="R26" s="1268"/>
      <c r="S26" s="1268"/>
      <c r="T26" s="1268"/>
      <c r="U26" s="1268"/>
      <c r="V26" s="1268"/>
      <c r="W26" s="1268"/>
      <c r="X26" s="1268"/>
      <c r="Y26" s="1268"/>
      <c r="Z26" s="1268"/>
      <c r="AA26" s="1268"/>
      <c r="AB26" s="1268"/>
      <c r="AC26" s="1269"/>
    </row>
    <row r="27" spans="1:29" x14ac:dyDescent="0.35">
      <c r="A27" s="1270"/>
      <c r="AC27" s="1271"/>
    </row>
    <row r="28" spans="1:29" x14ac:dyDescent="0.35">
      <c r="A28" s="1270"/>
      <c r="AC28" s="1271"/>
    </row>
    <row r="29" spans="1:29" x14ac:dyDescent="0.35">
      <c r="A29" s="1270"/>
      <c r="AC29" s="1271"/>
    </row>
    <row r="30" spans="1:29" x14ac:dyDescent="0.35">
      <c r="A30" s="1270"/>
      <c r="AC30" s="1271"/>
    </row>
    <row r="31" spans="1:29" x14ac:dyDescent="0.35">
      <c r="A31" s="1270"/>
      <c r="AC31" s="1271"/>
    </row>
    <row r="32" spans="1:29" x14ac:dyDescent="0.35">
      <c r="A32" s="1270"/>
      <c r="AC32" s="1271"/>
    </row>
    <row r="33" spans="1:29" x14ac:dyDescent="0.35">
      <c r="A33" s="1270"/>
      <c r="AC33" s="1271"/>
    </row>
    <row r="34" spans="1:29" x14ac:dyDescent="0.35">
      <c r="A34" s="1270"/>
      <c r="AC34" s="1271"/>
    </row>
    <row r="35" spans="1:29" x14ac:dyDescent="0.35">
      <c r="A35" s="1270"/>
      <c r="AC35" s="1271"/>
    </row>
    <row r="36" spans="1:29" x14ac:dyDescent="0.35">
      <c r="A36" s="1270"/>
      <c r="AC36" s="1271"/>
    </row>
    <row r="37" spans="1:29" x14ac:dyDescent="0.35">
      <c r="A37" s="1270"/>
      <c r="AC37" s="1271"/>
    </row>
    <row r="38" spans="1:29" x14ac:dyDescent="0.35">
      <c r="A38" s="1270"/>
      <c r="AC38" s="1271"/>
    </row>
    <row r="39" spans="1:29" x14ac:dyDescent="0.35">
      <c r="A39" s="1270"/>
      <c r="AC39" s="1271"/>
    </row>
    <row r="40" spans="1:29" x14ac:dyDescent="0.35">
      <c r="A40" s="1270"/>
      <c r="AC40" s="1271"/>
    </row>
    <row r="41" spans="1:29" x14ac:dyDescent="0.35">
      <c r="A41" s="1270"/>
      <c r="AC41" s="1271"/>
    </row>
    <row r="42" spans="1:29" x14ac:dyDescent="0.35">
      <c r="A42" s="1270"/>
      <c r="AC42" s="1271"/>
    </row>
    <row r="43" spans="1:29" x14ac:dyDescent="0.35">
      <c r="A43" s="1270"/>
      <c r="AC43" s="1271"/>
    </row>
    <row r="44" spans="1:29" x14ac:dyDescent="0.35">
      <c r="A44" s="1270"/>
      <c r="AC44" s="1271"/>
    </row>
    <row r="45" spans="1:29" x14ac:dyDescent="0.35">
      <c r="A45" s="1270"/>
      <c r="AC45" s="1271"/>
    </row>
    <row r="46" spans="1:29" x14ac:dyDescent="0.35">
      <c r="A46" s="1270"/>
      <c r="AC46" s="1271"/>
    </row>
    <row r="47" spans="1:29" x14ac:dyDescent="0.35">
      <c r="A47" s="1270"/>
      <c r="AC47" s="1271"/>
    </row>
    <row r="48" spans="1:29" x14ac:dyDescent="0.35">
      <c r="A48" s="1270"/>
      <c r="AC48" s="1271"/>
    </row>
    <row r="49" spans="1:29" x14ac:dyDescent="0.35">
      <c r="A49" s="1270"/>
      <c r="AC49" s="1271"/>
    </row>
    <row r="50" spans="1:29" x14ac:dyDescent="0.35">
      <c r="A50" s="1270"/>
      <c r="AC50" s="1271"/>
    </row>
    <row r="51" spans="1:29" x14ac:dyDescent="0.35">
      <c r="A51" s="1270"/>
      <c r="AC51" s="1271"/>
    </row>
    <row r="52" spans="1:29" x14ac:dyDescent="0.35">
      <c r="A52" s="1270"/>
      <c r="AC52" s="1271"/>
    </row>
    <row r="53" spans="1:29" x14ac:dyDescent="0.35">
      <c r="A53" s="1270"/>
      <c r="AC53" s="1271"/>
    </row>
    <row r="54" spans="1:29" x14ac:dyDescent="0.35">
      <c r="A54" s="1270"/>
      <c r="AC54" s="1271"/>
    </row>
    <row r="55" spans="1:29" x14ac:dyDescent="0.35">
      <c r="A55" s="1270"/>
      <c r="AC55" s="1271"/>
    </row>
    <row r="56" spans="1:29" x14ac:dyDescent="0.35">
      <c r="A56" s="1270"/>
      <c r="AC56" s="1271"/>
    </row>
    <row r="57" spans="1:29" x14ac:dyDescent="0.35">
      <c r="A57" s="1270"/>
      <c r="AC57" s="1271"/>
    </row>
    <row r="58" spans="1:29" x14ac:dyDescent="0.35">
      <c r="A58" s="1270"/>
      <c r="AC58" s="1271"/>
    </row>
    <row r="59" spans="1:29" x14ac:dyDescent="0.35">
      <c r="A59" s="1270"/>
      <c r="AC59" s="1271"/>
    </row>
    <row r="60" spans="1:29" ht="18.75" thickBot="1" x14ac:dyDescent="0.4">
      <c r="A60" s="1272"/>
      <c r="B60" s="1273"/>
      <c r="C60" s="1273"/>
      <c r="D60" s="1273"/>
      <c r="E60" s="1273"/>
      <c r="F60" s="1273"/>
      <c r="G60" s="1273"/>
      <c r="H60" s="1273"/>
      <c r="I60" s="1273"/>
      <c r="J60" s="1273"/>
      <c r="K60" s="1273"/>
      <c r="L60" s="1273"/>
      <c r="M60" s="1273"/>
      <c r="N60" s="1273"/>
      <c r="O60" s="1273"/>
      <c r="P60" s="1273"/>
      <c r="Q60" s="1273"/>
      <c r="R60" s="1273"/>
      <c r="S60" s="1273"/>
      <c r="T60" s="1273"/>
      <c r="U60" s="1273"/>
      <c r="V60" s="1273"/>
      <c r="W60" s="1273"/>
      <c r="X60" s="1273"/>
      <c r="Y60" s="1273"/>
      <c r="Z60" s="1273"/>
      <c r="AA60" s="1273"/>
      <c r="AB60" s="1273"/>
      <c r="AC60" s="1274"/>
    </row>
  </sheetData>
  <mergeCells count="4">
    <mergeCell ref="B1:M1"/>
    <mergeCell ref="N1:Y1"/>
    <mergeCell ref="B13:M13"/>
    <mergeCell ref="N13:Y13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4355-A07F-48F8-A8B4-64880D29B864}">
  <dimension ref="A1:AE59"/>
  <sheetViews>
    <sheetView topLeftCell="P1" zoomScale="70" zoomScaleNormal="70" workbookViewId="0">
      <selection activeCell="AC5" sqref="AC5"/>
    </sheetView>
  </sheetViews>
  <sheetFormatPr defaultRowHeight="18" x14ac:dyDescent="0.35"/>
  <cols>
    <col min="1" max="1" width="30" customWidth="1"/>
    <col min="3" max="3" width="9.296875" customWidth="1"/>
    <col min="4" max="4" width="11.09765625" customWidth="1"/>
    <col min="5" max="5" width="9.296875" customWidth="1"/>
    <col min="6" max="6" width="10.3984375" customWidth="1"/>
    <col min="7" max="7" width="9" customWidth="1"/>
    <col min="8" max="8" width="10" customWidth="1"/>
    <col min="9" max="9" width="9" customWidth="1"/>
    <col min="10" max="10" width="10" customWidth="1"/>
    <col min="11" max="11" width="9" customWidth="1"/>
    <col min="12" max="12" width="9.296875" customWidth="1"/>
    <col min="13" max="13" width="10" customWidth="1"/>
  </cols>
  <sheetData>
    <row r="1" spans="1:31" x14ac:dyDescent="0.35">
      <c r="A1" s="1262"/>
      <c r="B1" s="1473">
        <v>2022</v>
      </c>
      <c r="C1" s="1473"/>
      <c r="D1" s="1473"/>
      <c r="E1" s="1473"/>
      <c r="F1" s="1473"/>
      <c r="G1" s="1473"/>
      <c r="H1" s="1473"/>
      <c r="I1" s="1473"/>
      <c r="J1" s="1473"/>
      <c r="K1" s="1473"/>
      <c r="L1" s="1473"/>
      <c r="M1" s="1473"/>
      <c r="N1" s="1473">
        <v>2023</v>
      </c>
      <c r="O1" s="1473"/>
      <c r="P1" s="1473"/>
      <c r="Q1" s="1473"/>
      <c r="R1" s="1473"/>
      <c r="S1" s="1473"/>
      <c r="T1" s="1473"/>
      <c r="U1" s="1473"/>
      <c r="V1" s="1473"/>
      <c r="W1" s="1473"/>
      <c r="X1" s="1473"/>
      <c r="Y1" s="1473"/>
    </row>
    <row r="2" spans="1:31" x14ac:dyDescent="0.35">
      <c r="A2" s="1262"/>
      <c r="B2" s="1263">
        <v>1</v>
      </c>
      <c r="C2" s="1263">
        <v>2</v>
      </c>
      <c r="D2" s="1263">
        <v>3</v>
      </c>
      <c r="E2" s="1263">
        <v>4</v>
      </c>
      <c r="F2" s="1263">
        <v>5</v>
      </c>
      <c r="G2" s="1263">
        <v>6</v>
      </c>
      <c r="H2" s="1263">
        <v>7</v>
      </c>
      <c r="I2" s="1263">
        <v>8</v>
      </c>
      <c r="J2" s="1263">
        <v>9</v>
      </c>
      <c r="K2" s="1263">
        <v>10</v>
      </c>
      <c r="L2" s="1263">
        <v>11</v>
      </c>
      <c r="M2" s="1263">
        <v>12</v>
      </c>
      <c r="N2" s="1263">
        <v>1</v>
      </c>
      <c r="O2" s="1263">
        <v>2</v>
      </c>
      <c r="P2" s="1263">
        <v>3</v>
      </c>
      <c r="Q2" s="1263">
        <v>4</v>
      </c>
      <c r="R2" s="1263">
        <v>5</v>
      </c>
      <c r="S2" s="1263">
        <v>6</v>
      </c>
      <c r="T2" s="1263">
        <v>7</v>
      </c>
      <c r="U2" s="1263">
        <v>8</v>
      </c>
      <c r="V2" s="1263">
        <v>9</v>
      </c>
      <c r="W2" s="1263">
        <v>10</v>
      </c>
      <c r="X2" s="1263">
        <v>11</v>
      </c>
      <c r="Y2" s="1263">
        <v>12</v>
      </c>
      <c r="AC2" t="s">
        <v>336</v>
      </c>
      <c r="AD2" t="s">
        <v>337</v>
      </c>
      <c r="AE2" t="s">
        <v>334</v>
      </c>
    </row>
    <row r="3" spans="1:31" ht="43.9" customHeight="1" x14ac:dyDescent="0.35">
      <c r="A3" s="1264" t="str">
        <f>INDEX($AC3:$AE3,1,MATCH(Чарти!$B$1,$AC$2:$AE$2,0))</f>
        <v>Сводное сальдо платежного баланса</v>
      </c>
      <c r="B3" s="295">
        <f>'ПБ V-2 (fin plan)'!AL62</f>
        <v>-1762</v>
      </c>
      <c r="C3" s="295">
        <f>'ПБ V-2 (fin plan)'!AM62</f>
        <v>-1520</v>
      </c>
      <c r="D3" s="295">
        <f>'ПБ V-2 (fin plan)'!AN62</f>
        <v>-58</v>
      </c>
      <c r="E3" s="295">
        <f>'ПБ V-2 (fin plan)'!AO62</f>
        <v>-783</v>
      </c>
      <c r="F3" s="295">
        <f>'ПБ V-2 (fin plan)'!AP62</f>
        <v>-1921</v>
      </c>
      <c r="G3" s="295">
        <f>'ПБ V-2 (fin plan)'!AQ62</f>
        <v>-2054</v>
      </c>
      <c r="H3" s="295">
        <f>'ПБ V-2 (fin plan)'!AR62</f>
        <v>-157.27370226837593</v>
      </c>
      <c r="I3" s="295">
        <f>'ПБ V-2 (fin plan)'!AS62</f>
        <v>1735.2159271362398</v>
      </c>
      <c r="J3" s="295">
        <f>'ПБ V-2 (fin plan)'!AT62</f>
        <v>-1394.2521878695525</v>
      </c>
      <c r="K3" s="295">
        <f>'ПБ V-2 (fin plan)'!AU62</f>
        <v>2015.0207172751984</v>
      </c>
      <c r="L3" s="295">
        <f>'ПБ V-2 (fin plan)'!AV62</f>
        <v>519.87857565599029</v>
      </c>
      <c r="M3" s="295">
        <f>'ПБ V-2 (fin plan)'!AW62</f>
        <v>1151.5389669156464</v>
      </c>
      <c r="N3" s="295">
        <f>'ПБ V-2 (fin plan)'!AX62</f>
        <v>-1135.5511929061588</v>
      </c>
      <c r="O3" s="295">
        <f>'ПБ V-2 (fin plan)'!AY62</f>
        <v>-203.17956449617554</v>
      </c>
      <c r="P3" s="295">
        <f>'ПБ V-2 (fin plan)'!AZ62</f>
        <v>-2785.202116406489</v>
      </c>
      <c r="Q3" s="295">
        <f>'ПБ V-2 (fin plan)'!BA62</f>
        <v>807.70534556695384</v>
      </c>
      <c r="R3" s="295">
        <f>'ПБ V-2 (fin plan)'!BB62</f>
        <v>1116.0960799434934</v>
      </c>
      <c r="S3" s="295">
        <f>'ПБ V-2 (fin plan)'!BC62</f>
        <v>-1048.1456705778523</v>
      </c>
      <c r="T3" s="295">
        <f>'ПБ V-2 (fin plan)'!BD62</f>
        <v>904.56809703853787</v>
      </c>
      <c r="U3" s="295">
        <f>'ПБ V-2 (fin plan)'!BE62</f>
        <v>1426.6636809740503</v>
      </c>
      <c r="V3" s="295">
        <f>'ПБ V-2 (fin plan)'!BF62</f>
        <v>576.83284091793723</v>
      </c>
      <c r="W3" s="295">
        <f>'ПБ V-2 (fin plan)'!BG62</f>
        <v>1323.5851665144351</v>
      </c>
      <c r="X3" s="295">
        <f>'ПБ V-2 (fin plan)'!BH62</f>
        <v>140.33645956464534</v>
      </c>
      <c r="Y3" s="295">
        <f>'ПБ V-2 (fin plan)'!BI62</f>
        <v>-519.00808693165504</v>
      </c>
      <c r="AC3" t="s">
        <v>244</v>
      </c>
      <c r="AD3" t="s">
        <v>390</v>
      </c>
      <c r="AE3" t="s">
        <v>388</v>
      </c>
    </row>
    <row r="4" spans="1:31" ht="43.9" customHeight="1" x14ac:dyDescent="0.35">
      <c r="A4" s="1264" t="str">
        <f>INDEX($AC4:$AE4,1,MATCH(Чарти!$B$1,$AC$2:$AE$2,0))</f>
        <v>Интервенции</v>
      </c>
      <c r="B4" s="295">
        <f>'ПБ V-2 (fin plan)'!AL64</f>
        <v>-1313.5</v>
      </c>
      <c r="C4" s="295">
        <f>'ПБ V-2 (fin plan)'!AM64</f>
        <v>-357.8</v>
      </c>
      <c r="D4" s="295">
        <f>'ПБ V-2 (fin plan)'!AN64</f>
        <v>-1728</v>
      </c>
      <c r="E4" s="295">
        <f>'ПБ V-2 (fin plan)'!AO64</f>
        <v>-2201</v>
      </c>
      <c r="F4" s="295">
        <f>'ПБ V-2 (fin plan)'!AP64</f>
        <v>-3354.2</v>
      </c>
      <c r="G4" s="295">
        <f>'ПБ V-2 (fin plan)'!AQ64</f>
        <v>-3956.3</v>
      </c>
      <c r="H4" s="295">
        <f>'ПБ V-2 (fin plan)'!AR64</f>
        <v>-1195</v>
      </c>
      <c r="I4" s="295">
        <f>'ПБ V-2 (fin plan)'!AS64</f>
        <v>-1329.7</v>
      </c>
      <c r="J4" s="295">
        <f>'ПБ V-2 (fin plan)'!AT64</f>
        <v>-2737.7</v>
      </c>
      <c r="K4" s="295">
        <f>'ПБ V-2 (fin plan)'!AU64</f>
        <v>-2155.6774199257429</v>
      </c>
      <c r="L4" s="295">
        <f>'ПБ V-2 (fin plan)'!AV64</f>
        <v>-1999.348048895941</v>
      </c>
      <c r="M4" s="295">
        <f>'ПБ V-2 (fin plan)'!AW64</f>
        <v>-1909.395697312789</v>
      </c>
      <c r="N4" s="295">
        <f>'ПБ V-2 (fin plan)'!AX64</f>
        <v>-3892.6300275514668</v>
      </c>
      <c r="O4" s="295">
        <f>'ПБ V-2 (fin plan)'!AY64</f>
        <v>-2540.7602345268106</v>
      </c>
      <c r="P4" s="295">
        <f>'ПБ V-2 (fin plan)'!AZ64</f>
        <v>-4843.0303094676401</v>
      </c>
      <c r="Q4" s="295">
        <f>'ПБ V-2 (fin plan)'!BA64</f>
        <v>-1690.6078122969834</v>
      </c>
      <c r="R4" s="295">
        <f>'ПБ V-2 (fin plan)'!BB64</f>
        <v>-1314.6676242016169</v>
      </c>
      <c r="S4" s="295">
        <f>'ПБ V-2 (fin plan)'!BC64</f>
        <v>-3620.3374983067451</v>
      </c>
      <c r="T4" s="295">
        <f>'ПБ V-2 (fin plan)'!BD64</f>
        <v>-1574.8075254464584</v>
      </c>
      <c r="U4" s="295">
        <f>'ПБ V-2 (fin plan)'!BE64</f>
        <v>-809.04716231417069</v>
      </c>
      <c r="V4" s="295">
        <f>'ПБ V-2 (fin plan)'!BF64</f>
        <v>-1133.436004276992</v>
      </c>
      <c r="W4" s="295">
        <f>'ПБ V-2 (fin plan)'!BG64</f>
        <v>-1271.9336567906691</v>
      </c>
      <c r="X4" s="295">
        <f>'ПБ V-2 (fin plan)'!BH64</f>
        <v>-2247.6746671575484</v>
      </c>
      <c r="Y4" s="295">
        <f>'ПБ V-2 (fin plan)'!BI64</f>
        <v>-3425.121616278238</v>
      </c>
      <c r="AC4" t="s">
        <v>347</v>
      </c>
      <c r="AD4" t="s">
        <v>391</v>
      </c>
      <c r="AE4" t="s">
        <v>389</v>
      </c>
    </row>
    <row r="5" spans="1:31" ht="18.75" x14ac:dyDescent="0.35">
      <c r="A5" s="1265" t="str">
        <f>INDEX($AC5:$AE5,1,MATCH(Чарти!$B$1,$AC$2:$AE$2,0))</f>
        <v>Обменный курс</v>
      </c>
      <c r="B5" s="286">
        <v>27.981270967741931</v>
      </c>
      <c r="C5" s="286">
        <v>28.413664285714287</v>
      </c>
      <c r="D5" s="286">
        <v>29.254900000000013</v>
      </c>
      <c r="E5" s="286">
        <v>29.254900000000013</v>
      </c>
      <c r="F5" s="286">
        <v>29.254900000000013</v>
      </c>
      <c r="G5" s="286">
        <v>29.254900000000013</v>
      </c>
      <c r="H5" s="286">
        <v>31.850083870967769</v>
      </c>
      <c r="I5" s="286">
        <v>36.568600000000032</v>
      </c>
      <c r="J5" s="286">
        <v>36.568600000000032</v>
      </c>
      <c r="K5" s="286">
        <v>36.568600000000032</v>
      </c>
      <c r="L5" s="286">
        <v>36.568600000000032</v>
      </c>
      <c r="M5" s="286">
        <v>36.568600000000032</v>
      </c>
      <c r="N5" s="286">
        <f>'ПБ V-2 (fin plan)'!AX83</f>
        <v>36.57</v>
      </c>
      <c r="O5" s="286">
        <f>'ПБ V-2 (fin plan)'!AY83</f>
        <v>36.57</v>
      </c>
      <c r="P5" s="286">
        <f>'ПБ V-2 (fin plan)'!AZ83</f>
        <v>36.57</v>
      </c>
      <c r="Q5" s="286">
        <f>'ПБ V-2 (fin plan)'!BA83</f>
        <v>36.57</v>
      </c>
      <c r="R5" s="286">
        <f>'ПБ V-2 (fin plan)'!BB83</f>
        <v>36.57</v>
      </c>
      <c r="S5" s="286">
        <f>'ПБ V-2 (fin plan)'!BC83</f>
        <v>36.57</v>
      </c>
      <c r="T5" s="286">
        <f>'ПБ V-2 (fin plan)'!BD83</f>
        <v>36.57</v>
      </c>
      <c r="U5" s="286">
        <f>'ПБ V-2 (fin plan)'!BE83</f>
        <v>40</v>
      </c>
      <c r="V5" s="286">
        <f>'ПБ V-2 (fin plan)'!BF83</f>
        <v>40</v>
      </c>
      <c r="W5" s="286">
        <f>'ПБ V-2 (fin plan)'!BG83</f>
        <v>40</v>
      </c>
      <c r="X5" s="286">
        <f>'ПБ V-2 (fin plan)'!BH83</f>
        <v>40</v>
      </c>
      <c r="Y5" s="286">
        <f>'ПБ V-2 (fin plan)'!BI83</f>
        <v>40</v>
      </c>
      <c r="Z5">
        <v>41.472916666666698</v>
      </c>
      <c r="AC5" s="1366" t="s">
        <v>629</v>
      </c>
      <c r="AD5" s="1286" t="s">
        <v>399</v>
      </c>
      <c r="AE5" s="1366" t="s">
        <v>630</v>
      </c>
    </row>
    <row r="6" spans="1:31" ht="18.75" x14ac:dyDescent="0.35">
      <c r="A6" s="1265" t="str">
        <f>INDEX($AC6:$AE6,1,MATCH(Чарти!$B$1,$AC$2:$AE$2,0))</f>
        <v>Обменный курс</v>
      </c>
      <c r="B6" s="286">
        <v>27.981270967741931</v>
      </c>
      <c r="C6" s="286">
        <v>28.413664285714287</v>
      </c>
      <c r="D6" s="286">
        <v>29.254900000000013</v>
      </c>
      <c r="E6" s="286">
        <v>29.254900000000013</v>
      </c>
      <c r="F6" s="286">
        <v>29.254900000000013</v>
      </c>
      <c r="G6" s="286">
        <v>29.254900000000013</v>
      </c>
      <c r="H6" s="286">
        <v>31.850083870967769</v>
      </c>
      <c r="I6" s="286">
        <v>36.568600000000032</v>
      </c>
      <c r="J6" s="286">
        <v>36.568600000000032</v>
      </c>
      <c r="K6" s="286">
        <v>36.568600000000032</v>
      </c>
      <c r="L6" s="286">
        <v>36.568600000000032</v>
      </c>
      <c r="M6" s="286">
        <v>36.568600000000032</v>
      </c>
      <c r="N6" s="286">
        <f>'ПБ V-2 (fin plan)'!AX86</f>
        <v>36.57</v>
      </c>
      <c r="O6" s="286">
        <f>'ПБ V-2 (fin plan)'!AY86</f>
        <v>36.57</v>
      </c>
      <c r="P6" s="286">
        <f>'ПБ V-2 (fin plan)'!AZ86</f>
        <v>36.57</v>
      </c>
      <c r="Q6" s="286">
        <f>'ПБ V-2 (fin plan)'!BA86</f>
        <v>36.57</v>
      </c>
      <c r="R6" s="286">
        <f>'ПБ V-2 (fin plan)'!BB86</f>
        <v>36.57</v>
      </c>
      <c r="S6" s="286">
        <f>'ПБ V-2 (fin plan)'!BC86</f>
        <v>36.57</v>
      </c>
      <c r="T6" s="286">
        <f>'ПБ V-2 (fin plan)'!BD86</f>
        <v>36.827669302506891</v>
      </c>
      <c r="U6" s="286">
        <f>'ПБ V-2 (fin plan)'!BE86</f>
        <v>36.79246841168186</v>
      </c>
      <c r="V6" s="286">
        <f>'ПБ V-2 (fin plan)'!BF86</f>
        <v>36.985691143563351</v>
      </c>
      <c r="W6" s="286">
        <f>'ПБ V-2 (fin plan)'!BG86</f>
        <v>37.099237249919184</v>
      </c>
      <c r="X6" s="286">
        <f>'ПБ V-2 (fin plan)'!BH86</f>
        <v>37.632892003812898</v>
      </c>
      <c r="Y6" s="286">
        <f>'ПБ V-2 (fin plan)'!BI86</f>
        <v>38.575195988611775</v>
      </c>
      <c r="Z6">
        <v>38.121298682737432</v>
      </c>
      <c r="AC6" s="1366" t="s">
        <v>629</v>
      </c>
      <c r="AD6" s="1286" t="s">
        <v>399</v>
      </c>
      <c r="AE6" s="1366" t="s">
        <v>630</v>
      </c>
    </row>
    <row r="7" spans="1:31" x14ac:dyDescent="0.35">
      <c r="A7" s="1262" t="s">
        <v>348</v>
      </c>
      <c r="B7" s="286">
        <f t="shared" ref="B7:M7" si="0">B6-B9-B10</f>
        <v>27.981270967741931</v>
      </c>
      <c r="C7" s="286">
        <f t="shared" si="0"/>
        <v>28.413664285714287</v>
      </c>
      <c r="D7" s="286">
        <f t="shared" si="0"/>
        <v>29.254900000000013</v>
      </c>
      <c r="E7" s="286">
        <f t="shared" si="0"/>
        <v>29.254900000000013</v>
      </c>
      <c r="F7" s="286">
        <f t="shared" si="0"/>
        <v>29.254900000000013</v>
      </c>
      <c r="G7" s="286">
        <f t="shared" si="0"/>
        <v>29.254900000000013</v>
      </c>
      <c r="H7" s="286">
        <f t="shared" si="0"/>
        <v>31.850083870967769</v>
      </c>
      <c r="I7" s="286">
        <f t="shared" si="0"/>
        <v>36.568600000000032</v>
      </c>
      <c r="J7" s="286">
        <f t="shared" si="0"/>
        <v>36.568600000000032</v>
      </c>
      <c r="K7" s="286">
        <f t="shared" si="0"/>
        <v>36.568600000000032</v>
      </c>
      <c r="L7" s="286">
        <f t="shared" si="0"/>
        <v>36.568600000000032</v>
      </c>
      <c r="M7" s="286">
        <f t="shared" si="0"/>
        <v>36.568600000000032</v>
      </c>
      <c r="N7" s="286">
        <f>N6-N9-N10</f>
        <v>36.07</v>
      </c>
      <c r="O7" s="286">
        <f t="shared" ref="O7:Y7" si="1">O6-O9-O10</f>
        <v>36.07</v>
      </c>
      <c r="P7" s="286">
        <f t="shared" si="1"/>
        <v>36.07</v>
      </c>
      <c r="Q7" s="286">
        <f t="shared" si="1"/>
        <v>36.07</v>
      </c>
      <c r="R7" s="286">
        <f t="shared" si="1"/>
        <v>36.07</v>
      </c>
      <c r="S7" s="286">
        <f t="shared" si="1"/>
        <v>36.07</v>
      </c>
      <c r="T7" s="286">
        <f t="shared" si="1"/>
        <v>36.07</v>
      </c>
      <c r="U7" s="286">
        <f t="shared" si="1"/>
        <v>39.5</v>
      </c>
      <c r="V7" s="286">
        <f t="shared" si="1"/>
        <v>39.5</v>
      </c>
      <c r="W7" s="286">
        <f t="shared" si="1"/>
        <v>39.5</v>
      </c>
      <c r="X7" s="286">
        <f t="shared" si="1"/>
        <v>39.5</v>
      </c>
      <c r="Y7" s="286">
        <f t="shared" si="1"/>
        <v>39.5</v>
      </c>
    </row>
    <row r="8" spans="1:31" x14ac:dyDescent="0.35">
      <c r="A8" s="1262" t="s">
        <v>349</v>
      </c>
      <c r="B8" s="122"/>
      <c r="C8" s="280"/>
      <c r="D8" s="280"/>
      <c r="E8" s="280"/>
      <c r="F8" s="280"/>
      <c r="G8" s="122"/>
      <c r="H8" s="280"/>
      <c r="I8" s="280"/>
      <c r="J8" s="280"/>
      <c r="K8" s="280"/>
      <c r="L8" s="280"/>
      <c r="M8" s="280"/>
      <c r="N8" s="280">
        <v>0.5</v>
      </c>
      <c r="O8" s="280">
        <v>0.5</v>
      </c>
      <c r="P8" s="280">
        <v>0.5</v>
      </c>
      <c r="Q8" s="280">
        <v>0.5</v>
      </c>
      <c r="R8" s="280">
        <v>0.5</v>
      </c>
      <c r="S8" s="280">
        <v>0.5</v>
      </c>
      <c r="T8" s="280">
        <v>0.5</v>
      </c>
      <c r="U8" s="280">
        <v>0.5</v>
      </c>
      <c r="V8" s="280">
        <v>0.5</v>
      </c>
      <c r="W8" s="280">
        <v>0.5</v>
      </c>
      <c r="X8" s="280">
        <v>0.5</v>
      </c>
      <c r="Y8" s="280">
        <v>0.5</v>
      </c>
      <c r="Z8" s="280">
        <v>1</v>
      </c>
    </row>
    <row r="9" spans="1:31" x14ac:dyDescent="0.35">
      <c r="A9" s="1262" t="s">
        <v>350</v>
      </c>
      <c r="B9" s="122"/>
      <c r="C9" s="122"/>
      <c r="D9" s="122"/>
      <c r="E9" s="122"/>
      <c r="F9" s="122"/>
      <c r="G9" s="122"/>
      <c r="H9" s="122"/>
      <c r="I9" s="122"/>
      <c r="J9" s="122"/>
      <c r="K9" s="280"/>
      <c r="L9" s="280"/>
      <c r="M9" s="280"/>
      <c r="N9" s="280">
        <f t="shared" ref="N9:X9" si="2">N6-N5</f>
        <v>0</v>
      </c>
      <c r="O9" s="280">
        <f t="shared" si="2"/>
        <v>0</v>
      </c>
      <c r="P9" s="280">
        <f t="shared" si="2"/>
        <v>0</v>
      </c>
      <c r="Q9" s="280">
        <f t="shared" si="2"/>
        <v>0</v>
      </c>
      <c r="R9" s="280">
        <f t="shared" si="2"/>
        <v>0</v>
      </c>
      <c r="S9" s="280">
        <f t="shared" si="2"/>
        <v>0</v>
      </c>
      <c r="T9" s="280">
        <f t="shared" si="2"/>
        <v>0.25766930250689057</v>
      </c>
      <c r="U9" s="280">
        <f t="shared" si="2"/>
        <v>-3.2075315883181403</v>
      </c>
      <c r="V9" s="280">
        <f t="shared" si="2"/>
        <v>-3.0143088564366494</v>
      </c>
      <c r="W9" s="280">
        <f t="shared" si="2"/>
        <v>-2.9007627500808155</v>
      </c>
      <c r="X9" s="280">
        <f t="shared" si="2"/>
        <v>-2.3671079961871015</v>
      </c>
      <c r="Y9" s="280">
        <f>Y6-Y5</f>
        <v>-1.4248040113882254</v>
      </c>
      <c r="Z9" s="280"/>
    </row>
    <row r="10" spans="1:31" x14ac:dyDescent="0.35">
      <c r="A10" s="1262" t="s">
        <v>351</v>
      </c>
      <c r="B10" s="121"/>
      <c r="C10" s="121"/>
      <c r="D10" s="121"/>
      <c r="E10" s="121"/>
      <c r="F10" s="121"/>
      <c r="G10" s="121"/>
      <c r="H10" s="121"/>
      <c r="I10" s="121"/>
      <c r="J10" s="121"/>
      <c r="K10" s="121"/>
      <c r="L10" s="121"/>
      <c r="M10" s="121"/>
      <c r="N10" s="121">
        <v>0.5</v>
      </c>
      <c r="O10" s="121">
        <v>0.5</v>
      </c>
      <c r="P10" s="121">
        <v>0.5</v>
      </c>
      <c r="Q10" s="121">
        <v>0.5</v>
      </c>
      <c r="R10" s="121">
        <v>0.5</v>
      </c>
      <c r="S10" s="121">
        <v>0.5</v>
      </c>
      <c r="T10" s="121">
        <v>0.5</v>
      </c>
      <c r="U10" s="121">
        <v>0.5</v>
      </c>
      <c r="V10" s="121">
        <v>0.5</v>
      </c>
      <c r="W10" s="121">
        <v>0.5</v>
      </c>
      <c r="X10" s="121">
        <v>0.5</v>
      </c>
      <c r="Y10" s="121">
        <v>0.5</v>
      </c>
      <c r="Z10">
        <v>0.5</v>
      </c>
    </row>
    <row r="12" spans="1:31" x14ac:dyDescent="0.35">
      <c r="A12" s="1262"/>
      <c r="B12" s="1473">
        <v>2021</v>
      </c>
      <c r="C12" s="1473"/>
      <c r="D12" s="1473"/>
      <c r="E12" s="1473"/>
      <c r="F12" s="1473"/>
      <c r="G12" s="1473"/>
      <c r="H12" s="1473"/>
      <c r="I12" s="1473"/>
      <c r="J12" s="1473"/>
      <c r="K12" s="1473"/>
      <c r="L12" s="1473"/>
      <c r="M12" s="1473"/>
      <c r="N12" s="1473">
        <v>2022</v>
      </c>
      <c r="O12" s="1473"/>
      <c r="P12" s="1473"/>
      <c r="Q12" s="1473"/>
      <c r="R12" s="1473"/>
      <c r="S12" s="1473"/>
      <c r="T12" s="1473"/>
      <c r="U12" s="1473"/>
      <c r="V12" s="1473"/>
      <c r="W12" s="1473"/>
      <c r="X12" s="1473"/>
      <c r="Y12" s="1473"/>
    </row>
    <row r="13" spans="1:31" x14ac:dyDescent="0.35">
      <c r="A13" s="1262"/>
      <c r="B13" s="1262" t="s">
        <v>352</v>
      </c>
      <c r="C13" s="1262" t="s">
        <v>353</v>
      </c>
      <c r="D13" s="1262" t="s">
        <v>354</v>
      </c>
      <c r="E13" s="1262" t="s">
        <v>355</v>
      </c>
      <c r="F13" s="1262" t="s">
        <v>356</v>
      </c>
      <c r="G13" s="1262" t="s">
        <v>357</v>
      </c>
      <c r="H13" s="1262" t="s">
        <v>358</v>
      </c>
      <c r="I13" s="1262" t="s">
        <v>359</v>
      </c>
      <c r="J13" s="1262" t="s">
        <v>360</v>
      </c>
      <c r="K13" s="1262" t="s">
        <v>361</v>
      </c>
      <c r="L13" s="1262" t="s">
        <v>362</v>
      </c>
      <c r="M13" s="1262" t="s">
        <v>363</v>
      </c>
      <c r="N13" s="1262" t="s">
        <v>352</v>
      </c>
      <c r="O13" s="1262" t="s">
        <v>353</v>
      </c>
      <c r="P13" s="1262" t="s">
        <v>354</v>
      </c>
      <c r="Q13" s="1262" t="s">
        <v>355</v>
      </c>
      <c r="R13" s="1262" t="s">
        <v>356</v>
      </c>
      <c r="S13" s="1262" t="s">
        <v>357</v>
      </c>
      <c r="T13" s="1262" t="s">
        <v>358</v>
      </c>
      <c r="U13" s="1262" t="s">
        <v>359</v>
      </c>
      <c r="V13" s="1262" t="s">
        <v>360</v>
      </c>
      <c r="W13" s="1262" t="s">
        <v>361</v>
      </c>
      <c r="X13" s="1262" t="s">
        <v>362</v>
      </c>
      <c r="Y13" s="1262" t="s">
        <v>363</v>
      </c>
    </row>
    <row r="14" spans="1:31" x14ac:dyDescent="0.35">
      <c r="A14" s="1262" t="s">
        <v>244</v>
      </c>
      <c r="B14" s="156">
        <f t="shared" ref="B14:Y14" si="3">B3</f>
        <v>-1762</v>
      </c>
      <c r="C14" s="156">
        <f t="shared" si="3"/>
        <v>-1520</v>
      </c>
      <c r="D14" s="156">
        <f t="shared" si="3"/>
        <v>-58</v>
      </c>
      <c r="E14" s="156">
        <f t="shared" si="3"/>
        <v>-783</v>
      </c>
      <c r="F14" s="156">
        <f t="shared" si="3"/>
        <v>-1921</v>
      </c>
      <c r="G14" s="156">
        <f t="shared" si="3"/>
        <v>-2054</v>
      </c>
      <c r="H14" s="156">
        <f t="shared" si="3"/>
        <v>-157.27370226837593</v>
      </c>
      <c r="I14" s="156">
        <f t="shared" si="3"/>
        <v>1735.2159271362398</v>
      </c>
      <c r="J14" s="156">
        <f t="shared" si="3"/>
        <v>-1394.2521878695525</v>
      </c>
      <c r="K14" s="156">
        <f t="shared" si="3"/>
        <v>2015.0207172751984</v>
      </c>
      <c r="L14" s="156">
        <f t="shared" si="3"/>
        <v>519.87857565599029</v>
      </c>
      <c r="M14" s="156">
        <f t="shared" si="3"/>
        <v>1151.5389669156464</v>
      </c>
      <c r="N14" s="156">
        <f t="shared" si="3"/>
        <v>-1135.5511929061588</v>
      </c>
      <c r="O14" s="156">
        <f t="shared" si="3"/>
        <v>-203.17956449617554</v>
      </c>
      <c r="P14" s="156">
        <f t="shared" si="3"/>
        <v>-2785.202116406489</v>
      </c>
      <c r="Q14" s="156">
        <f t="shared" si="3"/>
        <v>807.70534556695384</v>
      </c>
      <c r="R14" s="156">
        <f t="shared" si="3"/>
        <v>1116.0960799434934</v>
      </c>
      <c r="S14" s="156">
        <f t="shared" si="3"/>
        <v>-1048.1456705778523</v>
      </c>
      <c r="T14" s="156">
        <f t="shared" si="3"/>
        <v>904.56809703853787</v>
      </c>
      <c r="U14" s="156">
        <f t="shared" si="3"/>
        <v>1426.6636809740503</v>
      </c>
      <c r="V14" s="156">
        <f t="shared" si="3"/>
        <v>576.83284091793723</v>
      </c>
      <c r="W14" s="156">
        <f t="shared" si="3"/>
        <v>1323.5851665144351</v>
      </c>
      <c r="X14" s="156">
        <f t="shared" si="3"/>
        <v>140.33645956464534</v>
      </c>
      <c r="Y14" s="156">
        <f t="shared" si="3"/>
        <v>-519.00808693165504</v>
      </c>
    </row>
    <row r="15" spans="1:31" x14ac:dyDescent="0.35">
      <c r="A15" s="1262" t="s">
        <v>364</v>
      </c>
      <c r="B15" s="156">
        <f t="shared" ref="B15:Y15" si="4">B4</f>
        <v>-1313.5</v>
      </c>
      <c r="C15" s="156">
        <f t="shared" si="4"/>
        <v>-357.8</v>
      </c>
      <c r="D15" s="156">
        <f t="shared" si="4"/>
        <v>-1728</v>
      </c>
      <c r="E15" s="156">
        <f t="shared" si="4"/>
        <v>-2201</v>
      </c>
      <c r="F15" s="156">
        <f t="shared" si="4"/>
        <v>-3354.2</v>
      </c>
      <c r="G15" s="156">
        <f t="shared" si="4"/>
        <v>-3956.3</v>
      </c>
      <c r="H15" s="156">
        <f t="shared" si="4"/>
        <v>-1195</v>
      </c>
      <c r="I15" s="156">
        <f t="shared" si="4"/>
        <v>-1329.7</v>
      </c>
      <c r="J15" s="156">
        <f t="shared" si="4"/>
        <v>-2737.7</v>
      </c>
      <c r="K15" s="156">
        <f t="shared" si="4"/>
        <v>-2155.6774199257429</v>
      </c>
      <c r="L15" s="156">
        <f t="shared" si="4"/>
        <v>-1999.348048895941</v>
      </c>
      <c r="M15" s="156">
        <f t="shared" si="4"/>
        <v>-1909.395697312789</v>
      </c>
      <c r="N15" s="156">
        <f t="shared" si="4"/>
        <v>-3892.6300275514668</v>
      </c>
      <c r="O15" s="156">
        <f t="shared" si="4"/>
        <v>-2540.7602345268106</v>
      </c>
      <c r="P15" s="156">
        <f t="shared" si="4"/>
        <v>-4843.0303094676401</v>
      </c>
      <c r="Q15" s="156">
        <f t="shared" si="4"/>
        <v>-1690.6078122969834</v>
      </c>
      <c r="R15" s="156">
        <f t="shared" si="4"/>
        <v>-1314.6676242016169</v>
      </c>
      <c r="S15" s="156">
        <f t="shared" si="4"/>
        <v>-3620.3374983067451</v>
      </c>
      <c r="T15" s="156">
        <f t="shared" si="4"/>
        <v>-1574.8075254464584</v>
      </c>
      <c r="U15" s="156">
        <f t="shared" si="4"/>
        <v>-809.04716231417069</v>
      </c>
      <c r="V15" s="156">
        <f t="shared" si="4"/>
        <v>-1133.436004276992</v>
      </c>
      <c r="W15" s="156">
        <f t="shared" si="4"/>
        <v>-1271.9336567906691</v>
      </c>
      <c r="X15" s="156">
        <f t="shared" si="4"/>
        <v>-2247.6746671575484</v>
      </c>
      <c r="Y15" s="156">
        <f t="shared" si="4"/>
        <v>-3425.121616278238</v>
      </c>
    </row>
    <row r="16" spans="1:31" x14ac:dyDescent="0.35">
      <c r="A16" s="1262" t="s">
        <v>365</v>
      </c>
      <c r="B16" s="667"/>
      <c r="C16" s="667"/>
      <c r="D16" s="667"/>
      <c r="E16" s="667"/>
      <c r="F16" s="667"/>
      <c r="G16" s="667"/>
      <c r="H16" s="667"/>
      <c r="I16" s="667"/>
      <c r="J16" s="667"/>
      <c r="K16" s="667"/>
      <c r="L16" s="667"/>
      <c r="M16" s="667"/>
      <c r="N16" s="667">
        <v>31.670651612903228</v>
      </c>
      <c r="O16" s="667">
        <f t="shared" ref="O16:Y17" si="5">O5*O$22</f>
        <v>32.269153571428575</v>
      </c>
      <c r="P16" s="667">
        <f t="shared" si="5"/>
        <v>32.8957870967742</v>
      </c>
      <c r="Q16" s="667">
        <f t="shared" si="5"/>
        <v>31.769940000000005</v>
      </c>
      <c r="R16" s="667">
        <f t="shared" si="5"/>
        <v>30.883816129032269</v>
      </c>
      <c r="S16" s="667">
        <f t="shared" si="5"/>
        <v>38.332674000000004</v>
      </c>
      <c r="T16" s="667">
        <f t="shared" si="5"/>
        <v>37.367226000000002</v>
      </c>
      <c r="U16" s="667">
        <f t="shared" si="5"/>
        <v>41.292000000000002</v>
      </c>
      <c r="V16" s="667">
        <f t="shared" si="5"/>
        <v>39.468123360413529</v>
      </c>
      <c r="W16" s="667">
        <f t="shared" si="5"/>
        <v>40.890030840103378</v>
      </c>
      <c r="X16" s="667">
        <f t="shared" si="5"/>
        <v>40.630538550129231</v>
      </c>
      <c r="Y16" s="667">
        <f t="shared" si="5"/>
        <v>40.570173187661531</v>
      </c>
    </row>
    <row r="17" spans="1:29" ht="18.75" x14ac:dyDescent="0.35">
      <c r="A17" s="1265" t="s">
        <v>366</v>
      </c>
      <c r="B17" s="667">
        <v>34.386274193548388</v>
      </c>
      <c r="C17" s="667">
        <v>33.742985714285716</v>
      </c>
      <c r="D17" s="667">
        <v>33.140067741935482</v>
      </c>
      <c r="E17" s="667">
        <v>33.330189999999995</v>
      </c>
      <c r="F17" s="667">
        <v>33.506225806451603</v>
      </c>
      <c r="G17" s="667">
        <v>32.853986666666657</v>
      </c>
      <c r="H17" s="667">
        <v>32.182148387096774</v>
      </c>
      <c r="I17" s="667">
        <v>31.528767741935471</v>
      </c>
      <c r="J17" s="667">
        <v>31.497583333333335</v>
      </c>
      <c r="K17" s="667">
        <v>30.564135483870963</v>
      </c>
      <c r="L17" s="667">
        <v>30.192356666666665</v>
      </c>
      <c r="M17" s="667">
        <v>30.783187096774196</v>
      </c>
      <c r="N17" s="667">
        <v>31.670651612903228</v>
      </c>
      <c r="O17" s="667">
        <v>32.269153571428575</v>
      </c>
      <c r="P17" s="667">
        <v>32.8957870967742</v>
      </c>
      <c r="Q17" s="667">
        <v>31.769940000000005</v>
      </c>
      <c r="R17" s="667">
        <v>30.883816129032269</v>
      </c>
      <c r="S17" s="667">
        <f t="shared" si="5"/>
        <v>38.332674000000004</v>
      </c>
      <c r="T17" s="667">
        <f t="shared" si="5"/>
        <v>37.630512493301545</v>
      </c>
      <c r="U17" s="667">
        <f t="shared" si="5"/>
        <v>37.980865141379184</v>
      </c>
      <c r="V17" s="667">
        <f t="shared" si="5"/>
        <v>36.493895515607811</v>
      </c>
      <c r="W17" s="667">
        <f t="shared" si="5"/>
        <v>37.924723882337688</v>
      </c>
      <c r="X17" s="667">
        <f t="shared" si="5"/>
        <v>38.226116732844247</v>
      </c>
      <c r="Y17" s="667">
        <f t="shared" si="5"/>
        <v>39.125059550149153</v>
      </c>
      <c r="Z17" s="557">
        <f>Y17+0.25</f>
        <v>39.375059550149153</v>
      </c>
    </row>
    <row r="18" spans="1:29" x14ac:dyDescent="0.35">
      <c r="A18" s="1262" t="s">
        <v>348</v>
      </c>
      <c r="B18" s="667">
        <f t="shared" ref="B18:Y18" si="6">B17-B19-B20</f>
        <v>34.386274193548388</v>
      </c>
      <c r="C18" s="667">
        <f t="shared" si="6"/>
        <v>33.742985714285716</v>
      </c>
      <c r="D18" s="667">
        <f t="shared" si="6"/>
        <v>33.140067741935482</v>
      </c>
      <c r="E18" s="667">
        <f t="shared" si="6"/>
        <v>33.330189999999995</v>
      </c>
      <c r="F18" s="667">
        <f t="shared" si="6"/>
        <v>33.506225806451603</v>
      </c>
      <c r="G18" s="667">
        <f t="shared" si="6"/>
        <v>32.853986666666657</v>
      </c>
      <c r="H18" s="667">
        <f t="shared" si="6"/>
        <v>32.182148387096774</v>
      </c>
      <c r="I18" s="667">
        <f t="shared" si="6"/>
        <v>31.528767741935471</v>
      </c>
      <c r="J18" s="667">
        <f t="shared" si="6"/>
        <v>31.497583333333335</v>
      </c>
      <c r="K18" s="667">
        <f t="shared" si="6"/>
        <v>30.564135483870963</v>
      </c>
      <c r="L18" s="667">
        <f t="shared" si="6"/>
        <v>30.192356666666665</v>
      </c>
      <c r="M18" s="667">
        <f t="shared" si="6"/>
        <v>30.783187096774196</v>
      </c>
      <c r="N18" s="667">
        <f t="shared" si="6"/>
        <v>31.670651612903228</v>
      </c>
      <c r="O18" s="667">
        <f t="shared" si="6"/>
        <v>31.827956503183721</v>
      </c>
      <c r="P18" s="667">
        <f t="shared" si="6"/>
        <v>32.446022438628532</v>
      </c>
      <c r="Q18" s="667">
        <f t="shared" si="6"/>
        <v>31.335568383921252</v>
      </c>
      <c r="R18" s="667">
        <f t="shared" si="6"/>
        <v>30.461559961011591</v>
      </c>
      <c r="S18" s="667">
        <f t="shared" si="6"/>
        <v>37.808574000000007</v>
      </c>
      <c r="T18" s="667">
        <f t="shared" si="6"/>
        <v>36.856326000000003</v>
      </c>
      <c r="U18" s="667">
        <f t="shared" si="6"/>
        <v>40.775849999999998</v>
      </c>
      <c r="V18" s="667">
        <f t="shared" si="6"/>
        <v>38.974771818408357</v>
      </c>
      <c r="W18" s="667">
        <f t="shared" si="6"/>
        <v>40.378905454602084</v>
      </c>
      <c r="X18" s="667">
        <f t="shared" si="6"/>
        <v>40.122656818252615</v>
      </c>
      <c r="Y18" s="667">
        <f t="shared" si="6"/>
        <v>40.063046022815762</v>
      </c>
      <c r="Z18" s="557">
        <f>Y17-0.25</f>
        <v>38.875059550149153</v>
      </c>
    </row>
    <row r="19" spans="1:29" x14ac:dyDescent="0.35">
      <c r="A19" s="1262" t="s">
        <v>349</v>
      </c>
      <c r="B19" s="282"/>
      <c r="C19" s="282"/>
      <c r="D19" s="282"/>
      <c r="E19" s="282"/>
      <c r="F19" s="282"/>
      <c r="G19" s="282"/>
      <c r="H19" s="282"/>
      <c r="I19" s="282"/>
      <c r="J19" s="282"/>
      <c r="K19" s="282"/>
      <c r="L19" s="282"/>
      <c r="M19" s="282"/>
      <c r="N19" s="280"/>
      <c r="O19" s="280">
        <f t="shared" ref="O19:Y19" si="7">O8*O22</f>
        <v>0.44119706824485339</v>
      </c>
      <c r="P19" s="280">
        <f t="shared" si="7"/>
        <v>0.44976465814566857</v>
      </c>
      <c r="Q19" s="280">
        <f t="shared" si="7"/>
        <v>0.43437161607875313</v>
      </c>
      <c r="R19" s="280">
        <f t="shared" si="7"/>
        <v>0.42225616802067634</v>
      </c>
      <c r="S19" s="280">
        <f t="shared" si="7"/>
        <v>0.52410000000000001</v>
      </c>
      <c r="T19" s="280">
        <f t="shared" si="7"/>
        <v>0.51090000000000002</v>
      </c>
      <c r="U19" s="280">
        <f t="shared" si="7"/>
        <v>0.51615</v>
      </c>
      <c r="V19" s="280">
        <f t="shared" si="7"/>
        <v>0.49335154200516906</v>
      </c>
      <c r="W19" s="280">
        <f t="shared" si="7"/>
        <v>0.51112538550129227</v>
      </c>
      <c r="X19" s="280">
        <f t="shared" si="7"/>
        <v>0.50788173187661534</v>
      </c>
      <c r="Y19" s="280">
        <f t="shared" si="7"/>
        <v>0.50712716484576914</v>
      </c>
    </row>
    <row r="20" spans="1:29" x14ac:dyDescent="0.35">
      <c r="A20" s="1262" t="s">
        <v>350</v>
      </c>
      <c r="B20" s="282"/>
      <c r="C20" s="282"/>
      <c r="D20" s="282"/>
      <c r="E20" s="282"/>
      <c r="F20" s="282"/>
      <c r="G20" s="282"/>
      <c r="H20" s="282"/>
      <c r="I20" s="282"/>
      <c r="J20" s="282"/>
      <c r="K20" s="282"/>
      <c r="L20" s="282"/>
      <c r="M20" s="282"/>
      <c r="N20" s="280">
        <f t="shared" ref="N20:Y20" si="8">N17-N16</f>
        <v>0</v>
      </c>
      <c r="O20" s="280">
        <f t="shared" si="8"/>
        <v>0</v>
      </c>
      <c r="P20" s="280">
        <f t="shared" si="8"/>
        <v>0</v>
      </c>
      <c r="Q20" s="280">
        <f t="shared" si="8"/>
        <v>0</v>
      </c>
      <c r="R20" s="280">
        <f t="shared" si="8"/>
        <v>0</v>
      </c>
      <c r="S20" s="280">
        <f t="shared" si="8"/>
        <v>0</v>
      </c>
      <c r="T20" s="280">
        <f t="shared" si="8"/>
        <v>0.26328649330154263</v>
      </c>
      <c r="U20" s="280">
        <f t="shared" si="8"/>
        <v>-3.311134858620818</v>
      </c>
      <c r="V20" s="280">
        <f t="shared" si="8"/>
        <v>-2.9742278448057178</v>
      </c>
      <c r="W20" s="280">
        <f t="shared" si="8"/>
        <v>-2.9653069577656908</v>
      </c>
      <c r="X20" s="280">
        <f t="shared" si="8"/>
        <v>-2.4044218172849838</v>
      </c>
      <c r="Y20" s="280">
        <f t="shared" si="8"/>
        <v>-1.4451136375123781</v>
      </c>
    </row>
    <row r="21" spans="1:29" x14ac:dyDescent="0.35">
      <c r="A21" s="1262" t="s">
        <v>351</v>
      </c>
      <c r="B21" s="121"/>
      <c r="C21" s="121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282">
        <f>O10*O22</f>
        <v>0.44119706824485339</v>
      </c>
      <c r="P21" s="282">
        <f t="shared" ref="P21:Y21" si="9">P10*P22</f>
        <v>0.44976465814566857</v>
      </c>
      <c r="Q21" s="282">
        <f t="shared" si="9"/>
        <v>0.43437161607875313</v>
      </c>
      <c r="R21" s="282">
        <f t="shared" si="9"/>
        <v>0.42225616802067634</v>
      </c>
      <c r="S21" s="282">
        <f t="shared" si="9"/>
        <v>0.52410000000000001</v>
      </c>
      <c r="T21" s="282">
        <f t="shared" si="9"/>
        <v>0.51090000000000002</v>
      </c>
      <c r="U21" s="282">
        <f t="shared" si="9"/>
        <v>0.51615</v>
      </c>
      <c r="V21" s="282">
        <f t="shared" si="9"/>
        <v>0.49335154200516906</v>
      </c>
      <c r="W21" s="282">
        <f t="shared" si="9"/>
        <v>0.51112538550129227</v>
      </c>
      <c r="X21" s="282">
        <f t="shared" si="9"/>
        <v>0.50788173187661534</v>
      </c>
      <c r="Y21" s="282">
        <f t="shared" si="9"/>
        <v>0.50712716484576914</v>
      </c>
    </row>
    <row r="22" spans="1:29" ht="31.5" customHeight="1" x14ac:dyDescent="0.35">
      <c r="A22" s="1266" t="s">
        <v>367</v>
      </c>
      <c r="B22" s="1266"/>
      <c r="C22" s="1266"/>
      <c r="D22" s="1266"/>
      <c r="E22" s="1266"/>
      <c r="F22" s="1266"/>
      <c r="G22" s="1266"/>
      <c r="H22" s="1266"/>
      <c r="I22" s="1266"/>
      <c r="J22" s="1266"/>
      <c r="K22" s="1266"/>
      <c r="L22" s="1266"/>
      <c r="M22" s="1266"/>
      <c r="N22" s="1266">
        <f>N17/N6</f>
        <v>0.86602820926724711</v>
      </c>
      <c r="O22" s="1266">
        <f>O17/O6</f>
        <v>0.88239413648970677</v>
      </c>
      <c r="P22" s="1266">
        <f>P17/P6</f>
        <v>0.89952931629133714</v>
      </c>
      <c r="Q22" s="1266">
        <f>Q17/Q6</f>
        <v>0.86874323215750626</v>
      </c>
      <c r="R22" s="1266">
        <f>R17/R6</f>
        <v>0.84451233604135267</v>
      </c>
      <c r="S22" s="1266">
        <v>1.0482</v>
      </c>
      <c r="T22" s="1266">
        <v>1.0218</v>
      </c>
      <c r="U22" s="1266">
        <v>1.0323</v>
      </c>
      <c r="V22" s="1266">
        <f>AVERAGE(R22:U22)</f>
        <v>0.98670308401033813</v>
      </c>
      <c r="W22" s="1266">
        <f>AVERAGE(S22:V22)</f>
        <v>1.0222507710025845</v>
      </c>
      <c r="X22" s="1266">
        <f>AVERAGE(T22:W22)</f>
        <v>1.0157634637532307</v>
      </c>
      <c r="Y22" s="1266">
        <f>AVERAGE(U22:X22)</f>
        <v>1.0142543296915383</v>
      </c>
      <c r="AA22">
        <f>23*AVERAGE(O22:Y22)</f>
        <v>22.239851399733148</v>
      </c>
    </row>
    <row r="24" spans="1:29" ht="18.75" thickBot="1" x14ac:dyDescent="0.4"/>
    <row r="25" spans="1:29" x14ac:dyDescent="0.35">
      <c r="A25" s="1267"/>
      <c r="B25" s="1268"/>
      <c r="C25" s="1268"/>
      <c r="D25" s="1268"/>
      <c r="E25" s="1268"/>
      <c r="F25" s="1268"/>
      <c r="G25" s="1268"/>
      <c r="H25" s="1268"/>
      <c r="I25" s="1268"/>
      <c r="J25" s="1268"/>
      <c r="K25" s="1268"/>
      <c r="L25" s="1268"/>
      <c r="M25" s="1268"/>
      <c r="N25" s="1268"/>
      <c r="O25" s="1268"/>
      <c r="P25" s="1268"/>
      <c r="Q25" s="1268"/>
      <c r="R25" s="1268"/>
      <c r="S25" s="1268"/>
      <c r="T25" s="1268"/>
      <c r="U25" s="1268"/>
      <c r="V25" s="1268"/>
      <c r="W25" s="1268"/>
      <c r="X25" s="1268"/>
      <c r="Y25" s="1268"/>
      <c r="Z25" s="1268"/>
      <c r="AA25" s="1268"/>
      <c r="AB25" s="1268"/>
      <c r="AC25" s="1269"/>
    </row>
    <row r="26" spans="1:29" x14ac:dyDescent="0.35">
      <c r="A26" s="1270"/>
      <c r="AC26" s="1271"/>
    </row>
    <row r="27" spans="1:29" x14ac:dyDescent="0.35">
      <c r="A27" s="1270"/>
      <c r="AC27" s="1271"/>
    </row>
    <row r="28" spans="1:29" x14ac:dyDescent="0.35">
      <c r="A28" s="1270"/>
      <c r="AC28" s="1271"/>
    </row>
    <row r="29" spans="1:29" x14ac:dyDescent="0.35">
      <c r="A29" s="1270"/>
      <c r="AC29" s="1271"/>
    </row>
    <row r="30" spans="1:29" x14ac:dyDescent="0.35">
      <c r="A30" s="1270"/>
      <c r="AC30" s="1271"/>
    </row>
    <row r="31" spans="1:29" x14ac:dyDescent="0.35">
      <c r="A31" s="1270"/>
      <c r="AC31" s="1271"/>
    </row>
    <row r="32" spans="1:29" x14ac:dyDescent="0.35">
      <c r="A32" s="1270"/>
      <c r="AC32" s="1271"/>
    </row>
    <row r="33" spans="1:29" x14ac:dyDescent="0.35">
      <c r="A33" s="1270"/>
      <c r="AC33" s="1271"/>
    </row>
    <row r="34" spans="1:29" x14ac:dyDescent="0.35">
      <c r="A34" s="1270"/>
      <c r="AC34" s="1271"/>
    </row>
    <row r="35" spans="1:29" x14ac:dyDescent="0.35">
      <c r="A35" s="1270"/>
      <c r="AC35" s="1271"/>
    </row>
    <row r="36" spans="1:29" x14ac:dyDescent="0.35">
      <c r="A36" s="1270"/>
      <c r="AC36" s="1271"/>
    </row>
    <row r="37" spans="1:29" x14ac:dyDescent="0.35">
      <c r="A37" s="1270"/>
      <c r="AC37" s="1271"/>
    </row>
    <row r="38" spans="1:29" x14ac:dyDescent="0.35">
      <c r="A38" s="1270"/>
      <c r="AC38" s="1271"/>
    </row>
    <row r="39" spans="1:29" x14ac:dyDescent="0.35">
      <c r="A39" s="1270"/>
      <c r="AC39" s="1271"/>
    </row>
    <row r="40" spans="1:29" x14ac:dyDescent="0.35">
      <c r="A40" s="1270"/>
      <c r="AC40" s="1271"/>
    </row>
    <row r="41" spans="1:29" x14ac:dyDescent="0.35">
      <c r="A41" s="1270"/>
      <c r="AC41" s="1271"/>
    </row>
    <row r="42" spans="1:29" x14ac:dyDescent="0.35">
      <c r="A42" s="1270"/>
      <c r="AC42" s="1271"/>
    </row>
    <row r="43" spans="1:29" x14ac:dyDescent="0.35">
      <c r="A43" s="1270"/>
      <c r="AC43" s="1271"/>
    </row>
    <row r="44" spans="1:29" x14ac:dyDescent="0.35">
      <c r="A44" s="1270"/>
      <c r="AC44" s="1271"/>
    </row>
    <row r="45" spans="1:29" x14ac:dyDescent="0.35">
      <c r="A45" s="1270"/>
      <c r="AC45" s="1271"/>
    </row>
    <row r="46" spans="1:29" x14ac:dyDescent="0.35">
      <c r="A46" s="1270"/>
      <c r="AC46" s="1271"/>
    </row>
    <row r="47" spans="1:29" x14ac:dyDescent="0.35">
      <c r="A47" s="1270"/>
      <c r="AC47" s="1271"/>
    </row>
    <row r="48" spans="1:29" x14ac:dyDescent="0.35">
      <c r="A48" s="1270"/>
      <c r="AC48" s="1271"/>
    </row>
    <row r="49" spans="1:29" x14ac:dyDescent="0.35">
      <c r="A49" s="1270"/>
      <c r="AC49" s="1271"/>
    </row>
    <row r="50" spans="1:29" x14ac:dyDescent="0.35">
      <c r="A50" s="1270"/>
      <c r="AC50" s="1271"/>
    </row>
    <row r="51" spans="1:29" x14ac:dyDescent="0.35">
      <c r="A51" s="1270"/>
      <c r="AC51" s="1271"/>
    </row>
    <row r="52" spans="1:29" x14ac:dyDescent="0.35">
      <c r="A52" s="1270"/>
      <c r="AC52" s="1271"/>
    </row>
    <row r="53" spans="1:29" x14ac:dyDescent="0.35">
      <c r="A53" s="1270"/>
      <c r="AC53" s="1271"/>
    </row>
    <row r="54" spans="1:29" x14ac:dyDescent="0.35">
      <c r="A54" s="1270"/>
      <c r="AC54" s="1271"/>
    </row>
    <row r="55" spans="1:29" x14ac:dyDescent="0.35">
      <c r="A55" s="1270"/>
      <c r="AC55" s="1271"/>
    </row>
    <row r="56" spans="1:29" x14ac:dyDescent="0.35">
      <c r="A56" s="1270"/>
      <c r="AC56" s="1271"/>
    </row>
    <row r="57" spans="1:29" x14ac:dyDescent="0.35">
      <c r="A57" s="1270"/>
      <c r="AC57" s="1271"/>
    </row>
    <row r="58" spans="1:29" x14ac:dyDescent="0.35">
      <c r="A58" s="1270"/>
      <c r="AC58" s="1271"/>
    </row>
    <row r="59" spans="1:29" ht="18.75" thickBot="1" x14ac:dyDescent="0.4">
      <c r="A59" s="1272"/>
      <c r="B59" s="1273"/>
      <c r="C59" s="1273"/>
      <c r="D59" s="1273"/>
      <c r="E59" s="1273"/>
      <c r="F59" s="1273"/>
      <c r="G59" s="1273"/>
      <c r="H59" s="1273"/>
      <c r="I59" s="1273"/>
      <c r="J59" s="1273"/>
      <c r="K59" s="1273"/>
      <c r="L59" s="1273"/>
      <c r="M59" s="1273"/>
      <c r="N59" s="1273"/>
      <c r="O59" s="1273"/>
      <c r="P59" s="1273"/>
      <c r="Q59" s="1273"/>
      <c r="R59" s="1273"/>
      <c r="S59" s="1273"/>
      <c r="T59" s="1273"/>
      <c r="U59" s="1273"/>
      <c r="V59" s="1273"/>
      <c r="W59" s="1273"/>
      <c r="X59" s="1273"/>
      <c r="Y59" s="1273"/>
      <c r="Z59" s="1273"/>
      <c r="AA59" s="1273"/>
      <c r="AB59" s="1273"/>
      <c r="AC59" s="1274"/>
    </row>
  </sheetData>
  <mergeCells count="4">
    <mergeCell ref="B1:M1"/>
    <mergeCell ref="N1:Y1"/>
    <mergeCell ref="B12:M12"/>
    <mergeCell ref="N12:Y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Аркуші</vt:lpstr>
      </vt:variant>
      <vt:variant>
        <vt:i4>29</vt:i4>
      </vt:variant>
      <vt:variant>
        <vt:lpstr>Діаграми</vt:lpstr>
      </vt:variant>
      <vt:variant>
        <vt:i4>4</vt:i4>
      </vt:variant>
    </vt:vector>
  </HeadingPairs>
  <TitlesOfParts>
    <vt:vector size="33" baseType="lpstr">
      <vt:lpstr>charts_data_all</vt:lpstr>
      <vt:lpstr>Чарти</vt:lpstr>
      <vt:lpstr>  Експорт IT + Мігранти</vt:lpstr>
      <vt:lpstr>Імпорт послуг</vt:lpstr>
      <vt:lpstr>Таблиця 1</vt:lpstr>
      <vt:lpstr>Таблиця 2</vt:lpstr>
      <vt:lpstr>Таблиця 3</vt:lpstr>
      <vt:lpstr>окремі статті</vt:lpstr>
      <vt:lpstr>фінрах</vt:lpstr>
      <vt:lpstr>Готівкова валюта поза банками</vt:lpstr>
      <vt:lpstr>залучення кругові</vt:lpstr>
      <vt:lpstr>ПБ - стандартный формат чарта</vt:lpstr>
      <vt:lpstr>Чарт ПБ 2020</vt:lpstr>
      <vt:lpstr>табл сравнение</vt:lpstr>
      <vt:lpstr>Чарт ПБ 2022-2023</vt:lpstr>
      <vt:lpstr>Чарт ПБ 2022-2024</vt:lpstr>
      <vt:lpstr>ПБ V-1 (fin min)</vt:lpstr>
      <vt:lpstr>Сравнительная таблица (липень)</vt:lpstr>
      <vt:lpstr>Интервенции (V-1)</vt:lpstr>
      <vt:lpstr>ПБ V-2 (fin plan)</vt:lpstr>
      <vt:lpstr>Интервенции (V-2)</vt:lpstr>
      <vt:lpstr>Курсовые сценарии</vt:lpstr>
      <vt:lpstr>макет прогноза на месяц</vt:lpstr>
      <vt:lpstr>ТБ 2022</vt:lpstr>
      <vt:lpstr>ТБ 2023</vt:lpstr>
      <vt:lpstr>ТБ 2024</vt:lpstr>
      <vt:lpstr>ЗВР-інт 2022-2024</vt:lpstr>
      <vt:lpstr>курс 2022-2023 v1</vt:lpstr>
      <vt:lpstr>курс 2022-2023 v2</vt:lpstr>
      <vt:lpstr>Чарт 2021</vt:lpstr>
      <vt:lpstr>Чарт 2022</vt:lpstr>
      <vt:lpstr>Чарт 2023 V-1</vt:lpstr>
      <vt:lpstr>Чарт 2023 V-2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ueo</dc:creator>
  <cp:lastModifiedBy>Саша Любченко</cp:lastModifiedBy>
  <cp:lastPrinted>2022-06-19T21:59:14Z</cp:lastPrinted>
  <dcterms:created xsi:type="dcterms:W3CDTF">2020-04-03T10:23:42Z</dcterms:created>
  <dcterms:modified xsi:type="dcterms:W3CDTF">2024-01-22T14:22:10Z</dcterms:modified>
</cp:coreProperties>
</file>